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drawings/drawing6.xml" ContentType="application/vnd.openxmlformats-officedocument.drawingml.chartshapes+xml"/>
  <Override PartName="/xl/charts/chart2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drawings/drawing9.xml" ContentType="application/vnd.openxmlformats-officedocument.drawingml.chartshapes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7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8.xml" ContentType="application/vnd.openxmlformats-officedocument.drawing+xml"/>
  <Override PartName="/xl/charts/chart53.xml" ContentType="application/vnd.openxmlformats-officedocument.drawingml.chart+xml"/>
  <Override PartName="/xl/drawings/drawing19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1.xml" ContentType="application/vnd.openxmlformats-officedocument.drawing+xml"/>
  <Override PartName="/xl/charts/chart6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6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6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6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6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6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6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7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2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23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8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8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8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8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9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9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9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10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4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105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5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-Year P1 P4 Master Spreadsheets\"/>
    </mc:Choice>
  </mc:AlternateContent>
  <xr:revisionPtr revIDLastSave="0" documentId="13_ncr:1_{CD597782-9D28-4F3A-BB0E-5BDD08ECFD60}" xr6:coauthVersionLast="45" xr6:coauthVersionMax="45" xr10:uidLastSave="{00000000-0000-0000-0000-000000000000}"/>
  <bookViews>
    <workbookView xWindow="-110" yWindow="-110" windowWidth="19420" windowHeight="10420" tabRatio="930" firstSheet="21" activeTab="29" xr2:uid="{00000000-000D-0000-FFFF-FFFF00000000}"/>
  </bookViews>
  <sheets>
    <sheet name="Reservoir Summary Stats" sheetId="19" r:id="rId1"/>
    <sheet name="Annual Reservoir Trends" sheetId="24" r:id="rId2"/>
    <sheet name="Nitrogen Trends" sheetId="23" r:id="rId3"/>
    <sheet name="Phosphorus Trends" sheetId="22" r:id="rId4"/>
    <sheet name="Loading" sheetId="21" r:id="rId5"/>
    <sheet name="Carlson" sheetId="20" r:id="rId6"/>
    <sheet name="Walker" sheetId="25" r:id="rId7"/>
    <sheet name="Monthly Discharge" sheetId="26" r:id="rId8"/>
    <sheet name="Temperature" sheetId="13" r:id="rId9"/>
    <sheet name="Conductance" sheetId="1" r:id="rId10"/>
    <sheet name="pH" sheetId="7" r:id="rId11"/>
    <sheet name="Oxygen" sheetId="8" r:id="rId12"/>
    <sheet name="Temp DO Comp" sheetId="49" r:id="rId13"/>
    <sheet name="T &amp; Diss Phosphorus" sheetId="3" r:id="rId14"/>
    <sheet name="Nitrate &amp; T Nitrogen" sheetId="15" r:id="rId15"/>
    <sheet name="TSS" sheetId="12" r:id="rId16"/>
    <sheet name="Chlsecchi" sheetId="14" r:id="rId17"/>
    <sheet name="GEI P1 Sites" sheetId="108" r:id="rId18"/>
    <sheet name="P1 Summary" sheetId="34" r:id="rId19"/>
    <sheet name="GEI Coyote Gulch" sheetId="88" r:id="rId20"/>
    <sheet name="Coyote Summary" sheetId="90" r:id="rId21"/>
    <sheet name="GEI Kerr Swede Lab" sheetId="89" r:id="rId22"/>
    <sheet name="GEI Mt Evans" sheetId="109" r:id="rId23"/>
    <sheet name="Mt Evans Summary" sheetId="71" r:id="rId24"/>
    <sheet name="Fen Study" sheetId="112" r:id="rId25"/>
    <sheet name="GEI Watershed" sheetId="110" r:id="rId26"/>
    <sheet name="MWS 2015 Field" sheetId="72" r:id="rId27"/>
    <sheet name="MWS 2015 chemistry" sheetId="56" r:id="rId28"/>
    <sheet name="GEI EGL" sheetId="111" r:id="rId29"/>
    <sheet name="EGL Summary" sheetId="64" r:id="rId30"/>
    <sheet name="2015 Sediment" sheetId="107" r:id="rId31"/>
    <sheet name="Macro" sheetId="115" r:id="rId32"/>
    <sheet name="2015 Sites " sheetId="86" r:id="rId33"/>
    <sheet name="Parameters 2015" sheetId="77" r:id="rId34"/>
    <sheet name="Methods Labratory" sheetId="79" r:id="rId35"/>
    <sheet name="P1 Field Sheet" sheetId="31" r:id="rId36"/>
    <sheet name="Field WS" sheetId="80" r:id="rId37"/>
  </sheets>
  <externalReferences>
    <externalReference r:id="rId38"/>
  </externalReferences>
  <definedNames>
    <definedName name="_xlnm.Print_Area" localSheetId="30">'2015 Sediment'!$P$1:$V$18</definedName>
    <definedName name="_xlnm.Print_Area" localSheetId="5">Carlson!$M$52:$Y$93</definedName>
    <definedName name="_xlnm.Print_Area" localSheetId="16">Chlsecchi!$A$1:$P$64</definedName>
    <definedName name="_xlnm.Print_Area" localSheetId="9">Conductance!$A$1:$P$22</definedName>
    <definedName name="_xlnm.Print_Area" localSheetId="36">'Field WS'!$A$61:$K$113</definedName>
    <definedName name="_xlnm.Print_Area" localSheetId="4">Loading!$A$81:$N$113</definedName>
    <definedName name="_xlnm.Print_Area" localSheetId="23">'Mt Evans Summary'!$S$2:$X$44</definedName>
    <definedName name="_xlnm.Print_Area" localSheetId="27">'MWS 2015 chemistry'!#REF!</definedName>
    <definedName name="_xlnm.Print_Area" localSheetId="14">'Nitrate &amp; T Nitrogen'!$A$4:$U$27</definedName>
    <definedName name="_xlnm.Print_Area" localSheetId="11">Oxygen!$A$1:$P$24</definedName>
    <definedName name="_xlnm.Print_Area" localSheetId="35">'P1 Field Sheet'!$A$55:$I$87</definedName>
    <definedName name="_xlnm.Print_Area" localSheetId="18">'P1 Summary'!$A$2:$M$36</definedName>
    <definedName name="_xlnm.Print_Area" localSheetId="10">pH!$A$1:$P$10</definedName>
    <definedName name="_xlnm.Print_Area" localSheetId="13">'T &amp; Diss Phosphorus'!$A$2:$U$10</definedName>
    <definedName name="_xlnm.Print_Area" localSheetId="12">'Temp DO Comp'!$R$1:$AG$8</definedName>
    <definedName name="_xlnm.Print_Area" localSheetId="8">Temperature!$A$2:$S$80</definedName>
    <definedName name="_xlnm.Print_Area" localSheetId="15">TSS!$A$1:$T$21</definedName>
    <definedName name="_xlnm.Print_Area" localSheetId="6">Walker!$M$50:$AO$86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64" l="1"/>
  <c r="C24" i="26" l="1"/>
  <c r="D24" i="26"/>
  <c r="C16" i="26"/>
  <c r="D16" i="26"/>
  <c r="E16" i="26"/>
  <c r="E24" i="26" s="1"/>
  <c r="F16" i="26"/>
  <c r="F24" i="26" s="1"/>
  <c r="G16" i="26"/>
  <c r="G24" i="26" s="1"/>
  <c r="H16" i="26"/>
  <c r="H24" i="26" s="1"/>
  <c r="I16" i="26"/>
  <c r="I24" i="26" s="1"/>
  <c r="J16" i="26"/>
  <c r="J24" i="26" s="1"/>
  <c r="K16" i="26"/>
  <c r="K24" i="26" s="1"/>
  <c r="L16" i="26"/>
  <c r="L24" i="26" s="1"/>
  <c r="M16" i="26"/>
  <c r="M24" i="26" s="1"/>
  <c r="B16" i="26"/>
  <c r="B24" i="26" s="1"/>
  <c r="B9" i="26"/>
  <c r="B10" i="26"/>
  <c r="B11" i="26"/>
  <c r="B13" i="26"/>
  <c r="N24" i="26" l="1"/>
  <c r="R53" i="21" l="1"/>
  <c r="R56" i="56" l="1"/>
  <c r="S56" i="56"/>
  <c r="R57" i="56"/>
  <c r="S57" i="56"/>
  <c r="R68" i="56"/>
  <c r="S68" i="56"/>
  <c r="R69" i="56"/>
  <c r="S69" i="56"/>
  <c r="P56" i="56"/>
  <c r="Q56" i="56"/>
  <c r="P57" i="56"/>
  <c r="Q57" i="56"/>
  <c r="P68" i="56"/>
  <c r="Q68" i="56"/>
  <c r="P69" i="56"/>
  <c r="Q69" i="56"/>
  <c r="N56" i="56"/>
  <c r="O56" i="56"/>
  <c r="N57" i="56"/>
  <c r="O57" i="56"/>
  <c r="N68" i="56"/>
  <c r="O68" i="56"/>
  <c r="N69" i="56"/>
  <c r="O69" i="56"/>
  <c r="L56" i="56"/>
  <c r="M56" i="56"/>
  <c r="L57" i="56"/>
  <c r="M57" i="56"/>
  <c r="J68" i="56"/>
  <c r="K68" i="56"/>
  <c r="J69" i="56"/>
  <c r="K69" i="56"/>
  <c r="Z25" i="21" l="1"/>
  <c r="AD44" i="21" l="1"/>
  <c r="AD43" i="21"/>
  <c r="AB44" i="21"/>
  <c r="AB43" i="21"/>
  <c r="S49" i="21"/>
  <c r="T48" i="21" l="1"/>
  <c r="U48" i="21" s="1"/>
  <c r="T49" i="21"/>
  <c r="U49" i="21" s="1"/>
  <c r="T47" i="21"/>
  <c r="U47" i="21" s="1"/>
  <c r="AC42" i="21" l="1"/>
  <c r="AE42" i="21" s="1"/>
  <c r="AF42" i="21" s="1"/>
  <c r="AE32" i="21"/>
  <c r="AF32" i="21" s="1"/>
  <c r="AE40" i="21"/>
  <c r="AF40" i="21" s="1"/>
  <c r="AC28" i="21"/>
  <c r="AE28" i="21" s="1"/>
  <c r="AF28" i="21" s="1"/>
  <c r="AC29" i="21"/>
  <c r="AE29" i="21" s="1"/>
  <c r="AC30" i="21"/>
  <c r="AE30" i="21" s="1"/>
  <c r="AF30" i="21" s="1"/>
  <c r="AC31" i="21"/>
  <c r="AE31" i="21" s="1"/>
  <c r="AF31" i="21" s="1"/>
  <c r="AC32" i="21"/>
  <c r="AC33" i="21"/>
  <c r="AE33" i="21" s="1"/>
  <c r="AF33" i="21" s="1"/>
  <c r="AC34" i="21"/>
  <c r="AE34" i="21" s="1"/>
  <c r="AF34" i="21" s="1"/>
  <c r="AC35" i="21"/>
  <c r="AE35" i="21" s="1"/>
  <c r="AF35" i="21" s="1"/>
  <c r="AC36" i="21"/>
  <c r="AE36" i="21" s="1"/>
  <c r="AF36" i="21" s="1"/>
  <c r="AC37" i="21"/>
  <c r="AE37" i="21" s="1"/>
  <c r="AF37" i="21" s="1"/>
  <c r="AC38" i="21"/>
  <c r="AE38" i="21" s="1"/>
  <c r="AF38" i="21" s="1"/>
  <c r="AC39" i="21"/>
  <c r="AE39" i="21" s="1"/>
  <c r="AF39" i="21" s="1"/>
  <c r="AC40" i="21"/>
  <c r="AC41" i="21"/>
  <c r="AE41" i="21" s="1"/>
  <c r="AF41" i="21" s="1"/>
  <c r="AC27" i="21"/>
  <c r="AE27" i="21" s="1"/>
  <c r="V70" i="21"/>
  <c r="S70" i="21"/>
  <c r="T70" i="21"/>
  <c r="U70" i="21"/>
  <c r="R70" i="21"/>
  <c r="AE44" i="21" l="1"/>
  <c r="AE43" i="21"/>
  <c r="AF27" i="21"/>
  <c r="AC44" i="21"/>
  <c r="AC43" i="21"/>
  <c r="Q4" i="71"/>
  <c r="Q5" i="71"/>
  <c r="Q6" i="71"/>
  <c r="Q7" i="71"/>
  <c r="Q8" i="71"/>
  <c r="Q9" i="71"/>
  <c r="Q10" i="71"/>
  <c r="Q11" i="71"/>
  <c r="Q12" i="71"/>
  <c r="Q13" i="71"/>
  <c r="Q14" i="71"/>
  <c r="Q15" i="71"/>
  <c r="Q17" i="71"/>
  <c r="Q18" i="71"/>
  <c r="Q19" i="71"/>
  <c r="Q20" i="71"/>
  <c r="M25" i="71"/>
  <c r="M31" i="71" s="1"/>
  <c r="N25" i="71"/>
  <c r="O25" i="71"/>
  <c r="O31" i="71" s="1"/>
  <c r="P25" i="71"/>
  <c r="M26" i="71"/>
  <c r="N26" i="71"/>
  <c r="Q26" i="71" s="1"/>
  <c r="O26" i="71"/>
  <c r="P26" i="71"/>
  <c r="P32" i="71" s="1"/>
  <c r="M27" i="71"/>
  <c r="N27" i="71"/>
  <c r="O27" i="71"/>
  <c r="P27" i="71"/>
  <c r="M28" i="71"/>
  <c r="N28" i="71"/>
  <c r="N38" i="71" s="1"/>
  <c r="O28" i="71"/>
  <c r="P28" i="71"/>
  <c r="P33" i="71" s="1"/>
  <c r="M29" i="71"/>
  <c r="N29" i="71"/>
  <c r="N39" i="71" s="1"/>
  <c r="Q39" i="71" s="1"/>
  <c r="O29" i="71"/>
  <c r="P29" i="71"/>
  <c r="P34" i="71" s="1"/>
  <c r="N31" i="71"/>
  <c r="P31" i="71"/>
  <c r="M32" i="71"/>
  <c r="O32" i="71"/>
  <c r="M33" i="71"/>
  <c r="O33" i="71"/>
  <c r="M34" i="71"/>
  <c r="O34" i="71"/>
  <c r="N36" i="71"/>
  <c r="P36" i="71"/>
  <c r="M37" i="71"/>
  <c r="O37" i="71"/>
  <c r="P37" i="71"/>
  <c r="M38" i="71"/>
  <c r="O38" i="71"/>
  <c r="P38" i="71"/>
  <c r="M39" i="71"/>
  <c r="O39" i="71"/>
  <c r="P39" i="71"/>
  <c r="N41" i="71"/>
  <c r="P41" i="71"/>
  <c r="M42" i="71"/>
  <c r="O42" i="71"/>
  <c r="P42" i="71"/>
  <c r="N34" i="71" l="1"/>
  <c r="Q34" i="71" s="1"/>
  <c r="N33" i="71"/>
  <c r="N32" i="71"/>
  <c r="Q32" i="71" s="1"/>
  <c r="Q29" i="71"/>
  <c r="N37" i="71"/>
  <c r="Q37" i="71" s="1"/>
  <c r="Q25" i="71"/>
  <c r="N42" i="71"/>
  <c r="Q42" i="71" s="1"/>
  <c r="Q31" i="71"/>
  <c r="O41" i="71"/>
  <c r="M41" i="71"/>
  <c r="Q41" i="71" s="1"/>
  <c r="Q38" i="71"/>
  <c r="O36" i="71"/>
  <c r="M36" i="71"/>
  <c r="Q33" i="71"/>
  <c r="Q28" i="71"/>
  <c r="Q27" i="71"/>
  <c r="AF44" i="21"/>
  <c r="AF43" i="21"/>
  <c r="N63" i="71"/>
  <c r="N62" i="71"/>
  <c r="N61" i="71"/>
  <c r="N60" i="71"/>
  <c r="Q36" i="71" l="1"/>
  <c r="M45" i="56"/>
  <c r="M69" i="56" s="1"/>
  <c r="M44" i="56"/>
  <c r="M68" i="56" s="1"/>
  <c r="L45" i="56"/>
  <c r="L69" i="56" s="1"/>
  <c r="L44" i="56"/>
  <c r="L68" i="56" s="1"/>
  <c r="U35" i="56"/>
  <c r="U59" i="56" s="1"/>
  <c r="U36" i="56"/>
  <c r="U60" i="56" s="1"/>
  <c r="U37" i="56"/>
  <c r="U61" i="56" s="1"/>
  <c r="U38" i="56"/>
  <c r="U62" i="56" s="1"/>
  <c r="U39" i="56"/>
  <c r="U63" i="56" s="1"/>
  <c r="U40" i="56"/>
  <c r="U64" i="56" s="1"/>
  <c r="U41" i="56"/>
  <c r="U65" i="56" s="1"/>
  <c r="U42" i="56"/>
  <c r="U66" i="56" s="1"/>
  <c r="U43" i="56"/>
  <c r="U67" i="56" s="1"/>
  <c r="U44" i="56"/>
  <c r="U68" i="56" s="1"/>
  <c r="U45" i="56"/>
  <c r="U69" i="56" s="1"/>
  <c r="U46" i="56"/>
  <c r="U70" i="56" s="1"/>
  <c r="U47" i="56"/>
  <c r="U71" i="56" s="1"/>
  <c r="U48" i="56"/>
  <c r="U72" i="56" s="1"/>
  <c r="T35" i="56"/>
  <c r="T59" i="56" s="1"/>
  <c r="T36" i="56"/>
  <c r="T60" i="56" s="1"/>
  <c r="T37" i="56"/>
  <c r="T61" i="56" s="1"/>
  <c r="T38" i="56"/>
  <c r="T62" i="56" s="1"/>
  <c r="T39" i="56"/>
  <c r="T63" i="56" s="1"/>
  <c r="T40" i="56"/>
  <c r="T64" i="56" s="1"/>
  <c r="T41" i="56"/>
  <c r="T65" i="56" s="1"/>
  <c r="T42" i="56"/>
  <c r="T66" i="56" s="1"/>
  <c r="T43" i="56"/>
  <c r="T67" i="56" s="1"/>
  <c r="T44" i="56"/>
  <c r="T68" i="56" s="1"/>
  <c r="T45" i="56"/>
  <c r="T69" i="56" s="1"/>
  <c r="T46" i="56"/>
  <c r="T70" i="56" s="1"/>
  <c r="T47" i="56"/>
  <c r="T71" i="56" s="1"/>
  <c r="T48" i="56"/>
  <c r="T72" i="56" s="1"/>
  <c r="S35" i="56"/>
  <c r="S59" i="56" s="1"/>
  <c r="S36" i="56"/>
  <c r="S60" i="56" s="1"/>
  <c r="S37" i="56"/>
  <c r="S61" i="56" s="1"/>
  <c r="S38" i="56"/>
  <c r="S62" i="56" s="1"/>
  <c r="S39" i="56"/>
  <c r="S63" i="56" s="1"/>
  <c r="S40" i="56"/>
  <c r="S64" i="56" s="1"/>
  <c r="S41" i="56"/>
  <c r="S65" i="56" s="1"/>
  <c r="S42" i="56"/>
  <c r="S66" i="56" s="1"/>
  <c r="S43" i="56"/>
  <c r="S67" i="56" s="1"/>
  <c r="S46" i="56"/>
  <c r="S70" i="56" s="1"/>
  <c r="S47" i="56"/>
  <c r="S71" i="56" s="1"/>
  <c r="S48" i="56"/>
  <c r="S72" i="56" s="1"/>
  <c r="R35" i="56"/>
  <c r="R59" i="56" s="1"/>
  <c r="R36" i="56"/>
  <c r="R60" i="56" s="1"/>
  <c r="R37" i="56"/>
  <c r="R61" i="56" s="1"/>
  <c r="R38" i="56"/>
  <c r="R62" i="56" s="1"/>
  <c r="R39" i="56"/>
  <c r="R63" i="56" s="1"/>
  <c r="R40" i="56"/>
  <c r="R64" i="56" s="1"/>
  <c r="R41" i="56"/>
  <c r="R65" i="56" s="1"/>
  <c r="R42" i="56"/>
  <c r="R66" i="56" s="1"/>
  <c r="R43" i="56"/>
  <c r="R67" i="56" s="1"/>
  <c r="R46" i="56"/>
  <c r="R70" i="56" s="1"/>
  <c r="R47" i="56"/>
  <c r="R71" i="56" s="1"/>
  <c r="R48" i="56"/>
  <c r="R72" i="56" s="1"/>
  <c r="Q35" i="56"/>
  <c r="Q59" i="56" s="1"/>
  <c r="Q36" i="56"/>
  <c r="Q60" i="56" s="1"/>
  <c r="Q37" i="56"/>
  <c r="Q61" i="56" s="1"/>
  <c r="Q38" i="56"/>
  <c r="Q62" i="56" s="1"/>
  <c r="Q39" i="56"/>
  <c r="Q63" i="56" s="1"/>
  <c r="Q40" i="56"/>
  <c r="Q64" i="56" s="1"/>
  <c r="Q41" i="56"/>
  <c r="Q65" i="56" s="1"/>
  <c r="Q42" i="56"/>
  <c r="Q66" i="56" s="1"/>
  <c r="Q43" i="56"/>
  <c r="Q67" i="56" s="1"/>
  <c r="Q46" i="56"/>
  <c r="Q70" i="56" s="1"/>
  <c r="Q47" i="56"/>
  <c r="Q71" i="56" s="1"/>
  <c r="Q48" i="56"/>
  <c r="Q72" i="56" s="1"/>
  <c r="P35" i="56"/>
  <c r="P59" i="56" s="1"/>
  <c r="P36" i="56"/>
  <c r="P60" i="56" s="1"/>
  <c r="P37" i="56"/>
  <c r="P61" i="56" s="1"/>
  <c r="P38" i="56"/>
  <c r="P62" i="56" s="1"/>
  <c r="P39" i="56"/>
  <c r="P63" i="56" s="1"/>
  <c r="P40" i="56"/>
  <c r="P64" i="56" s="1"/>
  <c r="P41" i="56"/>
  <c r="P65" i="56" s="1"/>
  <c r="P42" i="56"/>
  <c r="P66" i="56" s="1"/>
  <c r="P43" i="56"/>
  <c r="P67" i="56" s="1"/>
  <c r="P46" i="56"/>
  <c r="P70" i="56" s="1"/>
  <c r="P47" i="56"/>
  <c r="P71" i="56" s="1"/>
  <c r="P48" i="56"/>
  <c r="P72" i="56" s="1"/>
  <c r="O35" i="56"/>
  <c r="O59" i="56" s="1"/>
  <c r="O36" i="56"/>
  <c r="O60" i="56" s="1"/>
  <c r="O37" i="56"/>
  <c r="O61" i="56" s="1"/>
  <c r="O38" i="56"/>
  <c r="O62" i="56" s="1"/>
  <c r="O39" i="56"/>
  <c r="O63" i="56" s="1"/>
  <c r="O40" i="56"/>
  <c r="O64" i="56" s="1"/>
  <c r="O41" i="56"/>
  <c r="O65" i="56" s="1"/>
  <c r="O42" i="56"/>
  <c r="O66" i="56" s="1"/>
  <c r="O43" i="56"/>
  <c r="O67" i="56" s="1"/>
  <c r="O46" i="56"/>
  <c r="O70" i="56" s="1"/>
  <c r="O47" i="56"/>
  <c r="O71" i="56" s="1"/>
  <c r="O48" i="56"/>
  <c r="O72" i="56" s="1"/>
  <c r="N35" i="56"/>
  <c r="N59" i="56" s="1"/>
  <c r="N36" i="56"/>
  <c r="N60" i="56" s="1"/>
  <c r="N37" i="56"/>
  <c r="N61" i="56" s="1"/>
  <c r="N38" i="56"/>
  <c r="N62" i="56" s="1"/>
  <c r="N39" i="56"/>
  <c r="N63" i="56" s="1"/>
  <c r="N40" i="56"/>
  <c r="N64" i="56" s="1"/>
  <c r="N41" i="56"/>
  <c r="N65" i="56" s="1"/>
  <c r="N42" i="56"/>
  <c r="N66" i="56" s="1"/>
  <c r="N43" i="56"/>
  <c r="N67" i="56" s="1"/>
  <c r="N46" i="56"/>
  <c r="N70" i="56" s="1"/>
  <c r="N47" i="56"/>
  <c r="N71" i="56" s="1"/>
  <c r="N48" i="56"/>
  <c r="N72" i="56" s="1"/>
  <c r="M35" i="56"/>
  <c r="M59" i="56" s="1"/>
  <c r="M36" i="56"/>
  <c r="M60" i="56" s="1"/>
  <c r="M37" i="56"/>
  <c r="M61" i="56" s="1"/>
  <c r="M38" i="56"/>
  <c r="M62" i="56" s="1"/>
  <c r="M39" i="56"/>
  <c r="M63" i="56" s="1"/>
  <c r="M40" i="56"/>
  <c r="M64" i="56" s="1"/>
  <c r="M41" i="56"/>
  <c r="M65" i="56" s="1"/>
  <c r="M42" i="56"/>
  <c r="M66" i="56" s="1"/>
  <c r="M43" i="56"/>
  <c r="M67" i="56" s="1"/>
  <c r="M46" i="56"/>
  <c r="M70" i="56" s="1"/>
  <c r="M47" i="56"/>
  <c r="M71" i="56" s="1"/>
  <c r="M48" i="56"/>
  <c r="M72" i="56" s="1"/>
  <c r="L35" i="56"/>
  <c r="L59" i="56" s="1"/>
  <c r="L36" i="56"/>
  <c r="L60" i="56" s="1"/>
  <c r="L37" i="56"/>
  <c r="L61" i="56" s="1"/>
  <c r="L38" i="56"/>
  <c r="L62" i="56" s="1"/>
  <c r="L39" i="56"/>
  <c r="L63" i="56" s="1"/>
  <c r="L40" i="56"/>
  <c r="L64" i="56" s="1"/>
  <c r="L41" i="56"/>
  <c r="L65" i="56" s="1"/>
  <c r="L42" i="56"/>
  <c r="L66" i="56" s="1"/>
  <c r="L43" i="56"/>
  <c r="L67" i="56" s="1"/>
  <c r="L46" i="56"/>
  <c r="L70" i="56" s="1"/>
  <c r="L47" i="56"/>
  <c r="L71" i="56" s="1"/>
  <c r="L48" i="56"/>
  <c r="L72" i="56" s="1"/>
  <c r="K35" i="56"/>
  <c r="K59" i="56" s="1"/>
  <c r="K36" i="56"/>
  <c r="K60" i="56" s="1"/>
  <c r="K37" i="56"/>
  <c r="K61" i="56" s="1"/>
  <c r="K38" i="56"/>
  <c r="K62" i="56" s="1"/>
  <c r="K39" i="56"/>
  <c r="K63" i="56" s="1"/>
  <c r="J76" i="56" s="1"/>
  <c r="K40" i="56"/>
  <c r="K64" i="56" s="1"/>
  <c r="K41" i="56"/>
  <c r="K65" i="56" s="1"/>
  <c r="J77" i="56" s="1"/>
  <c r="K42" i="56"/>
  <c r="K66" i="56" s="1"/>
  <c r="K43" i="56"/>
  <c r="K67" i="56" s="1"/>
  <c r="K46" i="56"/>
  <c r="K70" i="56" s="1"/>
  <c r="K47" i="56"/>
  <c r="K71" i="56" s="1"/>
  <c r="K48" i="56"/>
  <c r="K72" i="56" s="1"/>
  <c r="J35" i="56"/>
  <c r="J59" i="56" s="1"/>
  <c r="J36" i="56"/>
  <c r="J60" i="56" s="1"/>
  <c r="J37" i="56"/>
  <c r="J61" i="56" s="1"/>
  <c r="J38" i="56"/>
  <c r="J62" i="56" s="1"/>
  <c r="J39" i="56"/>
  <c r="J63" i="56" s="1"/>
  <c r="J40" i="56"/>
  <c r="J64" i="56" s="1"/>
  <c r="J41" i="56"/>
  <c r="J65" i="56" s="1"/>
  <c r="J42" i="56"/>
  <c r="J66" i="56" s="1"/>
  <c r="J43" i="56"/>
  <c r="J67" i="56" s="1"/>
  <c r="J46" i="56"/>
  <c r="J70" i="56" s="1"/>
  <c r="J47" i="56"/>
  <c r="J71" i="56" s="1"/>
  <c r="J48" i="56"/>
  <c r="J72" i="56" s="1"/>
  <c r="U31" i="56"/>
  <c r="U55" i="56" s="1"/>
  <c r="U32" i="56"/>
  <c r="U56" i="56" s="1"/>
  <c r="U33" i="56"/>
  <c r="U57" i="56" s="1"/>
  <c r="U34" i="56"/>
  <c r="U58" i="56" s="1"/>
  <c r="T31" i="56"/>
  <c r="T55" i="56" s="1"/>
  <c r="T32" i="56"/>
  <c r="T56" i="56" s="1"/>
  <c r="T33" i="56"/>
  <c r="T57" i="56" s="1"/>
  <c r="T34" i="56"/>
  <c r="T58" i="56" s="1"/>
  <c r="S31" i="56"/>
  <c r="S55" i="56" s="1"/>
  <c r="S34" i="56"/>
  <c r="S58" i="56" s="1"/>
  <c r="R31" i="56"/>
  <c r="R55" i="56" s="1"/>
  <c r="R34" i="56"/>
  <c r="R58" i="56" s="1"/>
  <c r="Q31" i="56"/>
  <c r="Q55" i="56" s="1"/>
  <c r="Q34" i="56"/>
  <c r="Q58" i="56" s="1"/>
  <c r="P31" i="56"/>
  <c r="P55" i="56" s="1"/>
  <c r="P34" i="56"/>
  <c r="P58" i="56" s="1"/>
  <c r="O31" i="56"/>
  <c r="O55" i="56" s="1"/>
  <c r="O34" i="56"/>
  <c r="O58" i="56" s="1"/>
  <c r="N31" i="56"/>
  <c r="N55" i="56" s="1"/>
  <c r="N34" i="56"/>
  <c r="N58" i="56" s="1"/>
  <c r="L31" i="56"/>
  <c r="L55" i="56" s="1"/>
  <c r="L34" i="56"/>
  <c r="L58" i="56" s="1"/>
  <c r="K31" i="56"/>
  <c r="K55" i="56" s="1"/>
  <c r="K32" i="56"/>
  <c r="K56" i="56" s="1"/>
  <c r="K33" i="56"/>
  <c r="K57" i="56" s="1"/>
  <c r="K34" i="56"/>
  <c r="K58" i="56" s="1"/>
  <c r="M31" i="56"/>
  <c r="M55" i="56" s="1"/>
  <c r="M34" i="56"/>
  <c r="M58" i="56" s="1"/>
  <c r="J31" i="56"/>
  <c r="J55" i="56" s="1"/>
  <c r="J32" i="56"/>
  <c r="J56" i="56" s="1"/>
  <c r="J33" i="56"/>
  <c r="J57" i="56" s="1"/>
  <c r="J34" i="56"/>
  <c r="J58" i="56" s="1"/>
  <c r="U30" i="56"/>
  <c r="U54" i="56" s="1"/>
  <c r="T30" i="56"/>
  <c r="T54" i="56" s="1"/>
  <c r="S30" i="56"/>
  <c r="S54" i="56" s="1"/>
  <c r="R30" i="56"/>
  <c r="R54" i="56" s="1"/>
  <c r="Q30" i="56"/>
  <c r="Q54" i="56" s="1"/>
  <c r="P30" i="56"/>
  <c r="P54" i="56" s="1"/>
  <c r="O30" i="56"/>
  <c r="O54" i="56" s="1"/>
  <c r="N30" i="56"/>
  <c r="N54" i="56" s="1"/>
  <c r="M30" i="56"/>
  <c r="M54" i="56" s="1"/>
  <c r="L30" i="56"/>
  <c r="L54" i="56" s="1"/>
  <c r="K30" i="56"/>
  <c r="K54" i="56" s="1"/>
  <c r="J30" i="56"/>
  <c r="J54" i="56" s="1"/>
  <c r="U29" i="56"/>
  <c r="U53" i="56" s="1"/>
  <c r="T29" i="56"/>
  <c r="T53" i="56" s="1"/>
  <c r="S29" i="56"/>
  <c r="S53" i="56" s="1"/>
  <c r="R29" i="56"/>
  <c r="R53" i="56" s="1"/>
  <c r="Q29" i="56"/>
  <c r="Q53" i="56" s="1"/>
  <c r="P29" i="56"/>
  <c r="P53" i="56" s="1"/>
  <c r="O29" i="56"/>
  <c r="O53" i="56" s="1"/>
  <c r="N29" i="56"/>
  <c r="N53" i="56" s="1"/>
  <c r="M29" i="56"/>
  <c r="M53" i="56" s="1"/>
  <c r="L29" i="56"/>
  <c r="L53" i="56" s="1"/>
  <c r="K29" i="56"/>
  <c r="K53" i="56" s="1"/>
  <c r="J29" i="56"/>
  <c r="J53" i="56" s="1"/>
  <c r="U28" i="56"/>
  <c r="U52" i="56" s="1"/>
  <c r="S28" i="56"/>
  <c r="S52" i="56" s="1"/>
  <c r="T28" i="56"/>
  <c r="T52" i="56" s="1"/>
  <c r="R28" i="56"/>
  <c r="R52" i="56" s="1"/>
  <c r="Q28" i="56"/>
  <c r="Q52" i="56" s="1"/>
  <c r="P28" i="56"/>
  <c r="P52" i="56" s="1"/>
  <c r="O28" i="56"/>
  <c r="O52" i="56" s="1"/>
  <c r="N28" i="56"/>
  <c r="N52" i="56" s="1"/>
  <c r="M28" i="56"/>
  <c r="M52" i="56" s="1"/>
  <c r="K28" i="56"/>
  <c r="K52" i="56" s="1"/>
  <c r="J28" i="56"/>
  <c r="J52" i="56" s="1"/>
  <c r="L28" i="56"/>
  <c r="L52" i="56" s="1"/>
  <c r="E3" i="56"/>
  <c r="F3" i="56"/>
  <c r="G3" i="56"/>
  <c r="E4" i="56"/>
  <c r="F4" i="56"/>
  <c r="G4" i="56"/>
  <c r="E5" i="56"/>
  <c r="F5" i="56"/>
  <c r="G5" i="56"/>
  <c r="E6" i="56"/>
  <c r="F6" i="56"/>
  <c r="G6" i="56"/>
  <c r="G7" i="56"/>
  <c r="G8" i="56"/>
  <c r="E9" i="56"/>
  <c r="F9" i="56"/>
  <c r="G9" i="56"/>
  <c r="E10" i="56"/>
  <c r="F10" i="56"/>
  <c r="G10" i="56"/>
  <c r="E11" i="56"/>
  <c r="F11" i="56"/>
  <c r="G11" i="56"/>
  <c r="E12" i="56"/>
  <c r="F12" i="56"/>
  <c r="G12" i="56"/>
  <c r="E13" i="56"/>
  <c r="F13" i="56"/>
  <c r="G13" i="56"/>
  <c r="E14" i="56"/>
  <c r="F14" i="56"/>
  <c r="G14" i="56"/>
  <c r="E15" i="56"/>
  <c r="F15" i="56"/>
  <c r="G15" i="56"/>
  <c r="E16" i="56"/>
  <c r="F16" i="56"/>
  <c r="G16" i="56"/>
  <c r="E17" i="56"/>
  <c r="F17" i="56"/>
  <c r="G17" i="56"/>
  <c r="E18" i="56"/>
  <c r="F18" i="56"/>
  <c r="G18" i="56"/>
  <c r="G19" i="56"/>
  <c r="G20" i="56"/>
  <c r="E21" i="56"/>
  <c r="F21" i="56"/>
  <c r="G21" i="56"/>
  <c r="E22" i="56"/>
  <c r="F22" i="56"/>
  <c r="G22" i="56"/>
  <c r="E23" i="56"/>
  <c r="F23" i="56"/>
  <c r="G23" i="56"/>
  <c r="D4" i="56"/>
  <c r="D5" i="56"/>
  <c r="D6" i="56"/>
  <c r="D7" i="56"/>
  <c r="D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3" i="56"/>
  <c r="K73" i="56" l="1"/>
  <c r="P73" i="56"/>
  <c r="S73" i="56"/>
  <c r="L73" i="56"/>
  <c r="N73" i="56"/>
  <c r="R73" i="56"/>
  <c r="J75" i="56"/>
  <c r="J73" i="56"/>
  <c r="M73" i="56"/>
  <c r="O73" i="56"/>
  <c r="Q73" i="56"/>
  <c r="T73" i="56"/>
  <c r="U73" i="56"/>
  <c r="D95" i="64"/>
  <c r="I95" i="64" s="1"/>
  <c r="D94" i="64"/>
  <c r="H94" i="64" s="1"/>
  <c r="D93" i="64"/>
  <c r="I93" i="64" s="1"/>
  <c r="D92" i="64"/>
  <c r="H92" i="64" s="1"/>
  <c r="D91" i="64"/>
  <c r="I91" i="64" s="1"/>
  <c r="D90" i="64"/>
  <c r="D96" i="64" l="1"/>
  <c r="I90" i="64"/>
  <c r="J94" i="64"/>
  <c r="J90" i="64"/>
  <c r="H90" i="64"/>
  <c r="I94" i="64"/>
  <c r="I92" i="64"/>
  <c r="I96" i="64" s="1"/>
  <c r="J92" i="64"/>
  <c r="H91" i="64"/>
  <c r="J91" i="64"/>
  <c r="H93" i="64"/>
  <c r="J93" i="64"/>
  <c r="H95" i="64"/>
  <c r="J95" i="64"/>
  <c r="H96" i="64" l="1"/>
  <c r="J96" i="64"/>
  <c r="BK13" i="56" l="1"/>
  <c r="BB12" i="56"/>
  <c r="BF12" i="56" s="1"/>
  <c r="BB10" i="56"/>
  <c r="BF10" i="56" s="1"/>
  <c r="BA9" i="56"/>
  <c r="BA11" i="56" s="1"/>
  <c r="BB11" i="56" s="1"/>
  <c r="BB8" i="56"/>
  <c r="BF8" i="56" s="1"/>
  <c r="BB7" i="56"/>
  <c r="BF7" i="56" s="1"/>
  <c r="BF9" i="56" s="1"/>
  <c r="BF11" i="56" s="1"/>
  <c r="BA6" i="56"/>
  <c r="BB6" i="56" s="1"/>
  <c r="BB5" i="56"/>
  <c r="BE5" i="56" s="1"/>
  <c r="BB4" i="56"/>
  <c r="BF4" i="56" s="1"/>
  <c r="AV40" i="56"/>
  <c r="BE10" i="56" l="1"/>
  <c r="BE4" i="56"/>
  <c r="BE6" i="56" s="1"/>
  <c r="BB9" i="56"/>
  <c r="BE7" i="56"/>
  <c r="BF5" i="56"/>
  <c r="BF6" i="56" s="1"/>
  <c r="BE8" i="56"/>
  <c r="BE12" i="56"/>
  <c r="BL22" i="56"/>
  <c r="BL11" i="56" s="1"/>
  <c r="BK19" i="56"/>
  <c r="BH20" i="56"/>
  <c r="BK20" i="56" s="1"/>
  <c r="BH22" i="56"/>
  <c r="BK22" i="56" s="1"/>
  <c r="BK11" i="56" s="1"/>
  <c r="BH23" i="56"/>
  <c r="BL23" i="56" s="1"/>
  <c r="BH25" i="56"/>
  <c r="BL25" i="56" s="1"/>
  <c r="BH27" i="56"/>
  <c r="BL27" i="56" s="1"/>
  <c r="BH19" i="56"/>
  <c r="BL19" i="56" s="1"/>
  <c r="BG24" i="56"/>
  <c r="BH24" i="56" s="1"/>
  <c r="BG21" i="56"/>
  <c r="BH21" i="56" s="1"/>
  <c r="AX25" i="56"/>
  <c r="AT25" i="56"/>
  <c r="AW25" i="56" s="1"/>
  <c r="AT24" i="56"/>
  <c r="AX24" i="56" s="1"/>
  <c r="AT21" i="56"/>
  <c r="AT19" i="56"/>
  <c r="AW19" i="56" s="1"/>
  <c r="AT18" i="56"/>
  <c r="AX18" i="56" s="1"/>
  <c r="R4" i="72"/>
  <c r="R5" i="72"/>
  <c r="R3" i="72"/>
  <c r="AV36" i="56" l="1"/>
  <c r="BL7" i="56"/>
  <c r="BL20" i="56"/>
  <c r="BE9" i="56"/>
  <c r="BE11" i="56" s="1"/>
  <c r="AW18" i="56"/>
  <c r="AW20" i="56"/>
  <c r="BL10" i="56"/>
  <c r="BL21" i="56"/>
  <c r="AV32" i="56"/>
  <c r="BL6" i="56"/>
  <c r="AX21" i="56"/>
  <c r="AU27" i="56"/>
  <c r="AW24" i="56"/>
  <c r="AV37" i="56" s="1"/>
  <c r="AX19" i="56"/>
  <c r="AX20" i="56" s="1"/>
  <c r="BG26" i="56"/>
  <c r="BH26" i="56" s="1"/>
  <c r="BL5" i="56"/>
  <c r="BK25" i="56"/>
  <c r="BK21" i="56"/>
  <c r="AT20" i="56"/>
  <c r="AT22" i="56" s="1"/>
  <c r="AT23" i="56" s="1"/>
  <c r="BK23" i="56"/>
  <c r="BK27" i="56"/>
  <c r="BK5" i="56" s="1"/>
  <c r="BL24" i="56"/>
  <c r="BL26" i="56" s="1"/>
  <c r="AW21" i="56"/>
  <c r="AW22" i="56" l="1"/>
  <c r="AW23" i="56" s="1"/>
  <c r="AW27" i="56"/>
  <c r="AX22" i="56"/>
  <c r="AX23" i="56" s="1"/>
  <c r="AU30" i="56"/>
  <c r="BK6" i="56"/>
  <c r="BK24" i="56"/>
  <c r="BK26" i="56" s="1"/>
  <c r="BK7" i="56"/>
  <c r="BK10" i="56"/>
  <c r="R6" i="72"/>
  <c r="R7" i="72"/>
  <c r="R8" i="72"/>
  <c r="R9" i="72"/>
  <c r="R10" i="72"/>
  <c r="R11" i="72"/>
  <c r="R12" i="72"/>
  <c r="R13" i="72"/>
  <c r="R64" i="8" l="1"/>
  <c r="Q64" i="8"/>
  <c r="R79" i="8"/>
  <c r="Q79" i="8"/>
  <c r="E81" i="8"/>
  <c r="F81" i="8"/>
  <c r="G81" i="8"/>
  <c r="H81" i="8"/>
  <c r="I81" i="8"/>
  <c r="J81" i="8"/>
  <c r="K81" i="8"/>
  <c r="L81" i="8"/>
  <c r="M81" i="8"/>
  <c r="N81" i="8"/>
  <c r="O81" i="8"/>
  <c r="P81" i="8"/>
  <c r="E80" i="8"/>
  <c r="F80" i="8"/>
  <c r="G80" i="8"/>
  <c r="H80" i="8"/>
  <c r="I80" i="8"/>
  <c r="J80" i="8"/>
  <c r="K80" i="8"/>
  <c r="L80" i="8"/>
  <c r="M80" i="8"/>
  <c r="N80" i="8"/>
  <c r="O80" i="8"/>
  <c r="P80" i="8"/>
  <c r="D81" i="8"/>
  <c r="D80" i="8"/>
  <c r="B81" i="8"/>
  <c r="B80" i="8"/>
  <c r="E66" i="8"/>
  <c r="F66" i="8"/>
  <c r="G66" i="8"/>
  <c r="H66" i="8"/>
  <c r="I66" i="8"/>
  <c r="J66" i="8"/>
  <c r="K66" i="8"/>
  <c r="L66" i="8"/>
  <c r="M66" i="8"/>
  <c r="N66" i="8"/>
  <c r="O66" i="8"/>
  <c r="P66" i="8"/>
  <c r="E65" i="8"/>
  <c r="F65" i="8"/>
  <c r="G65" i="8"/>
  <c r="H65" i="8"/>
  <c r="I65" i="8"/>
  <c r="J65" i="8"/>
  <c r="K65" i="8"/>
  <c r="L65" i="8"/>
  <c r="M65" i="8"/>
  <c r="N65" i="8"/>
  <c r="O65" i="8"/>
  <c r="P65" i="8"/>
  <c r="D66" i="8"/>
  <c r="D65" i="8"/>
  <c r="B66" i="8"/>
  <c r="B65" i="8"/>
  <c r="E52" i="8"/>
  <c r="F52" i="8"/>
  <c r="G52" i="8"/>
  <c r="H52" i="8"/>
  <c r="I52" i="8"/>
  <c r="J52" i="8"/>
  <c r="K52" i="8"/>
  <c r="L52" i="8"/>
  <c r="M52" i="8"/>
  <c r="N52" i="8"/>
  <c r="O52" i="8"/>
  <c r="P52" i="8"/>
  <c r="E53" i="8"/>
  <c r="F53" i="8"/>
  <c r="G53" i="8"/>
  <c r="H53" i="8"/>
  <c r="I53" i="8"/>
  <c r="J53" i="8"/>
  <c r="K53" i="8"/>
  <c r="L53" i="8"/>
  <c r="M53" i="8"/>
  <c r="N53" i="8"/>
  <c r="O53" i="8"/>
  <c r="P53" i="8"/>
  <c r="D52" i="8"/>
  <c r="B52" i="8"/>
  <c r="B53" i="8"/>
  <c r="E37" i="8"/>
  <c r="F37" i="8"/>
  <c r="G37" i="8"/>
  <c r="H37" i="8"/>
  <c r="I37" i="8"/>
  <c r="J37" i="8"/>
  <c r="K37" i="8"/>
  <c r="L37" i="8"/>
  <c r="M37" i="8"/>
  <c r="N37" i="8"/>
  <c r="O37" i="8"/>
  <c r="P37" i="8"/>
  <c r="E38" i="8"/>
  <c r="F38" i="8"/>
  <c r="G38" i="8"/>
  <c r="H38" i="8"/>
  <c r="I38" i="8"/>
  <c r="J38" i="8"/>
  <c r="K38" i="8"/>
  <c r="L38" i="8"/>
  <c r="M38" i="8"/>
  <c r="N38" i="8"/>
  <c r="O38" i="8"/>
  <c r="P38" i="8"/>
  <c r="D37" i="8"/>
  <c r="B37" i="8"/>
  <c r="S79" i="8"/>
  <c r="S77" i="8"/>
  <c r="S64" i="8"/>
  <c r="S62" i="8"/>
  <c r="S50" i="8"/>
  <c r="S49" i="8"/>
  <c r="B53" i="7"/>
  <c r="E81" i="7"/>
  <c r="F81" i="7"/>
  <c r="G81" i="7"/>
  <c r="H81" i="7"/>
  <c r="I81" i="7"/>
  <c r="J81" i="7"/>
  <c r="K81" i="7"/>
  <c r="L81" i="7"/>
  <c r="M81" i="7"/>
  <c r="N81" i="7"/>
  <c r="O81" i="7"/>
  <c r="P81" i="7"/>
  <c r="D81" i="7"/>
  <c r="B81" i="7"/>
  <c r="E80" i="7"/>
  <c r="F80" i="7"/>
  <c r="G80" i="7"/>
  <c r="H80" i="7"/>
  <c r="I80" i="7"/>
  <c r="J80" i="7"/>
  <c r="K80" i="7"/>
  <c r="L80" i="7"/>
  <c r="M80" i="7"/>
  <c r="N80" i="7"/>
  <c r="O80" i="7"/>
  <c r="P80" i="7"/>
  <c r="B80" i="7"/>
  <c r="P65" i="7"/>
  <c r="E65" i="7"/>
  <c r="F65" i="7"/>
  <c r="G65" i="7"/>
  <c r="H65" i="7"/>
  <c r="I65" i="7"/>
  <c r="J65" i="7"/>
  <c r="K65" i="7"/>
  <c r="L65" i="7"/>
  <c r="M65" i="7"/>
  <c r="N65" i="7"/>
  <c r="O65" i="7"/>
  <c r="E66" i="7"/>
  <c r="F66" i="7"/>
  <c r="G66" i="7"/>
  <c r="H66" i="7"/>
  <c r="I66" i="7"/>
  <c r="J66" i="7"/>
  <c r="K66" i="7"/>
  <c r="L66" i="7"/>
  <c r="M66" i="7"/>
  <c r="N66" i="7"/>
  <c r="O66" i="7"/>
  <c r="P66" i="7"/>
  <c r="D66" i="7"/>
  <c r="B66" i="7"/>
  <c r="E53" i="7"/>
  <c r="F53" i="7"/>
  <c r="G53" i="7"/>
  <c r="H53" i="7"/>
  <c r="I53" i="7"/>
  <c r="J53" i="7"/>
  <c r="K53" i="7"/>
  <c r="L53" i="7"/>
  <c r="M53" i="7"/>
  <c r="N53" i="7"/>
  <c r="O53" i="7"/>
  <c r="P53" i="7"/>
  <c r="D53" i="7"/>
  <c r="E52" i="7"/>
  <c r="F52" i="7"/>
  <c r="G52" i="7"/>
  <c r="H52" i="7"/>
  <c r="I52" i="7"/>
  <c r="J52" i="7"/>
  <c r="K52" i="7"/>
  <c r="L52" i="7"/>
  <c r="M52" i="7"/>
  <c r="N52" i="7"/>
  <c r="O52" i="7"/>
  <c r="P52" i="7"/>
  <c r="B52" i="7"/>
  <c r="D52" i="7"/>
  <c r="E37" i="7"/>
  <c r="F37" i="7"/>
  <c r="G37" i="7"/>
  <c r="H37" i="7"/>
  <c r="I37" i="7"/>
  <c r="J37" i="7"/>
  <c r="K37" i="7"/>
  <c r="L37" i="7"/>
  <c r="M37" i="7"/>
  <c r="N37" i="7"/>
  <c r="O37" i="7"/>
  <c r="P37" i="7"/>
  <c r="D37" i="7"/>
  <c r="B37" i="7"/>
  <c r="Q50" i="7"/>
  <c r="R50" i="7"/>
  <c r="S50" i="7"/>
  <c r="S79" i="7"/>
  <c r="S77" i="7"/>
  <c r="S64" i="7"/>
  <c r="S62" i="7"/>
  <c r="S49" i="7"/>
  <c r="S48" i="7"/>
  <c r="P79" i="13" l="1"/>
  <c r="O64" i="13"/>
  <c r="P64" i="13"/>
  <c r="O52" i="13"/>
  <c r="P52" i="13"/>
  <c r="O37" i="13"/>
  <c r="P37" i="13"/>
  <c r="M79" i="13"/>
  <c r="N79" i="13"/>
  <c r="O79" i="13"/>
  <c r="L64" i="13"/>
  <c r="M64" i="13"/>
  <c r="N64" i="13"/>
  <c r="M52" i="13"/>
  <c r="K37" i="13"/>
  <c r="L37" i="13"/>
  <c r="M37" i="13"/>
  <c r="L79" i="13"/>
  <c r="E79" i="13"/>
  <c r="F79" i="13"/>
  <c r="G79" i="13"/>
  <c r="H79" i="13"/>
  <c r="I79" i="13"/>
  <c r="J79" i="13"/>
  <c r="K79" i="13"/>
  <c r="E64" i="13"/>
  <c r="F64" i="13"/>
  <c r="G64" i="13"/>
  <c r="H64" i="13"/>
  <c r="I64" i="13"/>
  <c r="J64" i="13"/>
  <c r="K64" i="13"/>
  <c r="E52" i="13"/>
  <c r="F52" i="13"/>
  <c r="G52" i="13"/>
  <c r="H52" i="13"/>
  <c r="I52" i="13"/>
  <c r="J52" i="13"/>
  <c r="K52" i="13"/>
  <c r="E37" i="13"/>
  <c r="F37" i="13"/>
  <c r="G37" i="13"/>
  <c r="H37" i="13"/>
  <c r="I37" i="13"/>
  <c r="J37" i="13"/>
  <c r="E78" i="1"/>
  <c r="F78" i="1"/>
  <c r="G78" i="1"/>
  <c r="H78" i="1"/>
  <c r="I78" i="1"/>
  <c r="J78" i="1"/>
  <c r="K78" i="1"/>
  <c r="L78" i="1"/>
  <c r="M78" i="1"/>
  <c r="N78" i="1"/>
  <c r="O78" i="1"/>
  <c r="P78" i="1"/>
  <c r="E64" i="1"/>
  <c r="F64" i="1"/>
  <c r="G64" i="1"/>
  <c r="H64" i="1"/>
  <c r="I64" i="1"/>
  <c r="J64" i="1"/>
  <c r="K64" i="1"/>
  <c r="L64" i="1"/>
  <c r="M64" i="1"/>
  <c r="N64" i="1"/>
  <c r="O64" i="1"/>
  <c r="P64" i="1"/>
  <c r="O52" i="1"/>
  <c r="P52" i="1"/>
  <c r="P38" i="1"/>
  <c r="P37" i="1"/>
  <c r="M37" i="1"/>
  <c r="E52" i="1"/>
  <c r="F52" i="1"/>
  <c r="G52" i="1"/>
  <c r="H52" i="1"/>
  <c r="I52" i="1"/>
  <c r="J52" i="1"/>
  <c r="K52" i="1"/>
  <c r="L52" i="1"/>
  <c r="E37" i="1"/>
  <c r="F37" i="1"/>
  <c r="G37" i="1"/>
  <c r="H37" i="1"/>
  <c r="I37" i="1"/>
  <c r="J37" i="1"/>
  <c r="K37" i="1"/>
  <c r="L37" i="1"/>
  <c r="D64" i="1"/>
  <c r="D37" i="1"/>
  <c r="S76" i="1"/>
  <c r="S62" i="1"/>
  <c r="S51" i="1"/>
  <c r="S50" i="1"/>
  <c r="S49" i="1"/>
  <c r="R49" i="13"/>
  <c r="R50" i="13"/>
  <c r="Q49" i="13"/>
  <c r="Q50" i="13"/>
  <c r="R78" i="13"/>
  <c r="Q78" i="13"/>
  <c r="D79" i="13"/>
  <c r="S78" i="13"/>
  <c r="S77" i="13"/>
  <c r="S76" i="13"/>
  <c r="D64" i="13"/>
  <c r="S62" i="13"/>
  <c r="D52" i="13"/>
  <c r="S50" i="13"/>
  <c r="S49" i="13"/>
  <c r="S48" i="13"/>
  <c r="P22" i="13"/>
  <c r="M22" i="13"/>
  <c r="K22" i="13"/>
  <c r="C22" i="13"/>
  <c r="D22" i="13"/>
  <c r="E22" i="13"/>
  <c r="F22" i="13"/>
  <c r="G22" i="13"/>
  <c r="H22" i="13"/>
  <c r="I22" i="13"/>
  <c r="J22" i="13"/>
  <c r="P22" i="8"/>
  <c r="O22" i="8"/>
  <c r="N22" i="8"/>
  <c r="M22" i="8"/>
  <c r="K22" i="8"/>
  <c r="L22" i="8"/>
  <c r="J22" i="8"/>
  <c r="I22" i="8"/>
  <c r="C22" i="8"/>
  <c r="D22" i="8"/>
  <c r="E22" i="8"/>
  <c r="F22" i="8"/>
  <c r="G22" i="8"/>
  <c r="H22" i="8"/>
  <c r="P22" i="7"/>
  <c r="M22" i="7"/>
  <c r="N22" i="7"/>
  <c r="O22" i="7"/>
  <c r="L22" i="7"/>
  <c r="K22" i="7"/>
  <c r="I22" i="7"/>
  <c r="J22" i="7"/>
  <c r="C22" i="7"/>
  <c r="D22" i="7"/>
  <c r="E22" i="7"/>
  <c r="F22" i="7"/>
  <c r="G22" i="7"/>
  <c r="H22" i="7"/>
  <c r="P22" i="1" l="1"/>
  <c r="N22" i="1"/>
  <c r="M22" i="1"/>
  <c r="K22" i="1"/>
  <c r="C22" i="1"/>
  <c r="D22" i="1"/>
  <c r="E22" i="1"/>
  <c r="F22" i="1"/>
  <c r="G22" i="1"/>
  <c r="H22" i="1"/>
  <c r="I22" i="1"/>
  <c r="J22" i="1"/>
  <c r="L22" i="1"/>
  <c r="O22" i="1"/>
  <c r="B64" i="1"/>
  <c r="B37" i="1"/>
  <c r="N37" i="1"/>
  <c r="O37" i="1"/>
  <c r="M52" i="1"/>
  <c r="N52" i="1"/>
  <c r="D52" i="1"/>
  <c r="B22" i="7"/>
  <c r="D78" i="1"/>
  <c r="B78" i="1"/>
  <c r="Q48" i="13"/>
  <c r="R48" i="13"/>
  <c r="Q62" i="8"/>
  <c r="R62" i="8"/>
  <c r="Q62" i="7"/>
  <c r="R62" i="7"/>
  <c r="Q62" i="1"/>
  <c r="R62" i="1"/>
  <c r="R62" i="13"/>
  <c r="Q77" i="8"/>
  <c r="R77" i="8"/>
  <c r="Q50" i="8"/>
  <c r="R50" i="8"/>
  <c r="Q49" i="8"/>
  <c r="R49" i="8"/>
  <c r="Q77" i="7"/>
  <c r="R77" i="7"/>
  <c r="B65" i="7"/>
  <c r="Q49" i="7"/>
  <c r="R49" i="7"/>
  <c r="Q48" i="7"/>
  <c r="R48" i="7"/>
  <c r="Q61" i="13"/>
  <c r="Q62" i="13"/>
  <c r="Q63" i="13"/>
  <c r="R77" i="13"/>
  <c r="Q77" i="13"/>
  <c r="Q76" i="1"/>
  <c r="R76" i="1"/>
  <c r="B53" i="1"/>
  <c r="B52" i="1"/>
  <c r="Q50" i="1"/>
  <c r="R50" i="1"/>
  <c r="Q49" i="1"/>
  <c r="R49" i="1"/>
  <c r="R76" i="13" l="1"/>
  <c r="Q76" i="13"/>
  <c r="B79" i="13"/>
  <c r="B53" i="13"/>
  <c r="B37" i="13"/>
  <c r="BC26" i="25"/>
  <c r="BC23" i="25"/>
  <c r="BC24" i="25" s="1"/>
  <c r="BC20" i="25"/>
  <c r="BC21" i="25" s="1"/>
  <c r="BC17" i="25"/>
  <c r="BC9" i="25"/>
  <c r="BC10" i="25" s="1"/>
  <c r="BC6" i="25"/>
  <c r="BC7" i="25" s="1"/>
  <c r="BC3" i="25"/>
  <c r="BC4" i="25" s="1"/>
  <c r="BC27" i="25"/>
  <c r="BC18" i="25"/>
  <c r="AA37" i="20"/>
  <c r="AA39" i="20" s="1"/>
  <c r="AA36" i="20"/>
  <c r="AA34" i="20"/>
  <c r="AA33" i="20"/>
  <c r="AA31" i="20"/>
  <c r="AA30" i="20"/>
  <c r="AA25" i="20"/>
  <c r="AA26" i="20" s="1"/>
  <c r="AA22" i="20"/>
  <c r="AA23" i="20" s="1"/>
  <c r="AA19" i="20"/>
  <c r="AA20" i="20" s="1"/>
  <c r="AA28" i="20" s="1"/>
  <c r="AB4" i="24"/>
  <c r="AB5" i="24"/>
  <c r="AB7" i="24"/>
  <c r="AB8" i="24"/>
  <c r="AA9" i="24"/>
  <c r="AB10" i="24"/>
  <c r="AB11" i="24"/>
  <c r="AB12" i="24"/>
  <c r="AA13" i="24"/>
  <c r="AA17" i="24"/>
  <c r="AA21" i="24"/>
  <c r="AB22" i="24"/>
  <c r="G103" i="22"/>
  <c r="G129" i="22" s="1"/>
  <c r="G129" i="23"/>
  <c r="C130" i="23"/>
  <c r="C22" i="14"/>
  <c r="D22" i="14"/>
  <c r="E22" i="14"/>
  <c r="F22" i="14"/>
  <c r="G22" i="14"/>
  <c r="B22" i="14"/>
  <c r="BC29" i="25" l="1"/>
  <c r="BC12" i="25"/>
  <c r="R3" i="90"/>
  <c r="D12" i="64"/>
  <c r="E12" i="64"/>
  <c r="F12" i="64"/>
  <c r="G12" i="64"/>
  <c r="H12" i="64"/>
  <c r="C12" i="64"/>
  <c r="W7" i="26" l="1"/>
  <c r="W5" i="26"/>
  <c r="W6" i="26"/>
  <c r="W4" i="26"/>
  <c r="AR15" i="26"/>
  <c r="AS15" i="26"/>
  <c r="AT15" i="26"/>
  <c r="AU15" i="26"/>
  <c r="AQ15" i="26"/>
  <c r="AP14" i="26"/>
  <c r="AQ14" i="26"/>
  <c r="AR14" i="26"/>
  <c r="AS14" i="26"/>
  <c r="AT14" i="26"/>
  <c r="AU14" i="26"/>
  <c r="AO14" i="26"/>
  <c r="CA36" i="56"/>
  <c r="CA37" i="56"/>
  <c r="CA38" i="56"/>
  <c r="CA35" i="56"/>
  <c r="CA32" i="56"/>
  <c r="CA33" i="56"/>
  <c r="CA31" i="56"/>
  <c r="BZ32" i="56"/>
  <c r="BZ33" i="56"/>
  <c r="BZ35" i="56"/>
  <c r="BZ36" i="56"/>
  <c r="BZ37" i="56"/>
  <c r="BZ38" i="56"/>
  <c r="BZ31" i="56"/>
  <c r="BY53" i="56"/>
  <c r="CA34" i="56" l="1"/>
  <c r="BZ34" i="56"/>
  <c r="BP69" i="56" l="1"/>
  <c r="BS69" i="56" s="1"/>
  <c r="BP70" i="56"/>
  <c r="BT70" i="56" s="1"/>
  <c r="BP71" i="56"/>
  <c r="BS71" i="56" s="1"/>
  <c r="BP72" i="56"/>
  <c r="BT72" i="56" s="1"/>
  <c r="BP73" i="56"/>
  <c r="BS73" i="56" s="1"/>
  <c r="BP74" i="56"/>
  <c r="BT74" i="56" s="1"/>
  <c r="BP75" i="56"/>
  <c r="BS75" i="56" s="1"/>
  <c r="BP76" i="56"/>
  <c r="BT76" i="56" s="1"/>
  <c r="BP68" i="56"/>
  <c r="BP77" i="56" l="1"/>
  <c r="BS76" i="56"/>
  <c r="BS74" i="56"/>
  <c r="BS72" i="56"/>
  <c r="BS70" i="56"/>
  <c r="BT68" i="56"/>
  <c r="BT75" i="56"/>
  <c r="BT73" i="56"/>
  <c r="BT71" i="56"/>
  <c r="BT69" i="56"/>
  <c r="BS68" i="56"/>
  <c r="BP62" i="56"/>
  <c r="BT62" i="56" s="1"/>
  <c r="BP61" i="56"/>
  <c r="BS61" i="56" s="1"/>
  <c r="BP60" i="56"/>
  <c r="BT60" i="56" s="1"/>
  <c r="BP59" i="56"/>
  <c r="BS59" i="56" s="1"/>
  <c r="BP58" i="56"/>
  <c r="BT58" i="56" s="1"/>
  <c r="BP57" i="56"/>
  <c r="BP63" i="56" l="1"/>
  <c r="BS57" i="56"/>
  <c r="BS77" i="56"/>
  <c r="BT77" i="56"/>
  <c r="BT57" i="56"/>
  <c r="BS58" i="56"/>
  <c r="BT59" i="56"/>
  <c r="BS60" i="56"/>
  <c r="BT61" i="56"/>
  <c r="BS62" i="56"/>
  <c r="BS63" i="56" l="1"/>
  <c r="BT63" i="56"/>
  <c r="O21" i="112" l="1"/>
  <c r="O20" i="112"/>
  <c r="O19" i="112"/>
  <c r="O18" i="112"/>
  <c r="G13" i="112"/>
  <c r="F13" i="112"/>
  <c r="E13" i="112"/>
  <c r="D13" i="112"/>
  <c r="C13" i="112"/>
  <c r="B13" i="112"/>
  <c r="E48" i="71" l="1"/>
  <c r="E47" i="71"/>
  <c r="E49" i="71"/>
  <c r="E50" i="71"/>
  <c r="E51" i="71"/>
  <c r="BP47" i="56"/>
  <c r="BT47" i="56" s="1"/>
  <c r="BP48" i="56"/>
  <c r="BS48" i="56" s="1"/>
  <c r="BP49" i="56"/>
  <c r="BS49" i="56" s="1"/>
  <c r="BP50" i="56"/>
  <c r="BS50" i="56" s="1"/>
  <c r="BP51" i="56"/>
  <c r="BP46" i="56"/>
  <c r="K10" i="26"/>
  <c r="AP13" i="26"/>
  <c r="AQ13" i="26"/>
  <c r="AR13" i="26"/>
  <c r="K11" i="26" s="1"/>
  <c r="AS13" i="26"/>
  <c r="AT13" i="26"/>
  <c r="AU13" i="26"/>
  <c r="AO13" i="26"/>
  <c r="R13" i="107"/>
  <c r="S13" i="107"/>
  <c r="T13" i="107"/>
  <c r="U13" i="107"/>
  <c r="R14" i="107"/>
  <c r="S14" i="107"/>
  <c r="T14" i="107"/>
  <c r="U14" i="107"/>
  <c r="R15" i="107"/>
  <c r="S15" i="107"/>
  <c r="T15" i="107"/>
  <c r="U15" i="107"/>
  <c r="R16" i="107"/>
  <c r="S16" i="107"/>
  <c r="T16" i="107"/>
  <c r="U16" i="107"/>
  <c r="R17" i="107"/>
  <c r="T17" i="107"/>
  <c r="R18" i="107"/>
  <c r="S18" i="107"/>
  <c r="T18" i="107"/>
  <c r="U18" i="107"/>
  <c r="S12" i="107"/>
  <c r="T12" i="107"/>
  <c r="U12" i="107"/>
  <c r="R12" i="107"/>
  <c r="V4" i="107"/>
  <c r="V13" i="107" s="1"/>
  <c r="V5" i="107"/>
  <c r="V14" i="107" s="1"/>
  <c r="V6" i="107"/>
  <c r="V15" i="107" s="1"/>
  <c r="V7" i="107"/>
  <c r="V16" i="107" s="1"/>
  <c r="V8" i="107"/>
  <c r="V17" i="107" s="1"/>
  <c r="V9" i="107"/>
  <c r="V18" i="107" s="1"/>
  <c r="V3" i="107"/>
  <c r="V12" i="107" s="1"/>
  <c r="AG16" i="107"/>
  <c r="AG22" i="107"/>
  <c r="AE7" i="107"/>
  <c r="AE8" i="107"/>
  <c r="AE9" i="107"/>
  <c r="AE11" i="107"/>
  <c r="BT50" i="56" l="1"/>
  <c r="BS47" i="56"/>
  <c r="BT48" i="56"/>
  <c r="BT46" i="56"/>
  <c r="BP52" i="56"/>
  <c r="BS46" i="56"/>
  <c r="BS52" i="56" s="1"/>
  <c r="BT49" i="56"/>
  <c r="AB22" i="107"/>
  <c r="AD17" i="107"/>
  <c r="AD18" i="107"/>
  <c r="AD19" i="107"/>
  <c r="AD20" i="107"/>
  <c r="AD21" i="107"/>
  <c r="AD22" i="107"/>
  <c r="AD16" i="107"/>
  <c r="AD10" i="107"/>
  <c r="AE10" i="107" s="1"/>
  <c r="AD6" i="107"/>
  <c r="AE6" i="107" s="1"/>
  <c r="AD5" i="107"/>
  <c r="AE5" i="107" s="1"/>
  <c r="AK5" i="107"/>
  <c r="AB11" i="107"/>
  <c r="AC11" i="107" s="1"/>
  <c r="AF11" i="107" s="1"/>
  <c r="E82" i="26"/>
  <c r="E83" i="26"/>
  <c r="AP12" i="26"/>
  <c r="J10" i="26" s="1"/>
  <c r="AQ12" i="26"/>
  <c r="AR12" i="26"/>
  <c r="J11" i="26" s="1"/>
  <c r="AS12" i="26"/>
  <c r="AT12" i="26"/>
  <c r="AU12" i="26"/>
  <c r="AO12" i="26"/>
  <c r="I9" i="26"/>
  <c r="I13" i="26" s="1"/>
  <c r="W8" i="26"/>
  <c r="AP11" i="26"/>
  <c r="AQ11" i="26"/>
  <c r="AR11" i="26"/>
  <c r="AS11" i="26"/>
  <c r="AT11" i="26"/>
  <c r="AU11" i="26"/>
  <c r="AO11" i="26"/>
  <c r="W9" i="26"/>
  <c r="H11" i="26"/>
  <c r="H10" i="26"/>
  <c r="H9" i="26"/>
  <c r="BT52" i="56" l="1"/>
  <c r="AE22" i="107"/>
  <c r="AH22" i="107"/>
  <c r="AP10" i="26"/>
  <c r="AQ10" i="26"/>
  <c r="AR10" i="26"/>
  <c r="AS10" i="26"/>
  <c r="AT10" i="26"/>
  <c r="AU10" i="26"/>
  <c r="AO10" i="26"/>
  <c r="AP9" i="26"/>
  <c r="AQ9" i="26"/>
  <c r="AR9" i="26"/>
  <c r="AS9" i="26"/>
  <c r="AT9" i="26"/>
  <c r="AU9" i="26"/>
  <c r="AO9" i="26"/>
  <c r="AP8" i="26"/>
  <c r="AQ8" i="26"/>
  <c r="AR8" i="26"/>
  <c r="AS8" i="26"/>
  <c r="AT8" i="26"/>
  <c r="AU8" i="26"/>
  <c r="AO8" i="26"/>
  <c r="AP7" i="26"/>
  <c r="AQ7" i="26"/>
  <c r="AR7" i="26"/>
  <c r="AS7" i="26"/>
  <c r="AT7" i="26"/>
  <c r="AU7" i="26"/>
  <c r="AO7" i="26"/>
  <c r="AP6" i="26"/>
  <c r="AQ6" i="26"/>
  <c r="AR6" i="26"/>
  <c r="AS6" i="26"/>
  <c r="AT6" i="26"/>
  <c r="AU6" i="26"/>
  <c r="AO6" i="26"/>
  <c r="AQ5" i="26"/>
  <c r="AR5" i="26"/>
  <c r="AS5" i="26"/>
  <c r="AT5" i="26"/>
  <c r="AU5" i="26"/>
  <c r="AQ4" i="26"/>
  <c r="AR4" i="26"/>
  <c r="AS4" i="26"/>
  <c r="AT4" i="26"/>
  <c r="AU4" i="26"/>
  <c r="BB20" i="56"/>
  <c r="BF20" i="56" s="1"/>
  <c r="BB27" i="56"/>
  <c r="BE27" i="56" s="1"/>
  <c r="BB22" i="56"/>
  <c r="BB23" i="56"/>
  <c r="BE23" i="56" s="1"/>
  <c r="BI6" i="56" s="1"/>
  <c r="BB25" i="56"/>
  <c r="BF25" i="56" s="1"/>
  <c r="BB19" i="56"/>
  <c r="BF19" i="56" s="1"/>
  <c r="BF21" i="56" l="1"/>
  <c r="BE22" i="56"/>
  <c r="BB24" i="56"/>
  <c r="BB26" i="56" s="1"/>
  <c r="BB21" i="56"/>
  <c r="BE20" i="56"/>
  <c r="BI5" i="56" s="1"/>
  <c r="BE19" i="56"/>
  <c r="BE25" i="56"/>
  <c r="BI7" i="56" s="1"/>
  <c r="BF22" i="56"/>
  <c r="BF27" i="56"/>
  <c r="BJ7" i="56" s="1"/>
  <c r="BF23" i="56"/>
  <c r="BJ6" i="56" s="1"/>
  <c r="AN21" i="56"/>
  <c r="BJ10" i="56" l="1"/>
  <c r="BJ5" i="56"/>
  <c r="BJ11" i="56"/>
  <c r="BJ13" i="56"/>
  <c r="BE21" i="56"/>
  <c r="BI10" i="56"/>
  <c r="BI11" i="56"/>
  <c r="BI13" i="56"/>
  <c r="BE24" i="56"/>
  <c r="BE26" i="56" s="1"/>
  <c r="BF24" i="56"/>
  <c r="BF26" i="56" s="1"/>
  <c r="AQ21" i="56"/>
  <c r="AN25" i="56"/>
  <c r="AQ25" i="56" s="1"/>
  <c r="AN24" i="56"/>
  <c r="AN19" i="56"/>
  <c r="AQ19" i="56" s="1"/>
  <c r="AN18" i="56"/>
  <c r="AN15" i="56"/>
  <c r="AQ15" i="56" s="1"/>
  <c r="AN14" i="56"/>
  <c r="AR14" i="56" s="1"/>
  <c r="AN13" i="56"/>
  <c r="AQ13" i="56" s="1"/>
  <c r="AN12" i="56"/>
  <c r="AR12" i="56" s="1"/>
  <c r="AN11" i="56"/>
  <c r="AQ11" i="56" s="1"/>
  <c r="AN10" i="56"/>
  <c r="AR10" i="56" s="1"/>
  <c r="AN9" i="56"/>
  <c r="AQ9" i="56" s="1"/>
  <c r="AN8" i="56"/>
  <c r="AR8" i="56" s="1"/>
  <c r="AN7" i="56"/>
  <c r="AQ7" i="56" s="1"/>
  <c r="AN6" i="56"/>
  <c r="AR6" i="56" s="1"/>
  <c r="AN5" i="56"/>
  <c r="AQ5" i="56" s="1"/>
  <c r="AN4" i="56"/>
  <c r="AR4" i="56" s="1"/>
  <c r="K111" i="80"/>
  <c r="K108" i="80"/>
  <c r="C16" i="14"/>
  <c r="AE5" i="26"/>
  <c r="AE14" i="26"/>
  <c r="B22" i="8"/>
  <c r="B22" i="1"/>
  <c r="B22" i="13"/>
  <c r="S12" i="72"/>
  <c r="R14" i="72"/>
  <c r="S14" i="72" s="1"/>
  <c r="R15" i="72"/>
  <c r="R16" i="72"/>
  <c r="S15" i="72"/>
  <c r="S16" i="72"/>
  <c r="S36" i="34"/>
  <c r="F47" i="71"/>
  <c r="F48" i="71"/>
  <c r="F49" i="71"/>
  <c r="F50" i="71"/>
  <c r="F51" i="71"/>
  <c r="G102" i="22"/>
  <c r="G128" i="22" s="1"/>
  <c r="D53" i="8"/>
  <c r="D80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D65" i="7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D38" i="1"/>
  <c r="E38" i="1"/>
  <c r="F38" i="1"/>
  <c r="G38" i="1"/>
  <c r="H38" i="1"/>
  <c r="I38" i="1"/>
  <c r="J38" i="1"/>
  <c r="K38" i="1"/>
  <c r="L38" i="1"/>
  <c r="M38" i="1"/>
  <c r="N38" i="1"/>
  <c r="O38" i="1"/>
  <c r="B64" i="13"/>
  <c r="L52" i="13"/>
  <c r="N52" i="13"/>
  <c r="D37" i="13"/>
  <c r="N37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L22" i="13"/>
  <c r="N22" i="13"/>
  <c r="O22" i="13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S48" i="8"/>
  <c r="Q48" i="8"/>
  <c r="R48" i="8"/>
  <c r="E38" i="13"/>
  <c r="F38" i="13"/>
  <c r="G38" i="13"/>
  <c r="H38" i="13"/>
  <c r="I38" i="13"/>
  <c r="J38" i="13"/>
  <c r="K38" i="13"/>
  <c r="L38" i="13"/>
  <c r="M38" i="13"/>
  <c r="N38" i="13"/>
  <c r="O38" i="13"/>
  <c r="P38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1" i="1"/>
  <c r="R51" i="1"/>
  <c r="BB26" i="25"/>
  <c r="BB27" i="25" s="1"/>
  <c r="BB23" i="25"/>
  <c r="BB24" i="25" s="1"/>
  <c r="BB20" i="25"/>
  <c r="BB21" i="25" s="1"/>
  <c r="BB17" i="25"/>
  <c r="BB18" i="25" s="1"/>
  <c r="BB9" i="25"/>
  <c r="BB10" i="25" s="1"/>
  <c r="BB6" i="25"/>
  <c r="BB7" i="25" s="1"/>
  <c r="BB3" i="25"/>
  <c r="BB4" i="25" s="1"/>
  <c r="Z36" i="20"/>
  <c r="Z37" i="20" s="1"/>
  <c r="Z33" i="20"/>
  <c r="Z34" i="20" s="1"/>
  <c r="Z30" i="20"/>
  <c r="Z31" i="20" s="1"/>
  <c r="Z25" i="20"/>
  <c r="Z26" i="20" s="1"/>
  <c r="Z22" i="20"/>
  <c r="Z23" i="20" s="1"/>
  <c r="Z19" i="20"/>
  <c r="Z20" i="20" s="1"/>
  <c r="N11" i="21"/>
  <c r="C129" i="23"/>
  <c r="G128" i="23" s="1"/>
  <c r="J17" i="12"/>
  <c r="J18" i="12"/>
  <c r="J19" i="12"/>
  <c r="J20" i="12"/>
  <c r="I17" i="12"/>
  <c r="I18" i="12"/>
  <c r="I19" i="12"/>
  <c r="I20" i="12"/>
  <c r="H17" i="12"/>
  <c r="H18" i="12"/>
  <c r="H19" i="12"/>
  <c r="H20" i="12"/>
  <c r="H16" i="12"/>
  <c r="M17" i="12"/>
  <c r="M18" i="12"/>
  <c r="M19" i="12"/>
  <c r="M20" i="12"/>
  <c r="M16" i="12"/>
  <c r="L17" i="12"/>
  <c r="L18" i="12"/>
  <c r="L19" i="12"/>
  <c r="L20" i="12"/>
  <c r="L16" i="12"/>
  <c r="K17" i="12"/>
  <c r="K18" i="12"/>
  <c r="K19" i="12"/>
  <c r="K20" i="12"/>
  <c r="K16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K21" i="12" s="1"/>
  <c r="O11" i="12"/>
  <c r="L21" i="12" s="1"/>
  <c r="P11" i="12"/>
  <c r="M21" i="12" s="1"/>
  <c r="B11" i="12"/>
  <c r="H31" i="15"/>
  <c r="H32" i="15"/>
  <c r="H33" i="15"/>
  <c r="H34" i="15"/>
  <c r="I31" i="15"/>
  <c r="I32" i="15"/>
  <c r="I33" i="15"/>
  <c r="I34" i="15"/>
  <c r="J31" i="15"/>
  <c r="J32" i="15"/>
  <c r="J33" i="15"/>
  <c r="J34" i="15"/>
  <c r="K31" i="15"/>
  <c r="K32" i="15"/>
  <c r="K33" i="15"/>
  <c r="K34" i="15"/>
  <c r="K30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K35" i="15" s="1"/>
  <c r="O27" i="15"/>
  <c r="P27" i="15"/>
  <c r="B27" i="15"/>
  <c r="L14" i="15"/>
  <c r="L15" i="15"/>
  <c r="L16" i="15"/>
  <c r="L17" i="15"/>
  <c r="H10" i="15"/>
  <c r="I10" i="15"/>
  <c r="J10" i="15"/>
  <c r="K10" i="15"/>
  <c r="L10" i="15"/>
  <c r="M10" i="15"/>
  <c r="N10" i="15"/>
  <c r="K18" i="15" s="1"/>
  <c r="O10" i="15"/>
  <c r="L18" i="15" s="1"/>
  <c r="P10" i="15"/>
  <c r="M18" i="15" s="1"/>
  <c r="C10" i="15"/>
  <c r="D10" i="15"/>
  <c r="E10" i="15"/>
  <c r="F10" i="15"/>
  <c r="G10" i="15"/>
  <c r="B10" i="15"/>
  <c r="M14" i="15"/>
  <c r="M15" i="15"/>
  <c r="M16" i="15"/>
  <c r="M17" i="15"/>
  <c r="M13" i="15"/>
  <c r="L13" i="15"/>
  <c r="K14" i="15"/>
  <c r="K15" i="15"/>
  <c r="K16" i="15"/>
  <c r="K17" i="15"/>
  <c r="K13" i="15"/>
  <c r="J16" i="3"/>
  <c r="J17" i="3"/>
  <c r="J18" i="3"/>
  <c r="J19" i="3"/>
  <c r="J15" i="3"/>
  <c r="L16" i="3"/>
  <c r="L17" i="3"/>
  <c r="L18" i="3"/>
  <c r="L19" i="3"/>
  <c r="K16" i="3"/>
  <c r="K17" i="3"/>
  <c r="K18" i="3"/>
  <c r="K19" i="3"/>
  <c r="M16" i="3"/>
  <c r="M17" i="3"/>
  <c r="M18" i="3"/>
  <c r="M19" i="3"/>
  <c r="L15" i="3"/>
  <c r="M15" i="3"/>
  <c r="K15" i="3"/>
  <c r="Q21" i="1"/>
  <c r="R21" i="1"/>
  <c r="L22" i="14"/>
  <c r="M22" i="14"/>
  <c r="Z21" i="24"/>
  <c r="Z17" i="24"/>
  <c r="Z13" i="24"/>
  <c r="Z9" i="24"/>
  <c r="Z6" i="24"/>
  <c r="R4" i="90"/>
  <c r="I34" i="90"/>
  <c r="H34" i="90"/>
  <c r="G34" i="90"/>
  <c r="F34" i="90"/>
  <c r="E34" i="90"/>
  <c r="I33" i="90"/>
  <c r="H33" i="90"/>
  <c r="G33" i="90"/>
  <c r="F33" i="90"/>
  <c r="E33" i="90"/>
  <c r="D34" i="90"/>
  <c r="D33" i="90"/>
  <c r="J21" i="12" l="1"/>
  <c r="I21" i="12"/>
  <c r="H21" i="12"/>
  <c r="Z28" i="20"/>
  <c r="Z39" i="20"/>
  <c r="R22" i="13"/>
  <c r="AW28" i="56"/>
  <c r="AU28" i="56"/>
  <c r="BB12" i="25"/>
  <c r="BB29" i="25"/>
  <c r="J35" i="15"/>
  <c r="I35" i="15"/>
  <c r="H35" i="15"/>
  <c r="AN20" i="56"/>
  <c r="AN22" i="56" s="1"/>
  <c r="AN23" i="56" s="1"/>
  <c r="F52" i="71"/>
  <c r="AQ8" i="56"/>
  <c r="AQ4" i="56"/>
  <c r="AQ12" i="56"/>
  <c r="AQ18" i="56"/>
  <c r="AQ20" i="56" s="1"/>
  <c r="AQ22" i="56" s="1"/>
  <c r="AQ24" i="56"/>
  <c r="AV38" i="56" s="1"/>
  <c r="AQ6" i="56"/>
  <c r="AQ10" i="56"/>
  <c r="AQ14" i="56"/>
  <c r="AR18" i="56"/>
  <c r="AR24" i="56"/>
  <c r="AR19" i="56"/>
  <c r="AR25" i="56"/>
  <c r="AR5" i="56"/>
  <c r="AR7" i="56"/>
  <c r="AR9" i="56"/>
  <c r="AR11" i="56"/>
  <c r="AR13" i="56"/>
  <c r="AR15" i="56"/>
  <c r="S21" i="34"/>
  <c r="S22" i="34"/>
  <c r="R21" i="34"/>
  <c r="R22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C23" i="34"/>
  <c r="AU40" i="56" l="1"/>
  <c r="AU29" i="56"/>
  <c r="AV35" i="56"/>
  <c r="AV33" i="56"/>
  <c r="AQ23" i="56"/>
  <c r="AR20" i="56"/>
  <c r="AG17" i="107"/>
  <c r="AG18" i="107"/>
  <c r="AG19" i="107"/>
  <c r="AG20" i="107"/>
  <c r="AG21" i="107"/>
  <c r="AB6" i="107"/>
  <c r="AC6" i="107" s="1"/>
  <c r="AB7" i="107"/>
  <c r="AC7" i="107" s="1"/>
  <c r="AB8" i="107"/>
  <c r="AC8" i="107" s="1"/>
  <c r="AB9" i="107"/>
  <c r="AC9" i="107" s="1"/>
  <c r="AB10" i="107"/>
  <c r="AC10" i="107" s="1"/>
  <c r="AB5" i="107"/>
  <c r="AC5" i="107" s="1"/>
  <c r="AB17" i="107"/>
  <c r="AE17" i="107" s="1"/>
  <c r="AB18" i="107"/>
  <c r="AE18" i="107" s="1"/>
  <c r="AB19" i="107"/>
  <c r="AE19" i="107" s="1"/>
  <c r="AB20" i="107"/>
  <c r="AE20" i="107" s="1"/>
  <c r="AB21" i="107"/>
  <c r="AE21" i="107" s="1"/>
  <c r="AB16" i="107"/>
  <c r="AE16" i="107" s="1"/>
  <c r="AR22" i="56" l="1"/>
  <c r="AR23" i="56" s="1"/>
  <c r="AF10" i="107"/>
  <c r="AF9" i="107"/>
  <c r="AF8" i="107"/>
  <c r="AF7" i="107"/>
  <c r="AF6" i="107"/>
  <c r="AF5" i="107"/>
  <c r="AH21" i="107"/>
  <c r="AH19" i="107"/>
  <c r="AH17" i="107"/>
  <c r="AH16" i="107"/>
  <c r="AH20" i="107"/>
  <c r="AH18" i="107"/>
  <c r="W10" i="26"/>
  <c r="W11" i="26"/>
  <c r="W12" i="26"/>
  <c r="J48" i="21" l="1"/>
  <c r="J44" i="21" s="1"/>
  <c r="S63" i="7"/>
  <c r="S36" i="1"/>
  <c r="Q63" i="1"/>
  <c r="R63" i="1"/>
  <c r="B23" i="8"/>
  <c r="E37" i="90" l="1"/>
  <c r="E40" i="90" s="1"/>
  <c r="E52" i="90" s="1"/>
  <c r="F37" i="90"/>
  <c r="G37" i="90"/>
  <c r="G40" i="90" s="1"/>
  <c r="E54" i="90" s="1"/>
  <c r="H37" i="90"/>
  <c r="H40" i="90" s="1"/>
  <c r="E55" i="90" s="1"/>
  <c r="I37" i="90"/>
  <c r="E36" i="90"/>
  <c r="F36" i="90"/>
  <c r="G36" i="90"/>
  <c r="H36" i="90"/>
  <c r="I36" i="90"/>
  <c r="D37" i="90"/>
  <c r="D36" i="90"/>
  <c r="S3" i="90"/>
  <c r="S4" i="90"/>
  <c r="R5" i="90"/>
  <c r="S5" i="90" s="1"/>
  <c r="I55" i="90" l="1"/>
  <c r="H55" i="90"/>
  <c r="G55" i="90"/>
  <c r="I54" i="90"/>
  <c r="H54" i="90"/>
  <c r="G54" i="90"/>
  <c r="I52" i="90"/>
  <c r="H52" i="90"/>
  <c r="G52" i="90"/>
  <c r="D39" i="90"/>
  <c r="E45" i="90" s="1"/>
  <c r="I39" i="90"/>
  <c r="E50" i="90" s="1"/>
  <c r="E48" i="90"/>
  <c r="G39" i="90"/>
  <c r="E46" i="90"/>
  <c r="E39" i="90"/>
  <c r="E51" i="90"/>
  <c r="D40" i="90"/>
  <c r="E49" i="90"/>
  <c r="H39" i="90"/>
  <c r="E47" i="90"/>
  <c r="F47" i="90" s="1"/>
  <c r="F39" i="90"/>
  <c r="F55" i="90"/>
  <c r="I40" i="90"/>
  <c r="E56" i="90" s="1"/>
  <c r="F54" i="90"/>
  <c r="F52" i="90"/>
  <c r="F46" i="90"/>
  <c r="F40" i="90"/>
  <c r="E53" i="90" s="1"/>
  <c r="F51" i="90"/>
  <c r="J39" i="90"/>
  <c r="J41" i="90" s="1"/>
  <c r="J40" i="90"/>
  <c r="S6" i="90"/>
  <c r="I47" i="90" l="1"/>
  <c r="H47" i="90"/>
  <c r="G47" i="90"/>
  <c r="I49" i="90"/>
  <c r="H49" i="90"/>
  <c r="G49" i="90"/>
  <c r="I51" i="90"/>
  <c r="H51" i="90"/>
  <c r="H64" i="90" s="1"/>
  <c r="G51" i="90"/>
  <c r="I46" i="90"/>
  <c r="H46" i="90"/>
  <c r="G46" i="90"/>
  <c r="G60" i="90" s="1"/>
  <c r="I48" i="90"/>
  <c r="H48" i="90"/>
  <c r="G48" i="90"/>
  <c r="I45" i="90"/>
  <c r="H45" i="90"/>
  <c r="G45" i="90"/>
  <c r="G63" i="90" s="1"/>
  <c r="F49" i="90"/>
  <c r="F48" i="90"/>
  <c r="F53" i="90"/>
  <c r="I53" i="90"/>
  <c r="I61" i="90" s="1"/>
  <c r="H53" i="90"/>
  <c r="G53" i="90"/>
  <c r="I56" i="90"/>
  <c r="H56" i="90"/>
  <c r="G56" i="90"/>
  <c r="I50" i="90"/>
  <c r="H50" i="90"/>
  <c r="G50" i="90"/>
  <c r="F50" i="90"/>
  <c r="F45" i="90"/>
  <c r="F63" i="90" s="1"/>
  <c r="E60" i="90"/>
  <c r="F56" i="90"/>
  <c r="F61" i="90" s="1"/>
  <c r="E61" i="90"/>
  <c r="I64" i="90"/>
  <c r="G64" i="90"/>
  <c r="S4" i="72"/>
  <c r="S5" i="72"/>
  <c r="S3" i="72"/>
  <c r="S8" i="72"/>
  <c r="S9" i="72"/>
  <c r="S6" i="72"/>
  <c r="S7" i="72"/>
  <c r="S10" i="72"/>
  <c r="S11" i="72"/>
  <c r="S13" i="72"/>
  <c r="I10" i="64"/>
  <c r="I5" i="64"/>
  <c r="I6" i="64"/>
  <c r="I7" i="64"/>
  <c r="I8" i="64"/>
  <c r="I9" i="64"/>
  <c r="I11" i="64"/>
  <c r="I12" i="64"/>
  <c r="I13" i="64"/>
  <c r="I14" i="64"/>
  <c r="I15" i="64"/>
  <c r="I16" i="64"/>
  <c r="I17" i="64"/>
  <c r="I18" i="64"/>
  <c r="I4" i="64"/>
  <c r="S80" i="64"/>
  <c r="S79" i="64"/>
  <c r="S78" i="64"/>
  <c r="S77" i="64"/>
  <c r="S68" i="64"/>
  <c r="H23" i="64" s="1"/>
  <c r="S67" i="64"/>
  <c r="H22" i="64" s="1"/>
  <c r="S66" i="64"/>
  <c r="H21" i="64" s="1"/>
  <c r="S65" i="64"/>
  <c r="H20" i="64" s="1"/>
  <c r="S56" i="64"/>
  <c r="G23" i="64" s="1"/>
  <c r="S55" i="64"/>
  <c r="G22" i="64" s="1"/>
  <c r="S54" i="64"/>
  <c r="G21" i="64" s="1"/>
  <c r="S53" i="64"/>
  <c r="G20" i="64" s="1"/>
  <c r="S44" i="64"/>
  <c r="F23" i="64" s="1"/>
  <c r="S43" i="64"/>
  <c r="F22" i="64" s="1"/>
  <c r="S42" i="64"/>
  <c r="F21" i="64" s="1"/>
  <c r="S41" i="64"/>
  <c r="F20" i="64" s="1"/>
  <c r="Y21" i="24"/>
  <c r="Y17" i="24"/>
  <c r="Y13" i="24"/>
  <c r="Y9" i="24"/>
  <c r="Y6" i="24"/>
  <c r="BA26" i="25"/>
  <c r="BA27" i="25" s="1"/>
  <c r="BA23" i="25"/>
  <c r="BA24" i="25" s="1"/>
  <c r="BA20" i="25"/>
  <c r="BA21" i="25" s="1"/>
  <c r="BA17" i="25"/>
  <c r="BA18" i="25" s="1"/>
  <c r="BA9" i="25"/>
  <c r="BA10" i="25" s="1"/>
  <c r="BA6" i="25"/>
  <c r="BA7" i="25" s="1"/>
  <c r="BA3" i="25"/>
  <c r="BA4" i="25" s="1"/>
  <c r="Y19" i="20"/>
  <c r="Y20" i="20" s="1"/>
  <c r="Y22" i="20"/>
  <c r="Y23" i="20" s="1"/>
  <c r="Y25" i="20"/>
  <c r="Y26" i="20" s="1"/>
  <c r="Y30" i="20"/>
  <c r="Y31" i="20" s="1"/>
  <c r="Y33" i="20"/>
  <c r="Y34" i="20" s="1"/>
  <c r="Y36" i="20"/>
  <c r="Y37" i="20" s="1"/>
  <c r="C61" i="21"/>
  <c r="D61" i="21"/>
  <c r="E61" i="21"/>
  <c r="F61" i="21"/>
  <c r="G61" i="21"/>
  <c r="H61" i="21"/>
  <c r="I61" i="21"/>
  <c r="J61" i="21"/>
  <c r="K61" i="21"/>
  <c r="L61" i="21"/>
  <c r="M61" i="21"/>
  <c r="B61" i="21"/>
  <c r="C59" i="21"/>
  <c r="D59" i="21"/>
  <c r="E59" i="21"/>
  <c r="F59" i="21"/>
  <c r="G59" i="21"/>
  <c r="H59" i="21"/>
  <c r="I59" i="21"/>
  <c r="J59" i="21"/>
  <c r="K59" i="21"/>
  <c r="L59" i="21"/>
  <c r="M59" i="21"/>
  <c r="B59" i="21"/>
  <c r="C58" i="21"/>
  <c r="D58" i="21"/>
  <c r="E58" i="21"/>
  <c r="F58" i="21"/>
  <c r="G58" i="21"/>
  <c r="H58" i="21"/>
  <c r="I58" i="21"/>
  <c r="J58" i="21"/>
  <c r="K58" i="21"/>
  <c r="L58" i="21"/>
  <c r="M58" i="21"/>
  <c r="B58" i="21"/>
  <c r="C44" i="21"/>
  <c r="D44" i="21"/>
  <c r="E44" i="21"/>
  <c r="F44" i="21"/>
  <c r="G44" i="21"/>
  <c r="H44" i="21"/>
  <c r="I44" i="21"/>
  <c r="K44" i="21"/>
  <c r="L44" i="21"/>
  <c r="M44" i="21"/>
  <c r="C43" i="21"/>
  <c r="D43" i="21"/>
  <c r="E43" i="21"/>
  <c r="F43" i="21"/>
  <c r="G43" i="21"/>
  <c r="H43" i="21"/>
  <c r="I43" i="21"/>
  <c r="J43" i="21"/>
  <c r="J45" i="21" s="1"/>
  <c r="K43" i="21"/>
  <c r="L43" i="21"/>
  <c r="M43" i="21"/>
  <c r="B43" i="21"/>
  <c r="B44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C33" i="21"/>
  <c r="D33" i="21"/>
  <c r="E33" i="21"/>
  <c r="F33" i="21"/>
  <c r="G33" i="21"/>
  <c r="H33" i="21"/>
  <c r="I33" i="21"/>
  <c r="J33" i="21"/>
  <c r="K33" i="21"/>
  <c r="L33" i="21"/>
  <c r="M33" i="21"/>
  <c r="B33" i="21"/>
  <c r="C31" i="21"/>
  <c r="D31" i="21"/>
  <c r="E31" i="21"/>
  <c r="F31" i="21"/>
  <c r="G31" i="21"/>
  <c r="H31" i="21"/>
  <c r="I31" i="21"/>
  <c r="J31" i="21"/>
  <c r="K31" i="21"/>
  <c r="L31" i="21"/>
  <c r="M31" i="21"/>
  <c r="B31" i="21"/>
  <c r="C20" i="21"/>
  <c r="D20" i="21"/>
  <c r="E20" i="21"/>
  <c r="F20" i="21"/>
  <c r="G20" i="21"/>
  <c r="H20" i="21"/>
  <c r="I20" i="21"/>
  <c r="J20" i="21"/>
  <c r="K20" i="21"/>
  <c r="L20" i="21"/>
  <c r="M20" i="21"/>
  <c r="C18" i="21"/>
  <c r="D18" i="21"/>
  <c r="E18" i="21"/>
  <c r="F18" i="21"/>
  <c r="G18" i="21"/>
  <c r="H18" i="21"/>
  <c r="I18" i="21"/>
  <c r="J18" i="21"/>
  <c r="K18" i="21"/>
  <c r="L18" i="21"/>
  <c r="M18" i="21"/>
  <c r="C17" i="21"/>
  <c r="D17" i="21"/>
  <c r="E17" i="21"/>
  <c r="F17" i="21"/>
  <c r="G17" i="21"/>
  <c r="H17" i="21"/>
  <c r="I17" i="21"/>
  <c r="J17" i="21"/>
  <c r="K17" i="21"/>
  <c r="L17" i="21"/>
  <c r="M17" i="21"/>
  <c r="G101" i="22"/>
  <c r="G127" i="22" s="1"/>
  <c r="C128" i="23"/>
  <c r="G127" i="23" s="1"/>
  <c r="R36" i="34"/>
  <c r="Q11" i="12"/>
  <c r="R11" i="12"/>
  <c r="S11" i="12"/>
  <c r="R10" i="15"/>
  <c r="Q27" i="15"/>
  <c r="R27" i="15"/>
  <c r="S27" i="15"/>
  <c r="B10" i="3"/>
  <c r="AC5" i="24"/>
  <c r="AC7" i="24"/>
  <c r="AC8" i="24"/>
  <c r="AC10" i="24"/>
  <c r="AC11" i="24"/>
  <c r="AC12" i="24"/>
  <c r="AC22" i="24"/>
  <c r="AC4" i="24"/>
  <c r="J22" i="14"/>
  <c r="F60" i="90" l="1"/>
  <c r="H60" i="90"/>
  <c r="I57" i="90"/>
  <c r="H63" i="90"/>
  <c r="N44" i="21"/>
  <c r="K47" i="90"/>
  <c r="I60" i="90"/>
  <c r="I63" i="90"/>
  <c r="Y39" i="20"/>
  <c r="BA29" i="25"/>
  <c r="F64" i="90"/>
  <c r="Y28" i="20"/>
  <c r="H61" i="90"/>
  <c r="G61" i="90"/>
  <c r="S17" i="72"/>
  <c r="BA12" i="25"/>
  <c r="S26" i="34"/>
  <c r="R26" i="34"/>
  <c r="S18" i="34"/>
  <c r="R18" i="34"/>
  <c r="P49" i="71" l="1"/>
  <c r="O49" i="71"/>
  <c r="N49" i="71"/>
  <c r="M44" i="71"/>
  <c r="N44" i="71" l="1"/>
  <c r="P44" i="71"/>
  <c r="O44" i="71"/>
  <c r="Q44" i="71" l="1"/>
  <c r="N47" i="71"/>
  <c r="P47" i="71"/>
  <c r="M47" i="71"/>
  <c r="O47" i="71"/>
  <c r="M46" i="71"/>
  <c r="M48" i="71" l="1"/>
  <c r="M43" i="71"/>
  <c r="S32" i="64"/>
  <c r="E23" i="64" s="1"/>
  <c r="S31" i="64"/>
  <c r="E22" i="64" s="1"/>
  <c r="S30" i="64"/>
  <c r="E21" i="64" s="1"/>
  <c r="S29" i="64"/>
  <c r="E20" i="64" s="1"/>
  <c r="S20" i="64"/>
  <c r="D23" i="64" s="1"/>
  <c r="S19" i="64"/>
  <c r="D22" i="64" s="1"/>
  <c r="S18" i="64"/>
  <c r="D21" i="64" s="1"/>
  <c r="S17" i="64"/>
  <c r="D20" i="64" s="1"/>
  <c r="S7" i="64"/>
  <c r="C23" i="64" s="1"/>
  <c r="S6" i="64"/>
  <c r="C22" i="64" s="1"/>
  <c r="S5" i="64"/>
  <c r="C21" i="64" s="1"/>
  <c r="S4" i="64"/>
  <c r="C20" i="64" s="1"/>
  <c r="S35" i="34"/>
  <c r="R35" i="34"/>
  <c r="S34" i="34"/>
  <c r="R34" i="34"/>
  <c r="S33" i="34"/>
  <c r="R33" i="34"/>
  <c r="S32" i="34"/>
  <c r="R32" i="34"/>
  <c r="S31" i="34"/>
  <c r="R31" i="34"/>
  <c r="S30" i="34"/>
  <c r="R30" i="34"/>
  <c r="S29" i="34"/>
  <c r="R29" i="34"/>
  <c r="S28" i="34"/>
  <c r="R28" i="34"/>
  <c r="S27" i="34"/>
  <c r="R27" i="34"/>
  <c r="S25" i="34"/>
  <c r="R25" i="34"/>
  <c r="S24" i="34"/>
  <c r="R24" i="34"/>
  <c r="S23" i="34"/>
  <c r="R23" i="34"/>
  <c r="S20" i="34"/>
  <c r="R20" i="34"/>
  <c r="S19" i="34"/>
  <c r="R19" i="34"/>
  <c r="S17" i="34"/>
  <c r="R17" i="34"/>
  <c r="S16" i="34"/>
  <c r="R16" i="34"/>
  <c r="S14" i="34"/>
  <c r="R14" i="34"/>
  <c r="S13" i="34"/>
  <c r="R13" i="34"/>
  <c r="S12" i="34"/>
  <c r="R12" i="34"/>
  <c r="S11" i="34"/>
  <c r="R11" i="34"/>
  <c r="S10" i="34"/>
  <c r="R10" i="34"/>
  <c r="S9" i="34"/>
  <c r="R9" i="34"/>
  <c r="S8" i="34"/>
  <c r="R8" i="34"/>
  <c r="S7" i="34"/>
  <c r="R7" i="34"/>
  <c r="S6" i="34"/>
  <c r="R6" i="34"/>
  <c r="S5" i="34"/>
  <c r="R5" i="34"/>
  <c r="S4" i="34"/>
  <c r="R4" i="34"/>
  <c r="S3" i="34"/>
  <c r="R3" i="34"/>
  <c r="R15" i="34" l="1"/>
  <c r="S15" i="34"/>
  <c r="K22" i="14"/>
  <c r="I22" i="14" l="1"/>
  <c r="H22" i="14"/>
  <c r="Q16" i="14"/>
  <c r="P16" i="14"/>
  <c r="O16" i="14"/>
  <c r="O17" i="14" s="1"/>
  <c r="L23" i="14" s="1"/>
  <c r="N16" i="14"/>
  <c r="N17" i="14" s="1"/>
  <c r="K23" i="14" s="1"/>
  <c r="M16" i="14"/>
  <c r="M17" i="14" s="1"/>
  <c r="L16" i="14"/>
  <c r="L17" i="14" s="1"/>
  <c r="K16" i="14"/>
  <c r="K17" i="14" s="1"/>
  <c r="J16" i="14"/>
  <c r="J17" i="14" s="1"/>
  <c r="I16" i="14"/>
  <c r="I17" i="14" s="1"/>
  <c r="H16" i="14"/>
  <c r="H17" i="14" s="1"/>
  <c r="G16" i="14"/>
  <c r="G17" i="14" s="1"/>
  <c r="G23" i="14" s="1"/>
  <c r="F16" i="14"/>
  <c r="F17" i="14" s="1"/>
  <c r="F23" i="14" s="1"/>
  <c r="E16" i="14"/>
  <c r="E17" i="14" s="1"/>
  <c r="E23" i="14" s="1"/>
  <c r="D16" i="14"/>
  <c r="D17" i="14" s="1"/>
  <c r="D23" i="14" s="1"/>
  <c r="C17" i="14"/>
  <c r="C23" i="14" s="1"/>
  <c r="B16" i="14"/>
  <c r="B17" i="14" s="1"/>
  <c r="B23" i="14" s="1"/>
  <c r="S15" i="14"/>
  <c r="R15" i="14"/>
  <c r="Q15" i="14"/>
  <c r="S14" i="14"/>
  <c r="R14" i="14"/>
  <c r="Q14" i="14"/>
  <c r="S13" i="14"/>
  <c r="R13" i="14"/>
  <c r="Q13" i="14"/>
  <c r="S12" i="14"/>
  <c r="R12" i="14"/>
  <c r="Q12" i="14"/>
  <c r="S11" i="14"/>
  <c r="R11" i="14"/>
  <c r="Q11" i="14"/>
  <c r="S5" i="14"/>
  <c r="R5" i="14"/>
  <c r="Q5" i="14"/>
  <c r="G20" i="12"/>
  <c r="F20" i="12"/>
  <c r="E20" i="12"/>
  <c r="D20" i="12"/>
  <c r="C20" i="12"/>
  <c r="B20" i="12"/>
  <c r="G19" i="12"/>
  <c r="F19" i="12"/>
  <c r="F21" i="12" s="1"/>
  <c r="E19" i="12"/>
  <c r="D19" i="12"/>
  <c r="C19" i="12"/>
  <c r="B19" i="12"/>
  <c r="B21" i="12" s="1"/>
  <c r="G18" i="12"/>
  <c r="F18" i="12"/>
  <c r="E18" i="12"/>
  <c r="D18" i="12"/>
  <c r="C18" i="12"/>
  <c r="B18" i="12"/>
  <c r="G17" i="12"/>
  <c r="F17" i="12"/>
  <c r="E17" i="12"/>
  <c r="D17" i="12"/>
  <c r="C17" i="12"/>
  <c r="B17" i="12"/>
  <c r="J16" i="12"/>
  <c r="I16" i="12"/>
  <c r="G16" i="12"/>
  <c r="F16" i="12"/>
  <c r="E16" i="12"/>
  <c r="D16" i="12"/>
  <c r="C16" i="12"/>
  <c r="B16" i="12"/>
  <c r="S10" i="12"/>
  <c r="R10" i="12"/>
  <c r="Q10" i="12"/>
  <c r="S9" i="12"/>
  <c r="R9" i="12"/>
  <c r="Q9" i="12"/>
  <c r="S8" i="12"/>
  <c r="R8" i="12"/>
  <c r="Q8" i="12"/>
  <c r="S7" i="12"/>
  <c r="R7" i="12"/>
  <c r="Q7" i="12"/>
  <c r="U6" i="12"/>
  <c r="T6" i="12"/>
  <c r="S6" i="12"/>
  <c r="R6" i="12"/>
  <c r="Q6" i="12"/>
  <c r="F35" i="15"/>
  <c r="B35" i="15"/>
  <c r="M34" i="15"/>
  <c r="L34" i="15"/>
  <c r="G34" i="15"/>
  <c r="F34" i="15"/>
  <c r="E34" i="15"/>
  <c r="D34" i="15"/>
  <c r="C34" i="15"/>
  <c r="B34" i="15"/>
  <c r="M33" i="15"/>
  <c r="L33" i="15"/>
  <c r="G33" i="15"/>
  <c r="F33" i="15"/>
  <c r="E33" i="15"/>
  <c r="D33" i="15"/>
  <c r="C33" i="15"/>
  <c r="B33" i="15"/>
  <c r="M32" i="15"/>
  <c r="L32" i="15"/>
  <c r="G32" i="15"/>
  <c r="F32" i="15"/>
  <c r="E32" i="15"/>
  <c r="D32" i="15"/>
  <c r="C32" i="15"/>
  <c r="B32" i="15"/>
  <c r="M31" i="15"/>
  <c r="L31" i="15"/>
  <c r="G31" i="15"/>
  <c r="F31" i="15"/>
  <c r="E31" i="15"/>
  <c r="D31" i="15"/>
  <c r="C31" i="15"/>
  <c r="B31" i="15"/>
  <c r="M30" i="15"/>
  <c r="L30" i="15"/>
  <c r="J30" i="15"/>
  <c r="I30" i="15"/>
  <c r="H30" i="15"/>
  <c r="G30" i="15"/>
  <c r="F30" i="15"/>
  <c r="E30" i="15"/>
  <c r="D30" i="15"/>
  <c r="C30" i="15"/>
  <c r="B30" i="15"/>
  <c r="G35" i="15"/>
  <c r="E35" i="15"/>
  <c r="D35" i="15"/>
  <c r="C35" i="15"/>
  <c r="S26" i="15"/>
  <c r="R26" i="15"/>
  <c r="Q26" i="15"/>
  <c r="S25" i="15"/>
  <c r="R25" i="15"/>
  <c r="Q25" i="15"/>
  <c r="S24" i="15"/>
  <c r="R24" i="15"/>
  <c r="Q24" i="15"/>
  <c r="S23" i="15"/>
  <c r="R23" i="15"/>
  <c r="Q23" i="15"/>
  <c r="U22" i="15"/>
  <c r="T22" i="15"/>
  <c r="S22" i="15"/>
  <c r="R22" i="15"/>
  <c r="Q22" i="15"/>
  <c r="J17" i="15"/>
  <c r="I17" i="15"/>
  <c r="H17" i="15"/>
  <c r="G17" i="15"/>
  <c r="F17" i="15"/>
  <c r="E17" i="15"/>
  <c r="D17" i="15"/>
  <c r="C17" i="15"/>
  <c r="B17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4" i="15"/>
  <c r="I14" i="15"/>
  <c r="H14" i="15"/>
  <c r="G14" i="15"/>
  <c r="F14" i="15"/>
  <c r="E14" i="15"/>
  <c r="D14" i="15"/>
  <c r="C14" i="15"/>
  <c r="B14" i="15"/>
  <c r="J13" i="15"/>
  <c r="I13" i="15"/>
  <c r="H13" i="15"/>
  <c r="G13" i="15"/>
  <c r="F13" i="15"/>
  <c r="E13" i="15"/>
  <c r="D13" i="15"/>
  <c r="C13" i="15"/>
  <c r="B13" i="15"/>
  <c r="I18" i="15"/>
  <c r="S10" i="15"/>
  <c r="S9" i="15"/>
  <c r="R9" i="15"/>
  <c r="Q9" i="15"/>
  <c r="S8" i="15"/>
  <c r="R8" i="15"/>
  <c r="Q8" i="15"/>
  <c r="S7" i="15"/>
  <c r="R7" i="15"/>
  <c r="Q7" i="15"/>
  <c r="S6" i="15"/>
  <c r="R6" i="15"/>
  <c r="Q6" i="15"/>
  <c r="U5" i="15"/>
  <c r="T5" i="15"/>
  <c r="S5" i="15"/>
  <c r="R5" i="15"/>
  <c r="Q5" i="15"/>
  <c r="M59" i="3"/>
  <c r="L59" i="3"/>
  <c r="K59" i="3"/>
  <c r="J59" i="3"/>
  <c r="I59" i="3"/>
  <c r="H59" i="3"/>
  <c r="G59" i="3"/>
  <c r="F59" i="3"/>
  <c r="E59" i="3"/>
  <c r="D59" i="3"/>
  <c r="C59" i="3"/>
  <c r="B59" i="3"/>
  <c r="M58" i="3"/>
  <c r="L58" i="3"/>
  <c r="K58" i="3"/>
  <c r="J58" i="3"/>
  <c r="I58" i="3"/>
  <c r="H58" i="3"/>
  <c r="G58" i="3"/>
  <c r="F58" i="3"/>
  <c r="E58" i="3"/>
  <c r="D58" i="3"/>
  <c r="C58" i="3"/>
  <c r="B58" i="3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M55" i="3"/>
  <c r="L55" i="3"/>
  <c r="K55" i="3"/>
  <c r="J55" i="3"/>
  <c r="I55" i="3"/>
  <c r="H55" i="3"/>
  <c r="G55" i="3"/>
  <c r="F55" i="3"/>
  <c r="E55" i="3"/>
  <c r="D55" i="3"/>
  <c r="C55" i="3"/>
  <c r="B55" i="3"/>
  <c r="P52" i="3"/>
  <c r="O52" i="3"/>
  <c r="N52" i="3"/>
  <c r="M52" i="3"/>
  <c r="L52" i="3"/>
  <c r="K52" i="3"/>
  <c r="J52" i="3"/>
  <c r="I52" i="3"/>
  <c r="H52" i="3"/>
  <c r="G52" i="3"/>
  <c r="G60" i="3" s="1"/>
  <c r="F52" i="3"/>
  <c r="F60" i="3" s="1"/>
  <c r="E52" i="3"/>
  <c r="E60" i="3" s="1"/>
  <c r="D52" i="3"/>
  <c r="D60" i="3" s="1"/>
  <c r="C52" i="3"/>
  <c r="C60" i="3" s="1"/>
  <c r="B52" i="3"/>
  <c r="S51" i="3"/>
  <c r="R51" i="3"/>
  <c r="Q51" i="3"/>
  <c r="S50" i="3"/>
  <c r="R50" i="3"/>
  <c r="Q50" i="3"/>
  <c r="S49" i="3"/>
  <c r="R49" i="3"/>
  <c r="Q49" i="3"/>
  <c r="S48" i="3"/>
  <c r="R48" i="3"/>
  <c r="Q48" i="3"/>
  <c r="U47" i="3"/>
  <c r="T47" i="3"/>
  <c r="S47" i="3"/>
  <c r="R47" i="3"/>
  <c r="Q47" i="3"/>
  <c r="I19" i="3"/>
  <c r="H19" i="3"/>
  <c r="G19" i="3"/>
  <c r="F19" i="3"/>
  <c r="E19" i="3"/>
  <c r="D19" i="3"/>
  <c r="C19" i="3"/>
  <c r="B19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P10" i="3"/>
  <c r="M20" i="3" s="1"/>
  <c r="O10" i="3"/>
  <c r="L20" i="3" s="1"/>
  <c r="N10" i="3"/>
  <c r="K20" i="3" s="1"/>
  <c r="M10" i="3"/>
  <c r="L10" i="3"/>
  <c r="K10" i="3"/>
  <c r="J10" i="3"/>
  <c r="I10" i="3"/>
  <c r="H10" i="3"/>
  <c r="G10" i="3"/>
  <c r="G20" i="3" s="1"/>
  <c r="F10" i="3"/>
  <c r="F20" i="3" s="1"/>
  <c r="E10" i="3"/>
  <c r="E20" i="3" s="1"/>
  <c r="D10" i="3"/>
  <c r="D20" i="3" s="1"/>
  <c r="C10" i="3"/>
  <c r="B20" i="3"/>
  <c r="S9" i="3"/>
  <c r="R9" i="3"/>
  <c r="Q9" i="3"/>
  <c r="S8" i="3"/>
  <c r="R8" i="3"/>
  <c r="Q8" i="3"/>
  <c r="S7" i="3"/>
  <c r="R7" i="3"/>
  <c r="Q7" i="3"/>
  <c r="S6" i="3"/>
  <c r="R6" i="3"/>
  <c r="Q6" i="3"/>
  <c r="U5" i="3"/>
  <c r="T5" i="3"/>
  <c r="S5" i="3"/>
  <c r="R5" i="3"/>
  <c r="Q5" i="3"/>
  <c r="S78" i="8"/>
  <c r="R78" i="8"/>
  <c r="Q78" i="8"/>
  <c r="S76" i="8"/>
  <c r="R76" i="8"/>
  <c r="Q76" i="8"/>
  <c r="S75" i="8"/>
  <c r="R75" i="8"/>
  <c r="Q75" i="8"/>
  <c r="S74" i="8"/>
  <c r="R74" i="8"/>
  <c r="Q74" i="8"/>
  <c r="S73" i="8"/>
  <c r="R73" i="8"/>
  <c r="Q73" i="8"/>
  <c r="S72" i="8"/>
  <c r="R72" i="8"/>
  <c r="Q72" i="8"/>
  <c r="S71" i="8"/>
  <c r="R71" i="8"/>
  <c r="Q71" i="8"/>
  <c r="S70" i="8"/>
  <c r="R70" i="8"/>
  <c r="Q70" i="8"/>
  <c r="S69" i="8"/>
  <c r="R69" i="8"/>
  <c r="Q69" i="8"/>
  <c r="S68" i="8"/>
  <c r="R68" i="8"/>
  <c r="Q68" i="8"/>
  <c r="S63" i="8"/>
  <c r="R63" i="8"/>
  <c r="Q63" i="8"/>
  <c r="S61" i="8"/>
  <c r="R61" i="8"/>
  <c r="Q61" i="8"/>
  <c r="S60" i="8"/>
  <c r="R60" i="8"/>
  <c r="Q60" i="8"/>
  <c r="S59" i="8"/>
  <c r="R59" i="8"/>
  <c r="Q59" i="8"/>
  <c r="S58" i="8"/>
  <c r="R58" i="8"/>
  <c r="Q58" i="8"/>
  <c r="S57" i="8"/>
  <c r="R57" i="8"/>
  <c r="Q57" i="8"/>
  <c r="S56" i="8"/>
  <c r="R56" i="8"/>
  <c r="Q56" i="8"/>
  <c r="S55" i="8"/>
  <c r="R55" i="8"/>
  <c r="Q55" i="8"/>
  <c r="S51" i="8"/>
  <c r="R51" i="8"/>
  <c r="Q51" i="8"/>
  <c r="S47" i="8"/>
  <c r="R47" i="8"/>
  <c r="Q47" i="8"/>
  <c r="S46" i="8"/>
  <c r="R46" i="8"/>
  <c r="Q46" i="8"/>
  <c r="S45" i="8"/>
  <c r="R45" i="8"/>
  <c r="Q45" i="8"/>
  <c r="S44" i="8"/>
  <c r="R44" i="8"/>
  <c r="Q44" i="8"/>
  <c r="S43" i="8"/>
  <c r="R43" i="8"/>
  <c r="Q43" i="8"/>
  <c r="S42" i="8"/>
  <c r="R42" i="8"/>
  <c r="Q42" i="8"/>
  <c r="S41" i="8"/>
  <c r="R41" i="8"/>
  <c r="Q41" i="8"/>
  <c r="S40" i="8"/>
  <c r="R40" i="8"/>
  <c r="Q40" i="8"/>
  <c r="D38" i="8"/>
  <c r="B38" i="8"/>
  <c r="S36" i="8"/>
  <c r="R36" i="8"/>
  <c r="Q36" i="8"/>
  <c r="S35" i="8"/>
  <c r="R35" i="8"/>
  <c r="Q35" i="8"/>
  <c r="S34" i="8"/>
  <c r="R34" i="8"/>
  <c r="Q34" i="8"/>
  <c r="S33" i="8"/>
  <c r="R33" i="8"/>
  <c r="Q33" i="8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S27" i="8"/>
  <c r="R27" i="8"/>
  <c r="Q27" i="8"/>
  <c r="S26" i="8"/>
  <c r="R26" i="8"/>
  <c r="Q26" i="8"/>
  <c r="S25" i="8"/>
  <c r="R25" i="8"/>
  <c r="Q25" i="8"/>
  <c r="S21" i="8"/>
  <c r="R21" i="8"/>
  <c r="Q21" i="8"/>
  <c r="S20" i="8"/>
  <c r="R20" i="8"/>
  <c r="Q20" i="8"/>
  <c r="S19" i="8"/>
  <c r="R19" i="8"/>
  <c r="Q19" i="8"/>
  <c r="S18" i="8"/>
  <c r="R18" i="8"/>
  <c r="Q18" i="8"/>
  <c r="S17" i="8"/>
  <c r="R17" i="8"/>
  <c r="Q17" i="8"/>
  <c r="S16" i="8"/>
  <c r="R16" i="8"/>
  <c r="Q16" i="8"/>
  <c r="S15" i="8"/>
  <c r="R15" i="8"/>
  <c r="Q15" i="8"/>
  <c r="S14" i="8"/>
  <c r="R14" i="8"/>
  <c r="Q14" i="8"/>
  <c r="S13" i="8"/>
  <c r="R13" i="8"/>
  <c r="Q13" i="8"/>
  <c r="S12" i="8"/>
  <c r="R12" i="8"/>
  <c r="Q12" i="8"/>
  <c r="S11" i="8"/>
  <c r="R11" i="8"/>
  <c r="Q11" i="8"/>
  <c r="S10" i="8"/>
  <c r="R10" i="8"/>
  <c r="Q10" i="8"/>
  <c r="S9" i="8"/>
  <c r="R9" i="8"/>
  <c r="Q9" i="8"/>
  <c r="S8" i="8"/>
  <c r="R8" i="8"/>
  <c r="Q8" i="8"/>
  <c r="S7" i="8"/>
  <c r="R7" i="8"/>
  <c r="Q7" i="8"/>
  <c r="S5" i="8"/>
  <c r="R5" i="8"/>
  <c r="Q5" i="8"/>
  <c r="S4" i="8"/>
  <c r="R4" i="8"/>
  <c r="Q4" i="8"/>
  <c r="S3" i="8"/>
  <c r="R3" i="8"/>
  <c r="Q3" i="8"/>
  <c r="S78" i="7"/>
  <c r="R78" i="7"/>
  <c r="Q78" i="7"/>
  <c r="S76" i="7"/>
  <c r="R76" i="7"/>
  <c r="Q76" i="7"/>
  <c r="S75" i="7"/>
  <c r="R75" i="7"/>
  <c r="Q75" i="7"/>
  <c r="S74" i="7"/>
  <c r="R74" i="7"/>
  <c r="Q74" i="7"/>
  <c r="S73" i="7"/>
  <c r="R73" i="7"/>
  <c r="Q73" i="7"/>
  <c r="S72" i="7"/>
  <c r="R72" i="7"/>
  <c r="Q72" i="7"/>
  <c r="S71" i="7"/>
  <c r="R71" i="7"/>
  <c r="Q71" i="7"/>
  <c r="S70" i="7"/>
  <c r="R70" i="7"/>
  <c r="Q70" i="7"/>
  <c r="S69" i="7"/>
  <c r="R69" i="7"/>
  <c r="Q69" i="7"/>
  <c r="S68" i="7"/>
  <c r="R68" i="7"/>
  <c r="Q68" i="7"/>
  <c r="R63" i="7"/>
  <c r="Q63" i="7"/>
  <c r="S61" i="7"/>
  <c r="R61" i="7"/>
  <c r="Q61" i="7"/>
  <c r="S60" i="7"/>
  <c r="R60" i="7"/>
  <c r="Q60" i="7"/>
  <c r="S59" i="7"/>
  <c r="R59" i="7"/>
  <c r="Q59" i="7"/>
  <c r="S58" i="7"/>
  <c r="R58" i="7"/>
  <c r="Q58" i="7"/>
  <c r="S57" i="7"/>
  <c r="R57" i="7"/>
  <c r="Q57" i="7"/>
  <c r="S56" i="7"/>
  <c r="R56" i="7"/>
  <c r="Q56" i="7"/>
  <c r="S55" i="7"/>
  <c r="R55" i="7"/>
  <c r="Q55" i="7"/>
  <c r="S51" i="7"/>
  <c r="R51" i="7"/>
  <c r="Q51" i="7"/>
  <c r="S47" i="7"/>
  <c r="R47" i="7"/>
  <c r="Q47" i="7"/>
  <c r="S46" i="7"/>
  <c r="R46" i="7"/>
  <c r="Q46" i="7"/>
  <c r="S45" i="7"/>
  <c r="R45" i="7"/>
  <c r="Q45" i="7"/>
  <c r="S44" i="7"/>
  <c r="R44" i="7"/>
  <c r="Q44" i="7"/>
  <c r="S43" i="7"/>
  <c r="R43" i="7"/>
  <c r="Q43" i="7"/>
  <c r="S42" i="7"/>
  <c r="R42" i="7"/>
  <c r="Q42" i="7"/>
  <c r="S41" i="7"/>
  <c r="R41" i="7"/>
  <c r="Q41" i="7"/>
  <c r="S40" i="7"/>
  <c r="R40" i="7"/>
  <c r="Q40" i="7"/>
  <c r="B38" i="7"/>
  <c r="S36" i="7"/>
  <c r="R36" i="7"/>
  <c r="Q36" i="7"/>
  <c r="S35" i="7"/>
  <c r="R35" i="7"/>
  <c r="Q35" i="7"/>
  <c r="S34" i="7"/>
  <c r="R34" i="7"/>
  <c r="Q34" i="7"/>
  <c r="S33" i="7"/>
  <c r="R33" i="7"/>
  <c r="Q33" i="7"/>
  <c r="S32" i="7"/>
  <c r="R32" i="7"/>
  <c r="Q32" i="7"/>
  <c r="S31" i="7"/>
  <c r="R31" i="7"/>
  <c r="Q31" i="7"/>
  <c r="S30" i="7"/>
  <c r="R30" i="7"/>
  <c r="Q30" i="7"/>
  <c r="S29" i="7"/>
  <c r="R29" i="7"/>
  <c r="Q29" i="7"/>
  <c r="S28" i="7"/>
  <c r="R28" i="7"/>
  <c r="Q28" i="7"/>
  <c r="S27" i="7"/>
  <c r="R27" i="7"/>
  <c r="Q27" i="7"/>
  <c r="S26" i="7"/>
  <c r="R26" i="7"/>
  <c r="Q26" i="7"/>
  <c r="S25" i="7"/>
  <c r="R25" i="7"/>
  <c r="Q25" i="7"/>
  <c r="B23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S9" i="7"/>
  <c r="R9" i="7"/>
  <c r="Q9" i="7"/>
  <c r="S8" i="7"/>
  <c r="R8" i="7"/>
  <c r="Q8" i="7"/>
  <c r="S7" i="7"/>
  <c r="R7" i="7"/>
  <c r="Q7" i="7"/>
  <c r="S5" i="7"/>
  <c r="R5" i="7"/>
  <c r="Q5" i="7"/>
  <c r="S4" i="7"/>
  <c r="R4" i="7"/>
  <c r="Q4" i="7"/>
  <c r="S3" i="7"/>
  <c r="R3" i="7"/>
  <c r="Q3" i="7"/>
  <c r="B79" i="1"/>
  <c r="S77" i="1"/>
  <c r="R77" i="1"/>
  <c r="Q77" i="1"/>
  <c r="S75" i="1"/>
  <c r="R75" i="1"/>
  <c r="Q75" i="1"/>
  <c r="S74" i="1"/>
  <c r="R74" i="1"/>
  <c r="Q74" i="1"/>
  <c r="S73" i="1"/>
  <c r="R73" i="1"/>
  <c r="Q73" i="1"/>
  <c r="S72" i="1"/>
  <c r="R72" i="1"/>
  <c r="Q72" i="1"/>
  <c r="S71" i="1"/>
  <c r="R71" i="1"/>
  <c r="Q71" i="1"/>
  <c r="S70" i="1"/>
  <c r="R70" i="1"/>
  <c r="Q70" i="1"/>
  <c r="S69" i="1"/>
  <c r="R69" i="1"/>
  <c r="Q69" i="1"/>
  <c r="S68" i="1"/>
  <c r="R68" i="1"/>
  <c r="Q68" i="1"/>
  <c r="S67" i="1"/>
  <c r="R67" i="1"/>
  <c r="Q67" i="1"/>
  <c r="B65" i="1"/>
  <c r="S63" i="1"/>
  <c r="S61" i="1"/>
  <c r="R61" i="1"/>
  <c r="Q61" i="1"/>
  <c r="S60" i="1"/>
  <c r="R60" i="1"/>
  <c r="Q60" i="1"/>
  <c r="S59" i="1"/>
  <c r="R59" i="1"/>
  <c r="Q59" i="1"/>
  <c r="S58" i="1"/>
  <c r="R58" i="1"/>
  <c r="Q58" i="1"/>
  <c r="S57" i="1"/>
  <c r="R57" i="1"/>
  <c r="Q57" i="1"/>
  <c r="S56" i="1"/>
  <c r="R56" i="1"/>
  <c r="Q56" i="1"/>
  <c r="S55" i="1"/>
  <c r="R55" i="1"/>
  <c r="Q55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B38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S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5" i="1"/>
  <c r="Q5" i="1"/>
  <c r="R5" i="1" s="1"/>
  <c r="S4" i="1"/>
  <c r="Q4" i="1"/>
  <c r="R4" i="1" s="1"/>
  <c r="S3" i="1"/>
  <c r="R3" i="1"/>
  <c r="Q3" i="1"/>
  <c r="B80" i="13"/>
  <c r="S75" i="13"/>
  <c r="R75" i="13"/>
  <c r="Q75" i="13"/>
  <c r="S74" i="13"/>
  <c r="R74" i="13"/>
  <c r="Q74" i="13"/>
  <c r="S73" i="13"/>
  <c r="R73" i="13"/>
  <c r="Q73" i="13"/>
  <c r="S72" i="13"/>
  <c r="R72" i="13"/>
  <c r="Q72" i="13"/>
  <c r="S71" i="13"/>
  <c r="R71" i="13"/>
  <c r="Q71" i="13"/>
  <c r="S70" i="13"/>
  <c r="R70" i="13"/>
  <c r="Q70" i="13"/>
  <c r="S69" i="13"/>
  <c r="R69" i="13"/>
  <c r="Q69" i="13"/>
  <c r="S68" i="13"/>
  <c r="R68" i="13"/>
  <c r="Q68" i="13"/>
  <c r="S67" i="13"/>
  <c r="R67" i="13"/>
  <c r="Q67" i="13"/>
  <c r="B65" i="13"/>
  <c r="S63" i="13"/>
  <c r="R63" i="13"/>
  <c r="S61" i="13"/>
  <c r="R61" i="13"/>
  <c r="S60" i="13"/>
  <c r="R60" i="13"/>
  <c r="Q60" i="13"/>
  <c r="S59" i="13"/>
  <c r="R59" i="13"/>
  <c r="Q59" i="13"/>
  <c r="S58" i="13"/>
  <c r="R58" i="13"/>
  <c r="Q58" i="13"/>
  <c r="S57" i="13"/>
  <c r="R57" i="13"/>
  <c r="Q57" i="13"/>
  <c r="S56" i="13"/>
  <c r="R56" i="13"/>
  <c r="Q56" i="13"/>
  <c r="S55" i="13"/>
  <c r="R55" i="13"/>
  <c r="Q55" i="13"/>
  <c r="S51" i="13"/>
  <c r="R51" i="13"/>
  <c r="Q51" i="13"/>
  <c r="S47" i="13"/>
  <c r="R47" i="13"/>
  <c r="Q47" i="13"/>
  <c r="S46" i="13"/>
  <c r="R46" i="13"/>
  <c r="Q46" i="13"/>
  <c r="S45" i="13"/>
  <c r="R45" i="13"/>
  <c r="Q45" i="13"/>
  <c r="S44" i="13"/>
  <c r="R44" i="13"/>
  <c r="Q44" i="13"/>
  <c r="S43" i="13"/>
  <c r="R43" i="13"/>
  <c r="Q43" i="13"/>
  <c r="S42" i="13"/>
  <c r="R42" i="13"/>
  <c r="Q42" i="13"/>
  <c r="S41" i="13"/>
  <c r="R41" i="13"/>
  <c r="Q41" i="13"/>
  <c r="S40" i="13"/>
  <c r="R40" i="13"/>
  <c r="Q40" i="13"/>
  <c r="D38" i="13"/>
  <c r="B38" i="13"/>
  <c r="S36" i="13"/>
  <c r="R36" i="13"/>
  <c r="Q36" i="13"/>
  <c r="S35" i="13"/>
  <c r="R35" i="13"/>
  <c r="Q35" i="13"/>
  <c r="S34" i="13"/>
  <c r="R34" i="13"/>
  <c r="Q34" i="13"/>
  <c r="S33" i="13"/>
  <c r="R33" i="13"/>
  <c r="Q33" i="13"/>
  <c r="S32" i="13"/>
  <c r="R32" i="13"/>
  <c r="Q32" i="13"/>
  <c r="S31" i="13"/>
  <c r="R31" i="13"/>
  <c r="Q31" i="13"/>
  <c r="S30" i="13"/>
  <c r="R30" i="13"/>
  <c r="Q30" i="13"/>
  <c r="S29" i="13"/>
  <c r="R29" i="13"/>
  <c r="Q29" i="13"/>
  <c r="S28" i="13"/>
  <c r="R28" i="13"/>
  <c r="Q28" i="13"/>
  <c r="S27" i="13"/>
  <c r="R27" i="13"/>
  <c r="Q27" i="13"/>
  <c r="S26" i="13"/>
  <c r="R26" i="13"/>
  <c r="Q26" i="13"/>
  <c r="S25" i="13"/>
  <c r="R25" i="13"/>
  <c r="Q25" i="13"/>
  <c r="B23" i="13"/>
  <c r="R23" i="13" s="1"/>
  <c r="S21" i="13"/>
  <c r="R21" i="13"/>
  <c r="Q21" i="13"/>
  <c r="S20" i="13"/>
  <c r="R20" i="13"/>
  <c r="Q20" i="13"/>
  <c r="S19" i="13"/>
  <c r="R19" i="13"/>
  <c r="Q19" i="13"/>
  <c r="S18" i="13"/>
  <c r="R18" i="13"/>
  <c r="Q18" i="13"/>
  <c r="S17" i="13"/>
  <c r="R17" i="13"/>
  <c r="Q17" i="13"/>
  <c r="S16" i="13"/>
  <c r="R16" i="13"/>
  <c r="Q16" i="13"/>
  <c r="S15" i="13"/>
  <c r="R15" i="13"/>
  <c r="Q15" i="13"/>
  <c r="S14" i="13"/>
  <c r="R14" i="13"/>
  <c r="Q14" i="13"/>
  <c r="S13" i="13"/>
  <c r="R13" i="13"/>
  <c r="Q13" i="13"/>
  <c r="S12" i="13"/>
  <c r="R12" i="13"/>
  <c r="Q12" i="13"/>
  <c r="S11" i="13"/>
  <c r="R11" i="13"/>
  <c r="Q11" i="13"/>
  <c r="S10" i="13"/>
  <c r="R10" i="13"/>
  <c r="Q10" i="13"/>
  <c r="S9" i="13"/>
  <c r="R9" i="13"/>
  <c r="Q9" i="13"/>
  <c r="S8" i="13"/>
  <c r="R8" i="13"/>
  <c r="Q8" i="13"/>
  <c r="S7" i="13"/>
  <c r="R7" i="13"/>
  <c r="Q7" i="13"/>
  <c r="S5" i="13"/>
  <c r="R5" i="13"/>
  <c r="Q5" i="13"/>
  <c r="S4" i="13"/>
  <c r="R4" i="13"/>
  <c r="Q4" i="13"/>
  <c r="S3" i="13"/>
  <c r="R3" i="13"/>
  <c r="Q3" i="13"/>
  <c r="D464" i="26"/>
  <c r="D434" i="26"/>
  <c r="D403" i="26"/>
  <c r="D372" i="26"/>
  <c r="D342" i="26"/>
  <c r="D311" i="26"/>
  <c r="D281" i="26"/>
  <c r="D270" i="26"/>
  <c r="D222" i="26"/>
  <c r="C187" i="26"/>
  <c r="F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D21" i="12" l="1"/>
  <c r="Q22" i="13"/>
  <c r="S22" i="13"/>
  <c r="S10" i="3"/>
  <c r="Q23" i="13"/>
  <c r="S22" i="8"/>
  <c r="S53" i="8"/>
  <c r="S52" i="3"/>
  <c r="J23" i="14"/>
  <c r="H23" i="14"/>
  <c r="G146" i="26"/>
  <c r="C21" i="12"/>
  <c r="E21" i="12"/>
  <c r="G21" i="12"/>
  <c r="B60" i="3"/>
  <c r="Q52" i="3"/>
  <c r="R52" i="3"/>
  <c r="C20" i="3"/>
  <c r="Q10" i="3"/>
  <c r="R10" i="3"/>
  <c r="S53" i="1"/>
  <c r="S38" i="7"/>
  <c r="S38" i="1"/>
  <c r="S22" i="1"/>
  <c r="S81" i="8"/>
  <c r="S66" i="8"/>
  <c r="S38" i="8"/>
  <c r="S80" i="7"/>
  <c r="S65" i="7"/>
  <c r="S53" i="7"/>
  <c r="S78" i="1"/>
  <c r="S79" i="1"/>
  <c r="S64" i="1"/>
  <c r="S23" i="7"/>
  <c r="S22" i="7"/>
  <c r="Q81" i="8"/>
  <c r="Q53" i="8"/>
  <c r="Q80" i="7"/>
  <c r="R66" i="7"/>
  <c r="R53" i="7"/>
  <c r="Q78" i="1"/>
  <c r="R53" i="1"/>
  <c r="Q53" i="1"/>
  <c r="R23" i="1"/>
  <c r="R81" i="7"/>
  <c r="Q65" i="7"/>
  <c r="Q53" i="7"/>
  <c r="R38" i="7"/>
  <c r="Q38" i="7"/>
  <c r="Q64" i="1"/>
  <c r="R79" i="1"/>
  <c r="Q79" i="1"/>
  <c r="R65" i="1"/>
  <c r="R38" i="1"/>
  <c r="Q38" i="1"/>
  <c r="R80" i="8"/>
  <c r="R65" i="8"/>
  <c r="Q66" i="8"/>
  <c r="R53" i="8"/>
  <c r="R38" i="8"/>
  <c r="Q38" i="8"/>
  <c r="R23" i="8"/>
  <c r="Q22" i="8"/>
  <c r="Q80" i="8"/>
  <c r="S80" i="8"/>
  <c r="R81" i="8"/>
  <c r="Q65" i="8"/>
  <c r="S65" i="8"/>
  <c r="R66" i="8"/>
  <c r="R52" i="8"/>
  <c r="Q52" i="8"/>
  <c r="S52" i="8"/>
  <c r="Q37" i="8"/>
  <c r="S37" i="8"/>
  <c r="R37" i="8"/>
  <c r="R22" i="8"/>
  <c r="Q23" i="8"/>
  <c r="S23" i="8"/>
  <c r="Q22" i="1"/>
  <c r="R22" i="7"/>
  <c r="Q22" i="7"/>
  <c r="Q23" i="7"/>
  <c r="R23" i="7"/>
  <c r="R80" i="7"/>
  <c r="Q81" i="7"/>
  <c r="S81" i="7"/>
  <c r="R65" i="7"/>
  <c r="Q66" i="7"/>
  <c r="S66" i="7"/>
  <c r="R52" i="7"/>
  <c r="Q52" i="7"/>
  <c r="S52" i="7"/>
  <c r="Q37" i="7"/>
  <c r="S37" i="7"/>
  <c r="R37" i="7"/>
  <c r="R78" i="1"/>
  <c r="R64" i="1"/>
  <c r="Q65" i="1"/>
  <c r="S65" i="1"/>
  <c r="Q52" i="1"/>
  <c r="S52" i="1"/>
  <c r="R52" i="1"/>
  <c r="R37" i="1"/>
  <c r="Q37" i="1"/>
  <c r="S37" i="1"/>
  <c r="R22" i="1"/>
  <c r="Q23" i="1"/>
  <c r="S23" i="1"/>
  <c r="Q10" i="15"/>
  <c r="H18" i="15"/>
  <c r="G18" i="15" s="1"/>
  <c r="F18" i="15" s="1"/>
  <c r="E18" i="15" s="1"/>
  <c r="D18" i="15" s="1"/>
  <c r="C18" i="15" s="1"/>
  <c r="B18" i="15" s="1"/>
  <c r="J18" i="15"/>
  <c r="M35" i="15"/>
  <c r="L35" i="15" s="1"/>
  <c r="I60" i="3"/>
  <c r="M60" i="3"/>
  <c r="H60" i="3"/>
  <c r="I20" i="3"/>
  <c r="H20" i="3"/>
  <c r="I23" i="14"/>
  <c r="R16" i="14"/>
  <c r="J20" i="3"/>
  <c r="L60" i="3"/>
  <c r="K60" i="3" s="1"/>
  <c r="J60" i="3" s="1"/>
  <c r="P17" i="14" l="1"/>
  <c r="M23" i="14" s="1"/>
  <c r="W18" i="26"/>
  <c r="X18" i="26" s="1"/>
  <c r="W17" i="26"/>
  <c r="X17" i="26" s="1"/>
  <c r="W16" i="26"/>
  <c r="X16" i="26" s="1"/>
  <c r="W15" i="26"/>
  <c r="X15" i="26" s="1"/>
  <c r="W14" i="26"/>
  <c r="X14" i="26" s="1"/>
  <c r="W13" i="26" l="1"/>
  <c r="X13" i="26" s="1"/>
  <c r="X11" i="26"/>
  <c r="M15" i="26"/>
  <c r="L15" i="26"/>
  <c r="K15" i="26"/>
  <c r="G11" i="26"/>
  <c r="G15" i="26" s="1"/>
  <c r="F11" i="26"/>
  <c r="F15" i="26" s="1"/>
  <c r="E11" i="26"/>
  <c r="E15" i="26" s="1"/>
  <c r="D11" i="26"/>
  <c r="D15" i="26" s="1"/>
  <c r="C11" i="26"/>
  <c r="C15" i="26" s="1"/>
  <c r="X10" i="26"/>
  <c r="M14" i="26"/>
  <c r="L14" i="26"/>
  <c r="K14" i="26"/>
  <c r="J14" i="26"/>
  <c r="G10" i="26"/>
  <c r="G14" i="26" s="1"/>
  <c r="F10" i="26"/>
  <c r="F14" i="26" s="1"/>
  <c r="E10" i="26"/>
  <c r="E14" i="26" s="1"/>
  <c r="D10" i="26"/>
  <c r="D14" i="26" s="1"/>
  <c r="C10" i="26"/>
  <c r="C14" i="26" s="1"/>
  <c r="B15" i="26" l="1"/>
  <c r="I14" i="26"/>
  <c r="H14" i="26" s="1"/>
  <c r="J15" i="26"/>
  <c r="I15" i="26" s="1"/>
  <c r="H15" i="26" s="1"/>
  <c r="X12" i="26"/>
  <c r="X9" i="26"/>
  <c r="M13" i="26"/>
  <c r="L13" i="26"/>
  <c r="K13" i="26"/>
  <c r="G9" i="26"/>
  <c r="G13" i="26" s="1"/>
  <c r="F9" i="26"/>
  <c r="F13" i="26" s="1"/>
  <c r="E9" i="26"/>
  <c r="E13" i="26" s="1"/>
  <c r="D9" i="26"/>
  <c r="D13" i="26" s="1"/>
  <c r="C9" i="26"/>
  <c r="X8" i="26"/>
  <c r="X7" i="26"/>
  <c r="X6" i="26"/>
  <c r="X5" i="26"/>
  <c r="X4" i="26"/>
  <c r="AZ26" i="25"/>
  <c r="AY26" i="25"/>
  <c r="AY27" i="25" s="1"/>
  <c r="B14" i="26" l="1"/>
  <c r="N10" i="26"/>
  <c r="J13" i="26"/>
  <c r="C13" i="26"/>
  <c r="H13" i="26"/>
  <c r="X19" i="26"/>
  <c r="AX26" i="25"/>
  <c r="AX27" i="25" s="1"/>
  <c r="AW26" i="25"/>
  <c r="AV26" i="25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Z23" i="25"/>
  <c r="AY23" i="25"/>
  <c r="AX23" i="25"/>
  <c r="AW23" i="25"/>
  <c r="AV23" i="25"/>
  <c r="AU23" i="25"/>
  <c r="AT23" i="25"/>
  <c r="AS23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Z20" i="25"/>
  <c r="AY20" i="25"/>
  <c r="AX20" i="25"/>
  <c r="AW20" i="25"/>
  <c r="AV20" i="25"/>
  <c r="AU20" i="25"/>
  <c r="AT20" i="25"/>
  <c r="AS20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Z17" i="25"/>
  <c r="AY17" i="25"/>
  <c r="AX17" i="25"/>
  <c r="AW17" i="25"/>
  <c r="AV17" i="25"/>
  <c r="AU17" i="25"/>
  <c r="AT17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Z9" i="25"/>
  <c r="AY9" i="25"/>
  <c r="AX9" i="25"/>
  <c r="AW9" i="25"/>
  <c r="AV9" i="25"/>
  <c r="AU9" i="25"/>
  <c r="AT9" i="25"/>
  <c r="AS9" i="25"/>
  <c r="AR9" i="25"/>
  <c r="AQ9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Z6" i="25"/>
  <c r="AY6" i="25"/>
  <c r="AX6" i="25"/>
  <c r="AW6" i="25"/>
  <c r="AV6" i="25"/>
  <c r="AU6" i="25"/>
  <c r="AT6" i="25"/>
  <c r="AS6" i="25"/>
  <c r="AR6" i="25"/>
  <c r="AQ6" i="25"/>
  <c r="AP6" i="25"/>
  <c r="AO6" i="25"/>
  <c r="AN6" i="25"/>
  <c r="AM6" i="25"/>
  <c r="AL6" i="25"/>
  <c r="AK6" i="25"/>
  <c r="AJ6" i="25"/>
  <c r="AI6" i="25"/>
  <c r="AH6" i="25"/>
  <c r="AG6" i="25"/>
  <c r="AF6" i="25"/>
  <c r="AE6" i="25"/>
  <c r="AD6" i="25"/>
  <c r="AZ3" i="25"/>
  <c r="AY3" i="25"/>
  <c r="AX3" i="25"/>
  <c r="AW3" i="25"/>
  <c r="AV3" i="25"/>
  <c r="AU3" i="25"/>
  <c r="AT3" i="25"/>
  <c r="AS3" i="25"/>
  <c r="AR3" i="25"/>
  <c r="AQ3" i="25"/>
  <c r="AP3" i="25"/>
  <c r="AO3" i="25"/>
  <c r="AN3" i="25"/>
  <c r="AM3" i="25"/>
  <c r="AL3" i="25"/>
  <c r="AK3" i="25"/>
  <c r="AJ3" i="25"/>
  <c r="AI3" i="25"/>
  <c r="AH3" i="25"/>
  <c r="AG3" i="25"/>
  <c r="AF3" i="25"/>
  <c r="AE3" i="25"/>
  <c r="AD3" i="25"/>
  <c r="X36" i="20"/>
  <c r="W36" i="20"/>
  <c r="W37" i="20" s="1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X33" i="20"/>
  <c r="W33" i="20"/>
  <c r="W34" i="20" s="1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X30" i="20"/>
  <c r="W30" i="20"/>
  <c r="W31" i="20" s="1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X25" i="20"/>
  <c r="X26" i="20" s="1"/>
  <c r="W25" i="20"/>
  <c r="W26" i="20" s="1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X22" i="20"/>
  <c r="X23" i="20" s="1"/>
  <c r="W22" i="20"/>
  <c r="W23" i="20" s="1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X19" i="20"/>
  <c r="X20" i="20" s="1"/>
  <c r="W19" i="20"/>
  <c r="W20" i="20" s="1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59" i="21"/>
  <c r="X28" i="20" l="1"/>
  <c r="V20" i="20"/>
  <c r="W28" i="20"/>
  <c r="V26" i="20"/>
  <c r="V31" i="20"/>
  <c r="V34" i="20"/>
  <c r="V37" i="20"/>
  <c r="W39" i="20"/>
  <c r="AZ7" i="25"/>
  <c r="AW27" i="25"/>
  <c r="V23" i="20"/>
  <c r="U23" i="20" s="1"/>
  <c r="T23" i="20" s="1"/>
  <c r="S23" i="20" s="1"/>
  <c r="R23" i="20" s="1"/>
  <c r="Q23" i="20" s="1"/>
  <c r="P23" i="20" s="1"/>
  <c r="O23" i="20" s="1"/>
  <c r="N23" i="20" s="1"/>
  <c r="M23" i="20" s="1"/>
  <c r="L23" i="20" s="1"/>
  <c r="K23" i="20" s="1"/>
  <c r="J23" i="20" s="1"/>
  <c r="I23" i="20" s="1"/>
  <c r="H23" i="20" s="1"/>
  <c r="G23" i="20" s="1"/>
  <c r="F23" i="20" s="1"/>
  <c r="E23" i="20" s="1"/>
  <c r="D23" i="20" s="1"/>
  <c r="C23" i="20" s="1"/>
  <c r="B23" i="20" s="1"/>
  <c r="AZ18" i="25"/>
  <c r="AZ21" i="25"/>
  <c r="AZ24" i="25"/>
  <c r="U26" i="20"/>
  <c r="T26" i="20" s="1"/>
  <c r="S26" i="20" s="1"/>
  <c r="R26" i="20" s="1"/>
  <c r="Q26" i="20" s="1"/>
  <c r="P26" i="20" s="1"/>
  <c r="O26" i="20" s="1"/>
  <c r="N26" i="20" s="1"/>
  <c r="M26" i="20" s="1"/>
  <c r="L26" i="20" s="1"/>
  <c r="K26" i="20" s="1"/>
  <c r="J26" i="20" s="1"/>
  <c r="I26" i="20" s="1"/>
  <c r="H26" i="20" s="1"/>
  <c r="G26" i="20" s="1"/>
  <c r="F26" i="20" s="1"/>
  <c r="E26" i="20" s="1"/>
  <c r="D26" i="20" s="1"/>
  <c r="C26" i="20" s="1"/>
  <c r="B26" i="20" s="1"/>
  <c r="U31" i="20"/>
  <c r="T31" i="20" s="1"/>
  <c r="S31" i="20" s="1"/>
  <c r="R31" i="20" s="1"/>
  <c r="Q31" i="20" s="1"/>
  <c r="P31" i="20" s="1"/>
  <c r="O31" i="20" s="1"/>
  <c r="N31" i="20" s="1"/>
  <c r="M31" i="20" s="1"/>
  <c r="L31" i="20" s="1"/>
  <c r="K31" i="20" s="1"/>
  <c r="J31" i="20" s="1"/>
  <c r="I31" i="20" s="1"/>
  <c r="H31" i="20" s="1"/>
  <c r="G31" i="20" s="1"/>
  <c r="F31" i="20" s="1"/>
  <c r="E31" i="20" s="1"/>
  <c r="D31" i="20" s="1"/>
  <c r="C31" i="20" s="1"/>
  <c r="U34" i="20"/>
  <c r="T34" i="20" s="1"/>
  <c r="S34" i="20" s="1"/>
  <c r="R34" i="20" s="1"/>
  <c r="Q34" i="20" s="1"/>
  <c r="P34" i="20" s="1"/>
  <c r="O34" i="20" s="1"/>
  <c r="N34" i="20" s="1"/>
  <c r="M34" i="20" s="1"/>
  <c r="L34" i="20" s="1"/>
  <c r="K34" i="20" s="1"/>
  <c r="J34" i="20" s="1"/>
  <c r="I34" i="20" s="1"/>
  <c r="H34" i="20" s="1"/>
  <c r="G34" i="20" s="1"/>
  <c r="F34" i="20" s="1"/>
  <c r="E34" i="20" s="1"/>
  <c r="D34" i="20" s="1"/>
  <c r="C34" i="20" s="1"/>
  <c r="U37" i="20"/>
  <c r="AV27" i="25"/>
  <c r="X31" i="20"/>
  <c r="X37" i="20"/>
  <c r="AY7" i="25"/>
  <c r="AX7" i="25" s="1"/>
  <c r="AW7" i="25" s="1"/>
  <c r="AV7" i="25" s="1"/>
  <c r="AU7" i="25" s="1"/>
  <c r="AT7" i="25" s="1"/>
  <c r="AS7" i="25" s="1"/>
  <c r="AR7" i="25" s="1"/>
  <c r="AQ7" i="25" s="1"/>
  <c r="AP7" i="25" s="1"/>
  <c r="AO7" i="25" s="1"/>
  <c r="AN7" i="25" s="1"/>
  <c r="AM7" i="25" s="1"/>
  <c r="AL7" i="25" s="1"/>
  <c r="AK7" i="25" s="1"/>
  <c r="AJ7" i="25" s="1"/>
  <c r="AI7" i="25" s="1"/>
  <c r="AH7" i="25" s="1"/>
  <c r="AG7" i="25" s="1"/>
  <c r="AF7" i="25" s="1"/>
  <c r="AE7" i="25" s="1"/>
  <c r="AD7" i="25" s="1"/>
  <c r="AY18" i="25"/>
  <c r="AX18" i="25" s="1"/>
  <c r="AW18" i="25" s="1"/>
  <c r="AV18" i="25" s="1"/>
  <c r="AU18" i="25" s="1"/>
  <c r="AT18" i="25" s="1"/>
  <c r="AY21" i="25"/>
  <c r="AX21" i="25" s="1"/>
  <c r="AW21" i="25" s="1"/>
  <c r="AV21" i="25" s="1"/>
  <c r="AU21" i="25" s="1"/>
  <c r="AT21" i="25" s="1"/>
  <c r="AS21" i="25" s="1"/>
  <c r="AR21" i="25" s="1"/>
  <c r="AQ21" i="25" s="1"/>
  <c r="AP21" i="25" s="1"/>
  <c r="AO21" i="25" s="1"/>
  <c r="AN21" i="25" s="1"/>
  <c r="AM21" i="25" s="1"/>
  <c r="AL21" i="25" s="1"/>
  <c r="AK21" i="25" s="1"/>
  <c r="AJ21" i="25" s="1"/>
  <c r="AI21" i="25" s="1"/>
  <c r="AH21" i="25" s="1"/>
  <c r="AG21" i="25" s="1"/>
  <c r="AF21" i="25" s="1"/>
  <c r="AE21" i="25" s="1"/>
  <c r="AY24" i="25"/>
  <c r="X34" i="20"/>
  <c r="AZ4" i="25"/>
  <c r="K60" i="21"/>
  <c r="J60" i="21"/>
  <c r="N58" i="21"/>
  <c r="N60" i="21" s="1"/>
  <c r="M60" i="21" s="1"/>
  <c r="L60" i="21" s="1"/>
  <c r="N53" i="21"/>
  <c r="N52" i="21"/>
  <c r="N51" i="21"/>
  <c r="I45" i="21"/>
  <c r="H45" i="21" s="1"/>
  <c r="G45" i="21" s="1"/>
  <c r="F45" i="21" s="1"/>
  <c r="E45" i="21" s="1"/>
  <c r="D45" i="21" s="1"/>
  <c r="C45" i="21" s="1"/>
  <c r="B45" i="21" s="1"/>
  <c r="N43" i="21"/>
  <c r="N40" i="21"/>
  <c r="N39" i="21"/>
  <c r="N38" i="21"/>
  <c r="X39" i="20" l="1"/>
  <c r="AX24" i="25"/>
  <c r="AY29" i="25"/>
  <c r="AU27" i="25"/>
  <c r="T37" i="20"/>
  <c r="U39" i="20"/>
  <c r="V39" i="20"/>
  <c r="U20" i="20"/>
  <c r="V28" i="20"/>
  <c r="M45" i="21"/>
  <c r="L45" i="21" s="1"/>
  <c r="K45" i="21" s="1"/>
  <c r="N45" i="21"/>
  <c r="AY4" i="25"/>
  <c r="AX4" i="25" s="1"/>
  <c r="AW4" i="25" s="1"/>
  <c r="AV4" i="25" s="1"/>
  <c r="AU4" i="25" s="1"/>
  <c r="AT4" i="25" s="1"/>
  <c r="AS4" i="25" s="1"/>
  <c r="AR4" i="25" s="1"/>
  <c r="AQ4" i="25" s="1"/>
  <c r="AP4" i="25" s="1"/>
  <c r="AO4" i="25" s="1"/>
  <c r="AN4" i="25" s="1"/>
  <c r="AM4" i="25" s="1"/>
  <c r="AL4" i="25" s="1"/>
  <c r="AK4" i="25" s="1"/>
  <c r="AJ4" i="25" s="1"/>
  <c r="AI4" i="25" s="1"/>
  <c r="AH4" i="25" s="1"/>
  <c r="AG4" i="25" s="1"/>
  <c r="AF4" i="25" s="1"/>
  <c r="AE4" i="25" s="1"/>
  <c r="AD4" i="25" s="1"/>
  <c r="AS18" i="25"/>
  <c r="AR18" i="25" s="1"/>
  <c r="I60" i="21"/>
  <c r="H60" i="21" s="1"/>
  <c r="G60" i="21" s="1"/>
  <c r="F60" i="21" s="1"/>
  <c r="E60" i="21" s="1"/>
  <c r="D60" i="21" s="1"/>
  <c r="C60" i="21" s="1"/>
  <c r="B60" i="21" s="1"/>
  <c r="N31" i="21"/>
  <c r="L32" i="21"/>
  <c r="K32" i="21"/>
  <c r="J32" i="21"/>
  <c r="I32" i="21"/>
  <c r="H32" i="21"/>
  <c r="G32" i="21"/>
  <c r="F32" i="21"/>
  <c r="E32" i="21"/>
  <c r="D32" i="21"/>
  <c r="C32" i="21"/>
  <c r="B32" i="21"/>
  <c r="N27" i="21"/>
  <c r="N26" i="21"/>
  <c r="N25" i="21"/>
  <c r="T20" i="20" l="1"/>
  <c r="U28" i="20"/>
  <c r="S37" i="20"/>
  <c r="T39" i="20"/>
  <c r="AT27" i="25"/>
  <c r="AW24" i="25"/>
  <c r="AX29" i="25"/>
  <c r="AQ18" i="25"/>
  <c r="AP18" i="25" s="1"/>
  <c r="N30" i="21"/>
  <c r="N32" i="21" s="1"/>
  <c r="M32" i="21" s="1"/>
  <c r="B20" i="21"/>
  <c r="AV24" i="25" l="1"/>
  <c r="AW29" i="25"/>
  <c r="AS27" i="25"/>
  <c r="R37" i="20"/>
  <c r="S39" i="20"/>
  <c r="S20" i="20"/>
  <c r="T28" i="20"/>
  <c r="AO18" i="25"/>
  <c r="AN18" i="25" s="1"/>
  <c r="N20" i="21"/>
  <c r="B18" i="21"/>
  <c r="N18" i="21" s="1"/>
  <c r="M19" i="21"/>
  <c r="L19" i="21"/>
  <c r="K19" i="21"/>
  <c r="R20" i="20" l="1"/>
  <c r="S28" i="20"/>
  <c r="Q37" i="20"/>
  <c r="R39" i="20"/>
  <c r="AR27" i="25"/>
  <c r="AU24" i="25"/>
  <c r="AV29" i="25"/>
  <c r="AM18" i="25"/>
  <c r="AL18" i="25" s="1"/>
  <c r="J19" i="21"/>
  <c r="I19" i="21"/>
  <c r="H19" i="21"/>
  <c r="G19" i="21"/>
  <c r="F19" i="21"/>
  <c r="E19" i="21"/>
  <c r="D19" i="21"/>
  <c r="C19" i="21"/>
  <c r="B17" i="21"/>
  <c r="N13" i="21"/>
  <c r="N12" i="21"/>
  <c r="M8" i="21"/>
  <c r="L8" i="21"/>
  <c r="K8" i="21"/>
  <c r="J8" i="21"/>
  <c r="I8" i="21"/>
  <c r="H8" i="21"/>
  <c r="G8" i="21"/>
  <c r="F8" i="21"/>
  <c r="E8" i="21"/>
  <c r="D8" i="21"/>
  <c r="C8" i="21"/>
  <c r="B8" i="21"/>
  <c r="N7" i="21"/>
  <c r="N5" i="21"/>
  <c r="N4" i="21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C127" i="23"/>
  <c r="G126" i="23" s="1"/>
  <c r="C126" i="23"/>
  <c r="G125" i="23" s="1"/>
  <c r="C125" i="23"/>
  <c r="G124" i="23" s="1"/>
  <c r="C124" i="23"/>
  <c r="G123" i="23" s="1"/>
  <c r="C123" i="23"/>
  <c r="G122" i="23" s="1"/>
  <c r="C122" i="23"/>
  <c r="G121" i="23" s="1"/>
  <c r="C121" i="23"/>
  <c r="G120" i="23" s="1"/>
  <c r="C120" i="23"/>
  <c r="G119" i="23" s="1"/>
  <c r="C119" i="23"/>
  <c r="G118" i="23" s="1"/>
  <c r="C118" i="23"/>
  <c r="G117" i="23" s="1"/>
  <c r="C117" i="23"/>
  <c r="G116" i="23" s="1"/>
  <c r="C116" i="23"/>
  <c r="G115" i="23" s="1"/>
  <c r="C115" i="23"/>
  <c r="G114" i="23" s="1"/>
  <c r="C114" i="23"/>
  <c r="G113" i="23" s="1"/>
  <c r="C113" i="23"/>
  <c r="G112" i="23" s="1"/>
  <c r="C112" i="23"/>
  <c r="G111" i="23" s="1"/>
  <c r="C111" i="23"/>
  <c r="G110" i="23" s="1"/>
  <c r="C110" i="23"/>
  <c r="G109" i="23" s="1"/>
  <c r="C109" i="23"/>
  <c r="G108" i="23" s="1"/>
  <c r="C108" i="23"/>
  <c r="G107" i="23" s="1"/>
  <c r="C107" i="23"/>
  <c r="G106" i="23" s="1"/>
  <c r="C106" i="23"/>
  <c r="G105" i="23" s="1"/>
  <c r="C90" i="23"/>
  <c r="C89" i="23"/>
  <c r="C88" i="23"/>
  <c r="C87" i="23"/>
  <c r="C86" i="23"/>
  <c r="C85" i="23"/>
  <c r="C84" i="23"/>
  <c r="C83" i="23"/>
  <c r="C82" i="23"/>
  <c r="C81" i="23"/>
  <c r="C80" i="23"/>
  <c r="C79" i="23"/>
  <c r="X21" i="24"/>
  <c r="W21" i="24"/>
  <c r="V21" i="24"/>
  <c r="U21" i="24"/>
  <c r="T21" i="24"/>
  <c r="S21" i="24"/>
  <c r="Q21" i="24"/>
  <c r="P21" i="24"/>
  <c r="O21" i="24"/>
  <c r="N21" i="24"/>
  <c r="K21" i="24"/>
  <c r="J21" i="24"/>
  <c r="I21" i="24"/>
  <c r="H21" i="24"/>
  <c r="G21" i="24"/>
  <c r="F21" i="24"/>
  <c r="E21" i="24"/>
  <c r="D21" i="24"/>
  <c r="C21" i="24"/>
  <c r="R20" i="24"/>
  <c r="AB20" i="24" s="1"/>
  <c r="R19" i="24"/>
  <c r="R18" i="24"/>
  <c r="AB18" i="24" s="1"/>
  <c r="X17" i="24"/>
  <c r="W17" i="24"/>
  <c r="V17" i="24"/>
  <c r="U17" i="24"/>
  <c r="T17" i="24"/>
  <c r="S17" i="24"/>
  <c r="Q17" i="24"/>
  <c r="P17" i="24"/>
  <c r="O17" i="24"/>
  <c r="N17" i="24"/>
  <c r="K17" i="24"/>
  <c r="J17" i="24"/>
  <c r="I17" i="24"/>
  <c r="H17" i="24"/>
  <c r="G17" i="24"/>
  <c r="F17" i="24"/>
  <c r="E17" i="24"/>
  <c r="D17" i="24"/>
  <c r="C17" i="24"/>
  <c r="R16" i="24"/>
  <c r="AB16" i="24" s="1"/>
  <c r="R15" i="24"/>
  <c r="AB15" i="24" s="1"/>
  <c r="R14" i="24"/>
  <c r="AB14" i="24" s="1"/>
  <c r="X13" i="24"/>
  <c r="W13" i="24"/>
  <c r="V13" i="24"/>
  <c r="U13" i="24"/>
  <c r="T13" i="24"/>
  <c r="S13" i="24"/>
  <c r="R13" i="24"/>
  <c r="Q13" i="24"/>
  <c r="P13" i="24"/>
  <c r="O13" i="24"/>
  <c r="N13" i="24"/>
  <c r="K13" i="24"/>
  <c r="J13" i="24"/>
  <c r="I13" i="24"/>
  <c r="H13" i="24"/>
  <c r="G13" i="24"/>
  <c r="F13" i="24"/>
  <c r="E13" i="24"/>
  <c r="D13" i="24"/>
  <c r="C13" i="24"/>
  <c r="X9" i="24"/>
  <c r="AB9" i="24" s="1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M20" i="26"/>
  <c r="L20" i="26"/>
  <c r="K20" i="26"/>
  <c r="J20" i="26"/>
  <c r="I20" i="26"/>
  <c r="H20" i="26"/>
  <c r="G20" i="26"/>
  <c r="F20" i="26"/>
  <c r="E20" i="26"/>
  <c r="D20" i="26"/>
  <c r="C20" i="26"/>
  <c r="B20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B13" i="24" l="1"/>
  <c r="AB6" i="24"/>
  <c r="AT24" i="25"/>
  <c r="AU29" i="25"/>
  <c r="AQ27" i="25"/>
  <c r="P37" i="20"/>
  <c r="Q39" i="20"/>
  <c r="Q20" i="20"/>
  <c r="R28" i="20"/>
  <c r="J22" i="26"/>
  <c r="I22" i="26"/>
  <c r="H22" i="26"/>
  <c r="E22" i="26"/>
  <c r="G22" i="26"/>
  <c r="K22" i="26"/>
  <c r="M22" i="26"/>
  <c r="AC14" i="24"/>
  <c r="AC16" i="24"/>
  <c r="AC9" i="24"/>
  <c r="AC18" i="24"/>
  <c r="AC20" i="24"/>
  <c r="AK18" i="25"/>
  <c r="AJ18" i="25" s="1"/>
  <c r="R17" i="24"/>
  <c r="AB17" i="24" s="1"/>
  <c r="F22" i="26"/>
  <c r="L22" i="26"/>
  <c r="D22" i="26"/>
  <c r="B22" i="26"/>
  <c r="N21" i="26"/>
  <c r="N23" i="26"/>
  <c r="C22" i="26"/>
  <c r="N20" i="26"/>
  <c r="AB19" i="24"/>
  <c r="AC19" i="24"/>
  <c r="R21" i="24"/>
  <c r="AB21" i="24" s="1"/>
  <c r="AC6" i="24"/>
  <c r="AC15" i="24"/>
  <c r="AC17" i="24"/>
  <c r="AC13" i="24"/>
  <c r="G104" i="22"/>
  <c r="G106" i="22"/>
  <c r="G108" i="22"/>
  <c r="G110" i="22"/>
  <c r="G112" i="22"/>
  <c r="G114" i="22"/>
  <c r="G116" i="22"/>
  <c r="G126" i="22"/>
  <c r="G125" i="22" s="1"/>
  <c r="G124" i="22" s="1"/>
  <c r="G123" i="22" s="1"/>
  <c r="G122" i="22" s="1"/>
  <c r="G121" i="22" s="1"/>
  <c r="G120" i="22" s="1"/>
  <c r="G119" i="22" s="1"/>
  <c r="G118" i="22" s="1"/>
  <c r="G105" i="22"/>
  <c r="G107" i="22"/>
  <c r="G109" i="22"/>
  <c r="G111" i="22"/>
  <c r="G113" i="22"/>
  <c r="G115" i="22"/>
  <c r="G117" i="22"/>
  <c r="B19" i="21"/>
  <c r="B21" i="21" s="1"/>
  <c r="N17" i="21"/>
  <c r="N19" i="21" s="1"/>
  <c r="N6" i="21"/>
  <c r="N8" i="21"/>
  <c r="P23" i="26" l="1"/>
  <c r="P22" i="26"/>
  <c r="P20" i="20"/>
  <c r="Q28" i="20"/>
  <c r="O37" i="20"/>
  <c r="P39" i="20"/>
  <c r="AP27" i="25"/>
  <c r="AS24" i="25"/>
  <c r="AT29" i="25"/>
  <c r="AI18" i="25"/>
  <c r="AH18" i="25" s="1"/>
  <c r="N22" i="26"/>
  <c r="B84" i="26" s="1"/>
  <c r="E84" i="26" s="1"/>
  <c r="AC21" i="24"/>
  <c r="AR24" i="25" l="1"/>
  <c r="AS29" i="25"/>
  <c r="AO27" i="25"/>
  <c r="N37" i="20"/>
  <c r="O39" i="20"/>
  <c r="O20" i="20"/>
  <c r="P28" i="20"/>
  <c r="AG18" i="25"/>
  <c r="AF18" i="25" s="1"/>
  <c r="C21" i="21"/>
  <c r="D21" i="21"/>
  <c r="E21" i="21"/>
  <c r="F21" i="21"/>
  <c r="G21" i="21"/>
  <c r="H21" i="21"/>
  <c r="I21" i="21"/>
  <c r="J21" i="21"/>
  <c r="K21" i="21"/>
  <c r="L21" i="21"/>
  <c r="M2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3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6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1" i="21"/>
  <c r="N20" i="20" l="1"/>
  <c r="O28" i="20"/>
  <c r="M37" i="20"/>
  <c r="N39" i="20"/>
  <c r="AN27" i="25"/>
  <c r="AQ24" i="25"/>
  <c r="AR29" i="25"/>
  <c r="N62" i="21"/>
  <c r="N47" i="21"/>
  <c r="AE18" i="25"/>
  <c r="N34" i="21"/>
  <c r="N21" i="21"/>
  <c r="AP24" i="25" l="1"/>
  <c r="AQ29" i="25"/>
  <c r="AM27" i="25"/>
  <c r="L37" i="20"/>
  <c r="M39" i="20"/>
  <c r="M20" i="20"/>
  <c r="N28" i="20"/>
  <c r="AZ27" i="25"/>
  <c r="AZ29" i="25" s="1"/>
  <c r="N46" i="71"/>
  <c r="O46" i="71"/>
  <c r="P46" i="71"/>
  <c r="M49" i="71"/>
  <c r="O43" i="71" l="1"/>
  <c r="P43" i="71"/>
  <c r="N43" i="71"/>
  <c r="L20" i="20"/>
  <c r="M28" i="20"/>
  <c r="K37" i="20"/>
  <c r="L39" i="20"/>
  <c r="AL27" i="25"/>
  <c r="AO24" i="25"/>
  <c r="AP29" i="25"/>
  <c r="P48" i="71"/>
  <c r="N48" i="71"/>
  <c r="O48" i="71"/>
  <c r="Q46" i="71"/>
  <c r="Q47" i="71"/>
  <c r="Q49" i="71"/>
  <c r="AN24" i="25" l="1"/>
  <c r="AO29" i="25"/>
  <c r="AK27" i="25"/>
  <c r="J37" i="20"/>
  <c r="K39" i="20"/>
  <c r="K20" i="20"/>
  <c r="L28" i="20"/>
  <c r="Q48" i="71"/>
  <c r="Q43" i="71"/>
  <c r="AZ10" i="25"/>
  <c r="AZ12" i="25" s="1"/>
  <c r="AY10" i="25"/>
  <c r="AY12" i="25" s="1"/>
  <c r="AX10" i="25"/>
  <c r="AX12" i="25" s="1"/>
  <c r="AW10" i="25"/>
  <c r="AW12" i="25" s="1"/>
  <c r="AV10" i="25"/>
  <c r="AV12" i="25" s="1"/>
  <c r="AU10" i="25"/>
  <c r="AU12" i="25" s="1"/>
  <c r="AT10" i="25"/>
  <c r="AT12" i="25" s="1"/>
  <c r="AS10" i="25"/>
  <c r="AS12" i="25" s="1"/>
  <c r="AR10" i="25"/>
  <c r="AR12" i="25" s="1"/>
  <c r="AQ10" i="25"/>
  <c r="AQ12" i="25" s="1"/>
  <c r="AP10" i="25"/>
  <c r="AP12" i="25" s="1"/>
  <c r="AO10" i="25"/>
  <c r="AO12" i="25" s="1"/>
  <c r="AN10" i="25"/>
  <c r="AN12" i="25" s="1"/>
  <c r="AM10" i="25"/>
  <c r="AM12" i="25" s="1"/>
  <c r="AL10" i="25"/>
  <c r="AL12" i="25" s="1"/>
  <c r="AK10" i="25"/>
  <c r="AK12" i="25" s="1"/>
  <c r="AJ10" i="25"/>
  <c r="AJ12" i="25" s="1"/>
  <c r="AI10" i="25"/>
  <c r="AI12" i="25" s="1"/>
  <c r="AH10" i="25"/>
  <c r="AH12" i="25" s="1"/>
  <c r="AG10" i="25"/>
  <c r="AG12" i="25" s="1"/>
  <c r="AF10" i="25"/>
  <c r="AF12" i="25" s="1"/>
  <c r="AE10" i="25"/>
  <c r="AE12" i="25" s="1"/>
  <c r="AD10" i="25"/>
  <c r="AD12" i="25" s="1"/>
  <c r="J20" i="20" l="1"/>
  <c r="K28" i="20"/>
  <c r="I37" i="20"/>
  <c r="J39" i="20"/>
  <c r="AJ27" i="25"/>
  <c r="AM24" i="25"/>
  <c r="AN29" i="25"/>
  <c r="AL24" i="25" l="1"/>
  <c r="AM29" i="25"/>
  <c r="AI27" i="25"/>
  <c r="H37" i="20"/>
  <c r="I39" i="20"/>
  <c r="I20" i="20"/>
  <c r="J28" i="20"/>
  <c r="H20" i="20" l="1"/>
  <c r="I28" i="20"/>
  <c r="G37" i="20"/>
  <c r="H39" i="20"/>
  <c r="AH27" i="25"/>
  <c r="AK24" i="25"/>
  <c r="AL29" i="25"/>
  <c r="AJ24" i="25" l="1"/>
  <c r="AK29" i="25"/>
  <c r="AG27" i="25"/>
  <c r="F37" i="20"/>
  <c r="G39" i="20"/>
  <c r="G20" i="20"/>
  <c r="H28" i="20"/>
  <c r="F20" i="20" l="1"/>
  <c r="G28" i="20"/>
  <c r="E37" i="20"/>
  <c r="F39" i="20"/>
  <c r="AF27" i="25"/>
  <c r="AI24" i="25"/>
  <c r="AJ29" i="25"/>
  <c r="AH24" i="25" l="1"/>
  <c r="AI29" i="25"/>
  <c r="AE27" i="25"/>
  <c r="D37" i="20"/>
  <c r="E39" i="20"/>
  <c r="E20" i="20"/>
  <c r="F28" i="20"/>
  <c r="C37" i="20" l="1"/>
  <c r="C39" i="20" s="1"/>
  <c r="D39" i="20"/>
  <c r="D20" i="20"/>
  <c r="E28" i="20"/>
  <c r="AG24" i="25"/>
  <c r="AH29" i="25"/>
  <c r="C20" i="20" l="1"/>
  <c r="D28" i="20"/>
  <c r="AF24" i="25"/>
  <c r="AG29" i="25"/>
  <c r="B20" i="20" l="1"/>
  <c r="B28" i="20" s="1"/>
  <c r="C28" i="20"/>
  <c r="AE24" i="25"/>
  <c r="AE29" i="25" s="1"/>
  <c r="AF29" i="25"/>
</calcChain>
</file>

<file path=xl/sharedStrings.xml><?xml version="1.0" encoding="utf-8"?>
<sst xmlns="http://schemas.openxmlformats.org/spreadsheetml/2006/main" count="13404" uniqueCount="1836">
  <si>
    <t>Chlorophyll a and Secchi</t>
  </si>
  <si>
    <t>Chlorophyll, ug/L</t>
  </si>
  <si>
    <t>SITE</t>
  </si>
  <si>
    <t>Bear Creek Reservoir Monitoring Program</t>
  </si>
  <si>
    <t>Total Suspended Solids, mg/L</t>
  </si>
  <si>
    <t>Secchi Depth, m</t>
  </si>
  <si>
    <t>Notes</t>
  </si>
  <si>
    <t xml:space="preserve"> Reservoir</t>
  </si>
  <si>
    <t>Peak Chlorophyll-a [ug/l]</t>
  </si>
  <si>
    <t>Parameter</t>
  </si>
  <si>
    <t>Site</t>
  </si>
  <si>
    <t>Chlorophyll-a (ug/L)</t>
  </si>
  <si>
    <t>Nitrate-Nitrogen (ug/L)</t>
  </si>
  <si>
    <t xml:space="preserve">Total Phosphorus (ug/L) </t>
  </si>
  <si>
    <t>Total Suspended Solids (mg/L)</t>
  </si>
  <si>
    <t>Secchi Depth (m)</t>
  </si>
  <si>
    <t>Average</t>
  </si>
  <si>
    <t>Reservoir Average</t>
  </si>
  <si>
    <t>Turkey Creek Inflow</t>
  </si>
  <si>
    <t>Bear Creek Inflow</t>
  </si>
  <si>
    <t>Bear Creek Outflow</t>
  </si>
  <si>
    <t>Lower Bear Creek</t>
  </si>
  <si>
    <t>Total Inflow</t>
  </si>
  <si>
    <t>Reservoir Top</t>
  </si>
  <si>
    <t>Reservoir Middle</t>
  </si>
  <si>
    <t>Reservoir Bottom</t>
  </si>
  <si>
    <t>Secchi</t>
  </si>
  <si>
    <t>Reservoir Outflow</t>
  </si>
  <si>
    <t>TP</t>
  </si>
  <si>
    <t>TN</t>
  </si>
  <si>
    <t>Chl</t>
  </si>
  <si>
    <t>Chl-peak</t>
  </si>
  <si>
    <t>Seasonal Means</t>
  </si>
  <si>
    <t>XSD</t>
  </si>
  <si>
    <t>XCA</t>
  </si>
  <si>
    <t>XTP</t>
  </si>
  <si>
    <t>Annual Means</t>
  </si>
  <si>
    <t>Carlson's Annual</t>
  </si>
  <si>
    <t xml:space="preserve">Carlson's Seasonal </t>
  </si>
  <si>
    <t>lca</t>
  </si>
  <si>
    <t>ltp</t>
  </si>
  <si>
    <t>lsd</t>
  </si>
  <si>
    <t>lw</t>
  </si>
  <si>
    <t>hyper</t>
  </si>
  <si>
    <t>eu</t>
  </si>
  <si>
    <t>Walker Model - Annual Averages</t>
  </si>
  <si>
    <t>Walker Model - Seasonal Averages</t>
  </si>
  <si>
    <t>year</t>
  </si>
  <si>
    <t>Conc</t>
  </si>
  <si>
    <t xml:space="preserve">Year </t>
  </si>
  <si>
    <t>Nitrate-nitrogen ug/l</t>
  </si>
  <si>
    <t>Retained in Reservoir</t>
  </si>
  <si>
    <t>Average Inflow</t>
  </si>
  <si>
    <t>Retained In Reservoir</t>
  </si>
  <si>
    <t>Total Phosphorus Trends</t>
  </si>
  <si>
    <t>Value</t>
  </si>
  <si>
    <t>25-30</t>
  </si>
  <si>
    <t>Oligotrophic-Mesotropic</t>
  </si>
  <si>
    <t>45-50</t>
  </si>
  <si>
    <t>Mesotrophic-Eutrophic</t>
  </si>
  <si>
    <t>65-70</t>
  </si>
  <si>
    <t>Eutrophic-Hypereutrophic</t>
  </si>
  <si>
    <t>Carlson</t>
  </si>
  <si>
    <t>40-50</t>
  </si>
  <si>
    <t>Total Suspended Sediments (mg/l)</t>
  </si>
  <si>
    <t>Nitrate (NO3-N) (ug/l)</t>
  </si>
  <si>
    <t>Total Phosphorus (ug/l)</t>
  </si>
  <si>
    <t>Total Phosphorus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</si>
  <si>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</si>
  <si>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</si>
  <si>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</si>
  <si>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</si>
  <si>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</si>
  <si>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</si>
  <si>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</si>
  <si>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</si>
  <si>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</si>
  <si>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</si>
  <si>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</si>
  <si>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</si>
  <si>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ug/l*.002723=pounds</t>
  </si>
  <si>
    <t>Nitrate Pounds</t>
  </si>
  <si>
    <t>Peak</t>
  </si>
  <si>
    <t>&gt;70</t>
  </si>
  <si>
    <t>Hypereutrophic</t>
  </si>
  <si>
    <t>Days</t>
  </si>
  <si>
    <t>Ac-ft/month Bear Creek Reservoir</t>
  </si>
  <si>
    <t>Annual ac-ft/yr</t>
  </si>
  <si>
    <t>Annual Mean</t>
  </si>
  <si>
    <t>Total Load</t>
  </si>
  <si>
    <t>Annual Average</t>
  </si>
  <si>
    <t>Seasonal Mean</t>
  </si>
  <si>
    <t>Annual Reservoir Average</t>
  </si>
  <si>
    <t>Seasonal Reservoir Average</t>
  </si>
  <si>
    <t>Estimated Monthly Flow (ac-ft) At Stations</t>
  </si>
  <si>
    <t>Year</t>
  </si>
  <si>
    <t>50-65</t>
  </si>
  <si>
    <t>Eutrophic</t>
  </si>
  <si>
    <t>30-45</t>
  </si>
  <si>
    <t>Mesotrophic</t>
  </si>
  <si>
    <t>Eu-hyp</t>
  </si>
  <si>
    <t>Hyp</t>
  </si>
  <si>
    <t>Eu</t>
  </si>
  <si>
    <t>Transition State</t>
  </si>
  <si>
    <t>Reservoir Annual Average Concentrations</t>
  </si>
  <si>
    <t>Water Column</t>
  </si>
  <si>
    <t>Top</t>
  </si>
  <si>
    <t>Mid</t>
  </si>
  <si>
    <t>Seasonal Average</t>
  </si>
  <si>
    <t>Sechhi</t>
  </si>
  <si>
    <t>TSI Index</t>
  </si>
  <si>
    <t>Chlorophyll-a</t>
  </si>
  <si>
    <t>TSS (Pounds)</t>
  </si>
  <si>
    <t>Total Phosphorus Pounds</t>
  </si>
  <si>
    <t>Turkey Creek</t>
  </si>
  <si>
    <t xml:space="preserve">Bear Creek </t>
  </si>
  <si>
    <t xml:space="preserve">Turkey Creek </t>
  </si>
  <si>
    <t>Bear Creek</t>
  </si>
  <si>
    <t>Average arce-ft/day</t>
  </si>
  <si>
    <t>Chlorophyll</t>
  </si>
  <si>
    <t>Index (f)</t>
  </si>
  <si>
    <t>Secchi (ft)</t>
  </si>
  <si>
    <t>Annual Reservoir</t>
  </si>
  <si>
    <t>Seasonal Reservoir</t>
  </si>
  <si>
    <t>Annual Average Total Suspended Sediments [mg/l]</t>
  </si>
  <si>
    <t>Peak Total Suspended Sediments [mg/l]</t>
  </si>
  <si>
    <t>Phosphorus</t>
  </si>
  <si>
    <t>Nitrogen</t>
  </si>
  <si>
    <t>Total Suspended Sediments</t>
  </si>
  <si>
    <t>ltn</t>
  </si>
  <si>
    <t>Bear Creek Lair O'Bear</t>
  </si>
  <si>
    <t>Nitrate-Nitrogen (ug/l)</t>
  </si>
  <si>
    <t>Jefferson County, Colorado</t>
  </si>
  <si>
    <t>Hydrologic Unit Code 10190002</t>
  </si>
  <si>
    <t>Latitude  39°39'08", Longitude 105°10'23" NAD27</t>
  </si>
  <si>
    <t>Drainage area 176  square miles</t>
  </si>
  <si>
    <t>Contributing drainage area 176  square miles</t>
  </si>
  <si>
    <t>Gage datum 5,645.00 feet above sea level NGVD29</t>
  </si>
  <si>
    <t>Association Annual ac-ft/yr</t>
  </si>
  <si>
    <t>0-25</t>
  </si>
  <si>
    <t>Oligotrophic</t>
  </si>
  <si>
    <t>Oligotrophic-Mesotrophic</t>
  </si>
  <si>
    <t>65+</t>
  </si>
  <si>
    <t>Walker TI</t>
  </si>
  <si>
    <t>Date</t>
  </si>
  <si>
    <t>Average Annual Sechhi Depth (meters)</t>
  </si>
  <si>
    <t>Time</t>
  </si>
  <si>
    <t>SC</t>
  </si>
  <si>
    <t>DO</t>
  </si>
  <si>
    <t>Temp</t>
  </si>
  <si>
    <t>pH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</si>
  <si>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</si>
  <si>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</si>
  <si>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</si>
  <si>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</si>
  <si>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</si>
  <si>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</si>
  <si>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</si>
  <si>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</si>
  <si>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</si>
  <si>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Secchi m</t>
  </si>
  <si>
    <t>Width (feet)</t>
  </si>
  <si>
    <t>Distance</t>
  </si>
  <si>
    <t>Depth</t>
  </si>
  <si>
    <t>Vel Ave Ft/sec</t>
  </si>
  <si>
    <t>Area</t>
  </si>
  <si>
    <t>Discharge,cfs</t>
  </si>
  <si>
    <t>cfs</t>
  </si>
  <si>
    <t>T Depth m</t>
  </si>
  <si>
    <t>Coyote Gulch Upper</t>
  </si>
  <si>
    <t>Coyote Gulch Lower</t>
  </si>
  <si>
    <t>Phosphorus, total</t>
  </si>
  <si>
    <t>Total Dissolved Phosphorus</t>
  </si>
  <si>
    <t>Chlorophyll a</t>
  </si>
  <si>
    <t>Parameter (ug/l)</t>
  </si>
  <si>
    <t>Bear Creek Laboratory Monitoring Data</t>
  </si>
  <si>
    <t xml:space="preserve">Residue, Non-Filterable (TSS) </t>
  </si>
  <si>
    <t>Nitrate/Nitrite as N, dissolved</t>
  </si>
  <si>
    <t>Site 5</t>
  </si>
  <si>
    <t>10m</t>
  </si>
  <si>
    <t>11m</t>
  </si>
  <si>
    <t>BCReservoir</t>
  </si>
  <si>
    <t>Reservoir Profiles</t>
  </si>
  <si>
    <t>date:</t>
  </si>
  <si>
    <t>TCIn; 16a</t>
  </si>
  <si>
    <t>BCIn; 15a</t>
  </si>
  <si>
    <t>LBCout; 45</t>
  </si>
  <si>
    <t>40a/40c</t>
  </si>
  <si>
    <t>gage</t>
  </si>
  <si>
    <t>Site 41 (1)</t>
  </si>
  <si>
    <t>Site 42 (3)</t>
  </si>
  <si>
    <t>Site 43 (4)</t>
  </si>
  <si>
    <t>Site 44 (5)</t>
  </si>
  <si>
    <t xml:space="preserve">Total Nitrogen </t>
  </si>
  <si>
    <t>Aphanizomenon flos-aquae</t>
  </si>
  <si>
    <t>Total Nitrogen</t>
  </si>
  <si>
    <t xml:space="preserve">Total Dissolved Phosphorus, ug/l </t>
  </si>
  <si>
    <t>Total Dissolved Phosphorus, ug/l</t>
  </si>
  <si>
    <t>Total Phosphorus, ug/l</t>
  </si>
  <si>
    <t>Reservoir - Top (NO3)</t>
  </si>
  <si>
    <t>Reservoir - Lower (NO3)</t>
  </si>
  <si>
    <t>Water Year</t>
  </si>
  <si>
    <t>Total Turkey Creek Inflow (Acre-Ft/Year)</t>
  </si>
  <si>
    <t>00060, Discharge, cubic feet per second</t>
  </si>
  <si>
    <t>Total Reservoir Inflow (Acre-Ft/Year)</t>
  </si>
  <si>
    <t>Bear Creek Inflow, Site 15a</t>
  </si>
  <si>
    <t>Turkey Creek Inflow, Site 16a</t>
  </si>
  <si>
    <t>Lower Bear Creek Outflow, Site 45</t>
  </si>
  <si>
    <t>Reservoir Sites</t>
  </si>
  <si>
    <t>Reservoir Site 40</t>
  </si>
  <si>
    <t>9.0 (13.0)</t>
  </si>
  <si>
    <t>23.3 (23.8)</t>
  </si>
  <si>
    <t>Standard</t>
  </si>
  <si>
    <t>site 40</t>
  </si>
  <si>
    <t>Site 41</t>
  </si>
  <si>
    <t>Site 42</t>
  </si>
  <si>
    <t>Site 43</t>
  </si>
  <si>
    <t>Site 44</t>
  </si>
  <si>
    <t>S(Apr-Dec)</t>
  </si>
  <si>
    <t>S(Jan-Mar)</t>
  </si>
  <si>
    <t>Profile Average (mg/l)</t>
  </si>
  <si>
    <t>Total Depth Profile (m)</t>
  </si>
  <si>
    <t>Site 36</t>
  </si>
  <si>
    <t>Nitrogen, ammonia</t>
  </si>
  <si>
    <t>Site 37</t>
  </si>
  <si>
    <t>Site 4b</t>
  </si>
  <si>
    <t>Site 8a</t>
  </si>
  <si>
    <t>Site 9</t>
  </si>
  <si>
    <t>Site 12</t>
  </si>
  <si>
    <t>Site 13a</t>
  </si>
  <si>
    <t>Site 14a</t>
  </si>
  <si>
    <t>Site 18</t>
  </si>
  <si>
    <t>Site 19</t>
  </si>
  <si>
    <t>Site 25</t>
  </si>
  <si>
    <t>Site 35</t>
  </si>
  <si>
    <t>Site 50</t>
  </si>
  <si>
    <t xml:space="preserve">Site ID </t>
  </si>
  <si>
    <t>Site Location by Stream Segment</t>
  </si>
  <si>
    <t>Segment 1a</t>
  </si>
  <si>
    <t>Site 3a</t>
  </si>
  <si>
    <t>Above Evergreen Lake at CDOW Site</t>
  </si>
  <si>
    <t>Segment 1e</t>
  </si>
  <si>
    <t>Bear Creek Cabins at CDOW Site</t>
  </si>
  <si>
    <t>O'Fallon Park, west end at CDOW Site</t>
  </si>
  <si>
    <t>Lair o' the Bear Park, at CDOW site</t>
  </si>
  <si>
    <t>Below Idledale, Shady Lane at CDOW site</t>
  </si>
  <si>
    <t>Segment 3</t>
  </si>
  <si>
    <t>Vance Creek (Mt. Evans Wilderness drainage)</t>
  </si>
  <si>
    <t>Segment 5</t>
  </si>
  <si>
    <t>Cub Creek, Upstream of Cub Creek Park</t>
  </si>
  <si>
    <t>Cub Creek, Upstream @ Brookforest Inn</t>
  </si>
  <si>
    <t>Segment 6a</t>
  </si>
  <si>
    <t>South Turkey Creek Aspen Park Metropolitan District</t>
  </si>
  <si>
    <t>Segment 6b</t>
  </si>
  <si>
    <t>North Turkey Creek Flying J Ranch Bridge</t>
  </si>
  <si>
    <t>NO3-NO2 Ug/l</t>
  </si>
  <si>
    <t>Ammonia Ug/l</t>
  </si>
  <si>
    <t>T Phos Ug/l</t>
  </si>
  <si>
    <t>50 weir</t>
  </si>
  <si>
    <t>TN Ug/l</t>
  </si>
  <si>
    <t>Above EMD WWTP, CDOW downtown site</t>
  </si>
  <si>
    <t>Morrison Park west, CDOW Site</t>
  </si>
  <si>
    <t>Temp °C</t>
  </si>
  <si>
    <t>DO(mg/l)</t>
  </si>
  <si>
    <t>Location</t>
  </si>
  <si>
    <t>Segment</t>
  </si>
  <si>
    <t>6b</t>
  </si>
  <si>
    <t xml:space="preserve"> Bear Creek Reservoir Monitoring Program</t>
  </si>
  <si>
    <t>Bottom</t>
  </si>
  <si>
    <t>EU</t>
  </si>
  <si>
    <t>1/2m</t>
  </si>
  <si>
    <t>1 1/2m</t>
  </si>
  <si>
    <t>2 1/2m</t>
  </si>
  <si>
    <t>3 1/2m</t>
  </si>
  <si>
    <t xml:space="preserve"> BEAR CREEK ABOVE BEAR CREEK LAKE NEAR MORRISON, CO</t>
  </si>
  <si>
    <r>
      <t xml:space="preserve">Temperature,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</t>
    </r>
  </si>
  <si>
    <t xml:space="preserve">Annual </t>
  </si>
  <si>
    <t>Temp 1/2-2m</t>
  </si>
  <si>
    <t>Average1/2-2m (mg/l)</t>
  </si>
  <si>
    <t>Total Nitrogen (ug/l)</t>
  </si>
  <si>
    <t xml:space="preserve">Bear Creek Cabins </t>
  </si>
  <si>
    <t xml:space="preserve">Morrison </t>
  </si>
  <si>
    <t>Flow (cfs)</t>
  </si>
  <si>
    <t>Dissolved Oxygen (mg/l)</t>
  </si>
  <si>
    <t>Site 4 Evergreen Lake</t>
  </si>
  <si>
    <t>Evergreen Lake</t>
  </si>
  <si>
    <t>DO1/2-2m</t>
  </si>
  <si>
    <t>pH wc</t>
  </si>
  <si>
    <t>SC wc</t>
  </si>
  <si>
    <t xml:space="preserve">Vel Ave </t>
  </si>
  <si>
    <t>Width</t>
  </si>
  <si>
    <t>Samplers</t>
  </si>
  <si>
    <t>Weather</t>
  </si>
  <si>
    <t>Site 3a-Keys on the Green</t>
  </si>
  <si>
    <t>Site 5-Little Bear Downtown</t>
  </si>
  <si>
    <t>Site 8-Bear Creek Cabins</t>
  </si>
  <si>
    <t>Site 9-O'Fallon Park</t>
  </si>
  <si>
    <t>Site 12-Lair O' The Bear</t>
  </si>
  <si>
    <t>Site 13a-Idledale</t>
  </si>
  <si>
    <t>Site 14a-Morrison Park West</t>
  </si>
  <si>
    <t>Site 18-South Turkey Creek</t>
  </si>
  <si>
    <t>Site 19 -North Turkey Creek</t>
  </si>
  <si>
    <t>8a</t>
  </si>
  <si>
    <t>13a</t>
  </si>
  <si>
    <t>July</t>
  </si>
  <si>
    <t>x</t>
  </si>
  <si>
    <t>MAX</t>
  </si>
  <si>
    <t>MIN</t>
  </si>
  <si>
    <t>avg</t>
  </si>
  <si>
    <t>June</t>
  </si>
  <si>
    <t>Ammonia</t>
  </si>
  <si>
    <t xml:space="preserve">Median </t>
  </si>
  <si>
    <t>Average Total Nitrogen [ug/l]: -1m</t>
  </si>
  <si>
    <t>Average Total Nitrogen [ug/l]: -10m</t>
  </si>
  <si>
    <t>Peak Annual Total Phosphorus [ug/l] Water Column</t>
  </si>
  <si>
    <t>Total Nitrogen Pounds</t>
  </si>
  <si>
    <t>Average Annual Ortho Phosphorus ug/l] Water Column</t>
  </si>
  <si>
    <t>Peak Annual Ortho Phosphorus [ug/l] Water Column</t>
  </si>
  <si>
    <t>Average Annual Nitrate-Nitrogen [ug/l] Water Column</t>
  </si>
  <si>
    <t>Peak Annual Nitrate-Nitrogen [ug/l] Water Column</t>
  </si>
  <si>
    <t>Average Annual Total Nitrogen [ug/l]: Water Column</t>
  </si>
  <si>
    <t>Growing Season Total Phosphorus [ug/l]: -1m</t>
  </si>
  <si>
    <t>Growing Season Total Phosphorus [ug/l]: -10m</t>
  </si>
  <si>
    <t>Average Annual Total Phosphorus [ug/l] -1m</t>
  </si>
  <si>
    <t>Average Annual Total Phosphorus [ug/l] -10m</t>
  </si>
  <si>
    <t>Growing Season Total Phosphorus [ug/l]: Water Column</t>
  </si>
  <si>
    <t>Average Annual Total Phosphorus [ug/l]: Water Column</t>
  </si>
  <si>
    <t>Average Growing Season Chlorophyll-a [ug/l (-1m)]</t>
  </si>
  <si>
    <t>Average Annual Chlorophyll-a [ug/l (-1m)]</t>
  </si>
  <si>
    <t>Dissolved Oxygen</t>
  </si>
  <si>
    <t>Reservoir Growing Season July to September</t>
  </si>
  <si>
    <t>Growing Season Average Nitrate-Nitrogen [ug/l] Water Column</t>
  </si>
  <si>
    <t>Growing Season Total Nitrogen [ug/l]: Water Column</t>
  </si>
  <si>
    <t>Growing Season Total Nitrogen [ug/l]: -1m</t>
  </si>
  <si>
    <t>Growing Season Total Nitrogen [ug/l]: -10m</t>
  </si>
  <si>
    <t>Growing Season Average Total Suspended Sediments [mg/l]</t>
  </si>
  <si>
    <t>Growing Season Average Ortho Phosphorus [ug/l] Water Column</t>
  </si>
  <si>
    <t>Growing Season Average Secchi Depth (meters)</t>
  </si>
  <si>
    <t>Temperature C</t>
  </si>
  <si>
    <t>Specific Conductance ms/cm</t>
  </si>
  <si>
    <t>Dissolved Oxygen mg/l</t>
  </si>
  <si>
    <t>Site 36 Outlets</t>
  </si>
  <si>
    <t>Site 63 Bottom Plume</t>
  </si>
  <si>
    <t>Site 58 BC Above SRR</t>
  </si>
  <si>
    <t>Site 2a-Golden Willow UBC</t>
  </si>
  <si>
    <t>Site 2a</t>
  </si>
  <si>
    <t>Site 58</t>
  </si>
  <si>
    <t>South Turkey Creek Myers Ranch</t>
  </si>
  <si>
    <t>Site 37 Bear Creek</t>
  </si>
  <si>
    <t>Site 40 Central Pool</t>
  </si>
  <si>
    <t>Site 41- BC Outlet</t>
  </si>
  <si>
    <t>Site 42 - South Dam</t>
  </si>
  <si>
    <t>Site 43 - TC Inlet</t>
  </si>
  <si>
    <t>Site 44 - BC Inlet</t>
  </si>
  <si>
    <t>Dissolved Oxygen, mg/l</t>
  </si>
  <si>
    <t>36 - Outlet Summit Lake</t>
  </si>
  <si>
    <t>37 - Upper Bear Creek</t>
  </si>
  <si>
    <t>16a-Turkey Creek Inflow</t>
  </si>
  <si>
    <t>15a-Bear Creek Inflow</t>
  </si>
  <si>
    <t>45-Bear Creek Discharge</t>
  </si>
  <si>
    <t>Average (m)</t>
  </si>
  <si>
    <t>Average 1/2-2m</t>
  </si>
  <si>
    <t>Profile Average</t>
  </si>
  <si>
    <t>Discharge V avg A</t>
  </si>
  <si>
    <t>BCR Average 1/2-2m</t>
  </si>
  <si>
    <t>BCR Site 40 Profile Average</t>
  </si>
  <si>
    <t>Site 15a-Bear Creek Inflow</t>
  </si>
  <si>
    <t>Site 16a-Turkey Creek Inflow</t>
  </si>
  <si>
    <t>Site 45-Reservoir Discharge</t>
  </si>
  <si>
    <t>Site 40a-Reservoir - Top</t>
  </si>
  <si>
    <t>Site 40c-Reservoir - Lower</t>
  </si>
  <si>
    <t>BCR Water Column Average TN</t>
  </si>
  <si>
    <t>BCR Water Column Average NO3</t>
  </si>
  <si>
    <t>Golden Willow Road UBC</t>
  </si>
  <si>
    <t>Reservoir - Top (TP)</t>
  </si>
  <si>
    <t>BCR Water Column Average TP</t>
  </si>
  <si>
    <t>Reservoir - Lower (TP)</t>
  </si>
  <si>
    <t>BCR Water Column Average OP</t>
  </si>
  <si>
    <t>Reservoir - Top (OP)</t>
  </si>
  <si>
    <t>Reservoir - Lower (OP)</t>
  </si>
  <si>
    <t>Est Periphyton Coverage %</t>
  </si>
  <si>
    <t>Water Clarity</t>
  </si>
  <si>
    <t>Chemistry</t>
  </si>
  <si>
    <t>Bear Creek above Singing River Ranch</t>
  </si>
  <si>
    <t>R</t>
  </si>
  <si>
    <t>Golden Willow Bridge</t>
  </si>
  <si>
    <t>Site 15a</t>
  </si>
  <si>
    <t>Site 24</t>
  </si>
  <si>
    <t> x</t>
  </si>
  <si>
    <t>Segment 1c</t>
  </si>
  <si>
    <t>Site 4a</t>
  </si>
  <si>
    <t>Evergreen Lake Surface, profile station</t>
  </si>
  <si>
    <t xml:space="preserve">R </t>
  </si>
  <si>
    <t>Evergreen Lake Profile Station, 1.5m</t>
  </si>
  <si>
    <t xml:space="preserve">Evergreen Lake Profile Station, 4.5m </t>
  </si>
  <si>
    <t>CDOW downtown Little Bear site</t>
  </si>
  <si>
    <t>Below Idledale, Shady Lane CDOW site</t>
  </si>
  <si>
    <t>Morrison Park west end  at CDOW Site</t>
  </si>
  <si>
    <t>x </t>
  </si>
  <si>
    <t>Site 45</t>
  </si>
  <si>
    <t>Vance Creek (Mt. Evans Wilderness)</t>
  </si>
  <si>
    <t>Site 47a</t>
  </si>
  <si>
    <t>Upper Coyote Gulch</t>
  </si>
  <si>
    <t>Site 47b</t>
  </si>
  <si>
    <t>Lower Coyote Gulch,  reservoir</t>
  </si>
  <si>
    <t>Cub Creek, Upstream Cub Creek Park</t>
  </si>
  <si>
    <t>Cub Creek @ Brookforest Inn</t>
  </si>
  <si>
    <t>Site 16a</t>
  </si>
  <si>
    <t>Summit Lake (Segment 8)</t>
  </si>
  <si>
    <t>Bear Creek Mainstem (Segment 7)</t>
  </si>
  <si>
    <t>Field Data</t>
  </si>
  <si>
    <t>Laboratory Analyses</t>
  </si>
  <si>
    <t>Nitrate+Nitrite-Nitrogen</t>
  </si>
  <si>
    <t>Total Ammonia</t>
  </si>
  <si>
    <t>Specific Conductivity</t>
  </si>
  <si>
    <t>Temperature (field probe, 1/2-m intervals in central pool)</t>
  </si>
  <si>
    <t>Bear Creek within Bear Creek Park</t>
  </si>
  <si>
    <t>Site 52</t>
  </si>
  <si>
    <t>Site 53</t>
  </si>
  <si>
    <t>Riefenberg</t>
  </si>
  <si>
    <t>Site 54</t>
  </si>
  <si>
    <t>Middle Kerr Gulch</t>
  </si>
  <si>
    <t>Kerr Gulch Mouth</t>
  </si>
  <si>
    <t xml:space="preserve">Site 55 </t>
  </si>
  <si>
    <t>Swede Gulch</t>
  </si>
  <si>
    <t xml:space="preserve">Lower Bear Creek, below reservoir concrete trace/ weir </t>
  </si>
  <si>
    <t>Flow</t>
  </si>
  <si>
    <t>Manual Flows</t>
  </si>
  <si>
    <t>Reservoirs (BCR and Evergreen)</t>
  </si>
  <si>
    <t>USGS gauge</t>
  </si>
  <si>
    <t>USGS gauge &amp; x</t>
  </si>
  <si>
    <t>BCWA Staff &amp; x</t>
  </si>
  <si>
    <t>Turkey Creek within Bear Creek Park</t>
  </si>
  <si>
    <t>Bear Creek Reservoir, Central Pool Profile</t>
  </si>
  <si>
    <t>site 42</t>
  </si>
  <si>
    <t>BCR, Outlet</t>
  </si>
  <si>
    <t>BCR South Dam</t>
  </si>
  <si>
    <t>BCR Turkey Creek Inlet</t>
  </si>
  <si>
    <t>BCR Bear Creek Inlet</t>
  </si>
  <si>
    <t>Field Profile</t>
  </si>
  <si>
    <t>Temperature (discrete field probe )</t>
  </si>
  <si>
    <t>Macroinvertebrates</t>
  </si>
  <si>
    <t>Habitat</t>
  </si>
  <si>
    <t>Periphyton Coverage (Qualitative)</t>
  </si>
  <si>
    <t>E. coli, select sites</t>
  </si>
  <si>
    <t>BCR Phytoplankton (July, August, September only; six sample sets)</t>
  </si>
  <si>
    <t>Temperature  (continuous data loggers, 1/2-2m)</t>
  </si>
  <si>
    <t>Total depth</t>
  </si>
  <si>
    <t>Secchi Reading</t>
  </si>
  <si>
    <t>BCR Sediment study (TP)</t>
  </si>
  <si>
    <t>BCR Sediment study (Organics)</t>
  </si>
  <si>
    <t>BCR Sediment Study (Grain Size)</t>
  </si>
  <si>
    <t>site 32</t>
  </si>
  <si>
    <t>Site 64</t>
  </si>
  <si>
    <t>Troublesome Mouth</t>
  </si>
  <si>
    <t>Troublesome at Culvert above West Jeff</t>
  </si>
  <si>
    <t>Site 34</t>
  </si>
  <si>
    <t>Mt Vernon Drainage, Morrison</t>
  </si>
  <si>
    <t>Site 4i</t>
  </si>
  <si>
    <t>Site 40a</t>
  </si>
  <si>
    <t>Site 40c</t>
  </si>
  <si>
    <t>JCS Outdoor Lab</t>
  </si>
  <si>
    <t>Parameter (units)</t>
  </si>
  <si>
    <t xml:space="preserve">Bear &amp;Turkey Creek Inflows, Site 15a and 16a </t>
  </si>
  <si>
    <t>Reservoir Outflow, Site 45</t>
  </si>
  <si>
    <t>Physical/Field</t>
  </si>
  <si>
    <t>Flow/ Discharge (cu m/s)</t>
  </si>
  <si>
    <t>X</t>
  </si>
  <si>
    <t>Specific Conductance (umhos/cm)</t>
  </si>
  <si>
    <t>(Profiles at sites 40, 41, 42, 43, 44)</t>
  </si>
  <si>
    <t>Secchi (meters)</t>
  </si>
  <si>
    <t>(Sites 40, 41, 42, 43, and 44</t>
  </si>
  <si>
    <t>(Profile sites 40, 41, 42, 43, 44)</t>
  </si>
  <si>
    <t>Temperature (C)</t>
  </si>
  <si>
    <t>X (Data Loggers)</t>
  </si>
  <si>
    <t>(Profile at  sites 40, 41, 42, 43, 44)</t>
  </si>
  <si>
    <t>Data Logger at site 40</t>
  </si>
  <si>
    <t>pH (standard unit)</t>
  </si>
  <si>
    <t>(Profile at sites 40, 41, 42, 43, 44 )</t>
  </si>
  <si>
    <t>Biological (Site 40 only)</t>
  </si>
  <si>
    <t>Chlorophyll a (ug/l)</t>
  </si>
  <si>
    <t>X (-1m)</t>
  </si>
  <si>
    <t>Phytoplankton (July, August, September only; six sample sets)</t>
  </si>
  <si>
    <t xml:space="preserve">Composite top 1-meter water </t>
  </si>
  <si>
    <t>Nutrients (Reservoir Site 40 only)</t>
  </si>
  <si>
    <t>X (top, lower)</t>
  </si>
  <si>
    <t>Total Dissolved Phosphorus (ug/l)</t>
  </si>
  <si>
    <t>Manual and Staff gage</t>
  </si>
  <si>
    <t>Nitrate + Nitrite Nitrogen (ug/l)</t>
  </si>
  <si>
    <t>Total Ammonia (ug/l)</t>
  </si>
  <si>
    <t>Total Depth (m)</t>
  </si>
  <si>
    <t>Bottom Sediments BCR</t>
  </si>
  <si>
    <t>Total Phosphorus (mg/kg)</t>
  </si>
  <si>
    <t>% Organics ( TOC)</t>
  </si>
  <si>
    <t>% Clay-silt</t>
  </si>
  <si>
    <t>17 sites</t>
  </si>
  <si>
    <t>18 sites</t>
  </si>
  <si>
    <t>19 sites</t>
  </si>
  <si>
    <t>Wastewater Treatment Facilities</t>
  </si>
  <si>
    <t>Total Inorganic Nitrogen (Calculation)</t>
  </si>
  <si>
    <t>Daily average effluent discharge</t>
  </si>
  <si>
    <t>Ammonia-Nitrogen</t>
  </si>
  <si>
    <t>Total Inorganic Nitrogen (Calculation = NO2+NO3+NH4)</t>
  </si>
  <si>
    <t>Temperature  (continuous data loggers, Effluent)</t>
  </si>
  <si>
    <t>TDP</t>
  </si>
  <si>
    <t>Reference Site</t>
  </si>
  <si>
    <t xml:space="preserve">Data Logger </t>
  </si>
  <si>
    <t>Evergreen Metro District</t>
  </si>
  <si>
    <t xml:space="preserve">Singing River Ranch </t>
  </si>
  <si>
    <t>West Jefferson County Metro District</t>
  </si>
  <si>
    <t>Kittredge Water and Sanitation District</t>
  </si>
  <si>
    <t>Genesee Water and Sanitation District</t>
  </si>
  <si>
    <t>Forest Hills Metro District</t>
  </si>
  <si>
    <t>Tiny Town</t>
  </si>
  <si>
    <t xml:space="preserve">The Fort </t>
  </si>
  <si>
    <t xml:space="preserve">Conifer Metro District </t>
  </si>
  <si>
    <t xml:space="preserve">JCS Conifer High School </t>
  </si>
  <si>
    <t xml:space="preserve">Geneva Glen </t>
  </si>
  <si>
    <t>Bear Creek Drainage</t>
  </si>
  <si>
    <t>Turkey Creek Drainage</t>
  </si>
  <si>
    <t>Site 40a-Reservoir - Top TP</t>
  </si>
  <si>
    <t>Site 40c-Reservoir - Lower TP</t>
  </si>
  <si>
    <t>Site 40a-Reservoir - Top TDP</t>
  </si>
  <si>
    <t>Site 40c-Reservoir - Lower TDP</t>
  </si>
  <si>
    <t xml:space="preserve">Reservoir - Top </t>
  </si>
  <si>
    <t xml:space="preserve">Reservoir - Lower </t>
  </si>
  <si>
    <t xml:space="preserve">BCR Water Column Average </t>
  </si>
  <si>
    <t>E. coli cts/100ml</t>
  </si>
  <si>
    <t>Total Nitrogen ug/l</t>
  </si>
  <si>
    <t xml:space="preserve">Brookforest Inn </t>
  </si>
  <si>
    <t xml:space="preserve">Aspen Park Metro District </t>
  </si>
  <si>
    <t>Site 1b ETU</t>
  </si>
  <si>
    <t>Williams Bridge</t>
  </si>
  <si>
    <t>Site 2b ETU</t>
  </si>
  <si>
    <t>Site 8b ETU</t>
  </si>
  <si>
    <t>Site 52a ETU</t>
  </si>
  <si>
    <t xml:space="preserve">Tiny Town </t>
  </si>
  <si>
    <t xml:space="preserve">GWSD </t>
  </si>
  <si>
    <t xml:space="preserve">KSWD </t>
  </si>
  <si>
    <t>Singing River Ranch</t>
  </si>
  <si>
    <t>Chlorophyll (Site 40)</t>
  </si>
  <si>
    <t>Clarity (All Profiles)</t>
  </si>
  <si>
    <t>Dissolved Oxygen (site 40 Profile)</t>
  </si>
  <si>
    <t>Annual Average at -1/2m - 2m [mg/l]</t>
  </si>
  <si>
    <t>Annual Minimum at -1/2m - 2m [mg/l]</t>
  </si>
  <si>
    <t>Seasonal Minimum at -1/2 - 2m [mg/l]</t>
  </si>
  <si>
    <t>Seasonal Average at -1/2 - 2m [mg/l]</t>
  </si>
  <si>
    <t xml:space="preserve">Specific Conductance </t>
  </si>
  <si>
    <t>Annual Average at -1/2m - 2m [uS/cm]</t>
  </si>
  <si>
    <t>Annual Minimum at -1/2m - 2m [us/cm]</t>
  </si>
  <si>
    <t>Seasonal Average at -1/2 - 2m [us/cm]</t>
  </si>
  <si>
    <t>Seasonal Minimum at -1/2 - 2m [us/cm]</t>
  </si>
  <si>
    <t>Total Outflow</t>
  </si>
  <si>
    <t>Site 45 Outflow BCR</t>
  </si>
  <si>
    <t>BCR Evaporation</t>
  </si>
  <si>
    <t>BCR Nitrate Deposition</t>
  </si>
  <si>
    <t>BCR Total Nitrogen Deposition</t>
  </si>
  <si>
    <t>BCR Total Phosphorus Deposition</t>
  </si>
  <si>
    <t>BCR TSS Deposition</t>
  </si>
  <si>
    <t>Total Nitrogen -Total Load In to BCR</t>
  </si>
  <si>
    <t>Total Nitrogen -Total Load From BCR</t>
  </si>
  <si>
    <t>Total Nitrogen -Total Deposition into BCR</t>
  </si>
  <si>
    <t>Total Phosphorus -Total Load In to BCR</t>
  </si>
  <si>
    <t>Total Phosphorus -Total Load From BCR</t>
  </si>
  <si>
    <t>Total Phosphorus -Total Deposition into BCR</t>
  </si>
  <si>
    <t>TSS -Total Load In to BCR</t>
  </si>
  <si>
    <t>TSS -Total Load From BCR</t>
  </si>
  <si>
    <t>TSS -Total Deposition into BCR</t>
  </si>
  <si>
    <t>Reservoir Monitoring Parameters</t>
  </si>
  <si>
    <t>47A Upper Coyote</t>
  </si>
  <si>
    <t>47B Lower Coyote</t>
  </si>
  <si>
    <t>*all preserved samples have an allowable holding time of 28 days</t>
  </si>
  <si>
    <t>Analyte</t>
  </si>
  <si>
    <t>Method</t>
  </si>
  <si>
    <t>Filtered (0.45 µm filter)</t>
  </si>
  <si>
    <t>Allowable Hold Time
(unpreserved samples)*</t>
  </si>
  <si>
    <t>No</t>
  </si>
  <si>
    <t>48 hours prior to digestion;
7 days prior to analysis</t>
  </si>
  <si>
    <t>Total Dissolved
Phosphorus</t>
  </si>
  <si>
    <t>Yes</t>
  </si>
  <si>
    <t>Nitrate + Nitrite</t>
  </si>
  <si>
    <t>48 hours</t>
  </si>
  <si>
    <t>24 hours</t>
  </si>
  <si>
    <t>Total Suspended
Solids</t>
  </si>
  <si>
    <t>Standard Methods 2540 D</t>
  </si>
  <si>
    <t>7 days before filtration, indefinitely after drying</t>
  </si>
  <si>
    <t>Hot Ethanol Extraction</t>
  </si>
  <si>
    <t>28 days</t>
  </si>
  <si>
    <t>Average % Recovery</t>
  </si>
  <si>
    <t>Number of Samples
Spiked</t>
  </si>
  <si>
    <t>Within Target Range</t>
  </si>
  <si>
    <t>Matrix spikes by analyte. Target recovery range is 80-120% recovery.</t>
  </si>
  <si>
    <t xml:space="preserve">Analyte </t>
  </si>
  <si>
    <t xml:space="preserve">Minimum Detection limit </t>
  </si>
  <si>
    <t xml:space="preserve">Total Phosphorus </t>
  </si>
  <si>
    <t xml:space="preserve">2 μg/L </t>
  </si>
  <si>
    <t>Nitrate+Nitrite</t>
  </si>
  <si>
    <t>3 ug/l</t>
  </si>
  <si>
    <t>2 ug/l</t>
  </si>
  <si>
    <t>4 mg/l</t>
  </si>
  <si>
    <t>0.1 ug/l</t>
  </si>
  <si>
    <t>All matrix spikes within target range of 80-120% recovery</t>
  </si>
  <si>
    <t>QA Requirement</t>
  </si>
  <si>
    <t>Note</t>
  </si>
  <si>
    <t>Chain of Custody received complete</t>
  </si>
  <si>
    <t>Samples received within holding times</t>
  </si>
  <si>
    <t>Samples at correct temperature (1-8ºC)</t>
  </si>
  <si>
    <t>QA/QC Standards within acceptable 10% difference</t>
  </si>
  <si>
    <t>Duplicate samples within acceptable 10% difference</t>
  </si>
  <si>
    <t>Stream</t>
  </si>
  <si>
    <t>Morrison</t>
  </si>
  <si>
    <t>Segment 10, 11, and 12</t>
  </si>
  <si>
    <t>None in 2013</t>
  </si>
  <si>
    <t>WWTF Site 20</t>
  </si>
  <si>
    <t>WWTF Site 22</t>
  </si>
  <si>
    <t>WWTF Site 23</t>
  </si>
  <si>
    <t>WWTF Site 1</t>
  </si>
  <si>
    <t>WWTF Site 34a</t>
  </si>
  <si>
    <t>Coordinated with Monthly Stream Samples</t>
  </si>
  <si>
    <t>Not Coordinated</t>
  </si>
  <si>
    <t>No Sample</t>
  </si>
  <si>
    <t>Site 64 (Troublesome)</t>
  </si>
  <si>
    <t>Site 34 Mt Vernon</t>
  </si>
  <si>
    <t>Site 32 (Troublesome Mouth )</t>
  </si>
  <si>
    <t>NH3</t>
  </si>
  <si>
    <t>Parameter Summary</t>
  </si>
  <si>
    <t>Dissolved Oxygen 1/2-2m</t>
  </si>
  <si>
    <t xml:space="preserve">pH water column </t>
  </si>
  <si>
    <t>Temperature (C) 1/2-2m</t>
  </si>
  <si>
    <t>Specific Conductance (us/m)</t>
  </si>
  <si>
    <t>Site3a</t>
  </si>
  <si>
    <t>Vance Creek</t>
  </si>
  <si>
    <t>Morrison WWTF</t>
  </si>
  <si>
    <t>Site 25-Vance Creek</t>
  </si>
  <si>
    <t>Site 35 - Brookforest Inn</t>
  </si>
  <si>
    <t>Site 35-Brookforest Inn</t>
  </si>
  <si>
    <t>Site 50-Lower Cub Creek</t>
  </si>
  <si>
    <t>Park BC</t>
  </si>
  <si>
    <t>Evergreen</t>
  </si>
  <si>
    <t>Res Ac-ft</t>
  </si>
  <si>
    <t>Sheridan</t>
  </si>
  <si>
    <t>Cfs</t>
  </si>
  <si>
    <t>Middle Watershed Sampling Sites - Bear Creek Watershed</t>
  </si>
  <si>
    <t>Estimated Flow cfs</t>
  </si>
  <si>
    <t>End Pond #2, Bear Creek</t>
  </si>
  <si>
    <t>65 - Between Ponds</t>
  </si>
  <si>
    <t>Periphyton Coverage</t>
  </si>
  <si>
    <t>BCWA Segment Sample Sites</t>
  </si>
  <si>
    <t>Total Nitrogen, ug/l</t>
  </si>
  <si>
    <t>Nitrate/Nitrite as N, dissolved, ug/l</t>
  </si>
  <si>
    <t>Nitrogen, ammonia, ug/l</t>
  </si>
  <si>
    <t>Phosphorus, total, ug/l</t>
  </si>
  <si>
    <t>PQL</t>
  </si>
  <si>
    <t>Site 63</t>
  </si>
  <si>
    <t>Summit Lake Lower Plume, discharge Upper Bear Creek</t>
  </si>
  <si>
    <t>Site 65</t>
  </si>
  <si>
    <t>Bear Creek Inchannel Ponds, between pond #1 &amp; #2</t>
  </si>
  <si>
    <t>BCRMORCO</t>
  </si>
  <si>
    <t>=</t>
  </si>
  <si>
    <t>DATE</t>
  </si>
  <si>
    <t>COUNT</t>
  </si>
  <si>
    <t>Fish Present</t>
  </si>
  <si>
    <t>site 36 - within Summit lake</t>
  </si>
  <si>
    <t>Channel from Culvert to Pond #1</t>
  </si>
  <si>
    <t>site 36 through Culverts</t>
  </si>
  <si>
    <t>site 63 - Bottom Plume @ flow site</t>
  </si>
  <si>
    <t>site 65 - Between Pond #1 and #2</t>
  </si>
  <si>
    <t>site 37 - Bear Creek</t>
  </si>
  <si>
    <t>Site 63 - Bottom Plume Adjusted</t>
  </si>
  <si>
    <t>width Plume at 6 points = 9.5'</t>
  </si>
  <si>
    <t>Nitrate/Nitrite as N, dissolved, Pounds/month</t>
  </si>
  <si>
    <t>Ammonia Nitrogen, Pounds/month</t>
  </si>
  <si>
    <t>Total Nitrogen, Pounds/month</t>
  </si>
  <si>
    <t>Total Phosphorus, Pounds/month</t>
  </si>
  <si>
    <t>Season Totals</t>
  </si>
  <si>
    <t>Flow acre-feet/month</t>
  </si>
  <si>
    <t>Site 65 - Between Pond #1 and #2</t>
  </si>
  <si>
    <t>3a</t>
  </si>
  <si>
    <t>2a</t>
  </si>
  <si>
    <t>14a</t>
  </si>
  <si>
    <r>
      <t>Segment 1a</t>
    </r>
    <r>
      <rPr>
        <sz val="12"/>
        <rFont val="Times New Roman"/>
        <family val="1"/>
      </rPr>
      <t> </t>
    </r>
  </si>
  <si>
    <r>
      <t>Segment 1e</t>
    </r>
    <r>
      <rPr>
        <sz val="12"/>
        <rFont val="Times New Roman"/>
        <family val="1"/>
      </rPr>
      <t> </t>
    </r>
  </si>
  <si>
    <r>
      <t>Segment 3</t>
    </r>
    <r>
      <rPr>
        <sz val="12"/>
        <rFont val="Times New Roman"/>
        <family val="1"/>
      </rPr>
      <t> </t>
    </r>
  </si>
  <si>
    <r>
      <t>Segment 6b</t>
    </r>
    <r>
      <rPr>
        <sz val="12"/>
        <rFont val="Times New Roman"/>
        <family val="1"/>
      </rPr>
      <t> </t>
    </r>
  </si>
  <si>
    <r>
      <t>Segments 7 and 8</t>
    </r>
    <r>
      <rPr>
        <sz val="12"/>
        <rFont val="Times New Roman"/>
        <family val="1"/>
      </rPr>
      <t> </t>
    </r>
  </si>
  <si>
    <t>65 - Between Pond #1 &amp; #2</t>
  </si>
  <si>
    <t>Segment 4a</t>
  </si>
  <si>
    <t>Stream/ Watershed/ Wastewater Treatment Facilities</t>
  </si>
  <si>
    <t>BCROUTCO</t>
  </si>
  <si>
    <t>CFS Morrison</t>
  </si>
  <si>
    <t>&lt;p&gt;Warning: Javascript must be enabled to use all the features on this page! &lt;p&gt;Warning: Javascript must be enabled to use all the features on this page!</t>
  </si>
  <si>
    <t>Daily Mean Discharge, cubic feet per second</t>
  </si>
  <si>
    <r>
      <t xml:space="preserve">20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</si>
  <si>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</si>
  <si>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</si>
  <si>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Ice </t>
    </r>
    <r>
      <rPr>
        <vertAlign val="superscript"/>
        <sz val="10"/>
        <rFont val="Verdana"/>
        <family val="2"/>
      </rPr>
      <t>P</t>
    </r>
  </si>
  <si>
    <r>
      <t xml:space="preserve">30 </t>
    </r>
    <r>
      <rPr>
        <vertAlign val="superscript"/>
        <sz val="10"/>
        <rFont val="Verdana"/>
        <family val="2"/>
      </rPr>
      <t>P</t>
    </r>
  </si>
  <si>
    <r>
      <t xml:space="preserve">40 </t>
    </r>
    <r>
      <rPr>
        <vertAlign val="superscript"/>
        <sz val="10"/>
        <rFont val="Verdana"/>
        <family val="2"/>
      </rPr>
      <t>P</t>
    </r>
  </si>
  <si>
    <r>
      <t xml:space="preserve">23 </t>
    </r>
    <r>
      <rPr>
        <vertAlign val="superscript"/>
        <sz val="10"/>
        <rFont val="Verdana"/>
        <family val="2"/>
      </rPr>
      <t>P</t>
    </r>
  </si>
  <si>
    <r>
      <t xml:space="preserve">24 </t>
    </r>
    <r>
      <rPr>
        <vertAlign val="superscript"/>
        <sz val="10"/>
        <rFont val="Verdana"/>
        <family val="2"/>
      </rPr>
      <t>P</t>
    </r>
  </si>
  <si>
    <r>
      <t xml:space="preserve">48 </t>
    </r>
    <r>
      <rPr>
        <vertAlign val="superscript"/>
        <sz val="10"/>
        <rFont val="Verdana"/>
        <family val="2"/>
      </rPr>
      <t>P</t>
    </r>
  </si>
  <si>
    <r>
      <t xml:space="preserve">142 </t>
    </r>
    <r>
      <rPr>
        <vertAlign val="superscript"/>
        <sz val="10"/>
        <rFont val="Verdana"/>
        <family val="2"/>
      </rPr>
      <t>P</t>
    </r>
  </si>
  <si>
    <r>
      <t xml:space="preserve">46 </t>
    </r>
    <r>
      <rPr>
        <vertAlign val="superscript"/>
        <sz val="10"/>
        <rFont val="Verdana"/>
        <family val="2"/>
      </rPr>
      <t>P</t>
    </r>
  </si>
  <si>
    <r>
      <t xml:space="preserve">16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</si>
  <si>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</si>
  <si>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</si>
  <si>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15 </t>
    </r>
    <r>
      <rPr>
        <vertAlign val="superscript"/>
        <sz val="10"/>
        <rFont val="Verdana"/>
        <family val="2"/>
      </rPr>
      <t>P</t>
    </r>
  </si>
  <si>
    <r>
      <t xml:space="preserve">42 </t>
    </r>
    <r>
      <rPr>
        <vertAlign val="superscript"/>
        <sz val="10"/>
        <rFont val="Verdana"/>
        <family val="2"/>
      </rPr>
      <t>P</t>
    </r>
  </si>
  <si>
    <r>
      <t xml:space="preserve">28 </t>
    </r>
    <r>
      <rPr>
        <vertAlign val="superscript"/>
        <sz val="10"/>
        <rFont val="Verdana"/>
        <family val="2"/>
      </rPr>
      <t>P</t>
    </r>
  </si>
  <si>
    <r>
      <t xml:space="preserve">133 </t>
    </r>
    <r>
      <rPr>
        <vertAlign val="superscript"/>
        <sz val="10"/>
        <rFont val="Verdana"/>
        <family val="2"/>
      </rPr>
      <t>P</t>
    </r>
  </si>
  <si>
    <r>
      <t xml:space="preserve">45 </t>
    </r>
    <r>
      <rPr>
        <vertAlign val="superscript"/>
        <sz val="10"/>
        <rFont val="Verdana"/>
        <family val="2"/>
      </rPr>
      <t>P</t>
    </r>
  </si>
  <si>
    <r>
      <t xml:space="preserve">18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</si>
  <si>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22 </t>
    </r>
    <r>
      <rPr>
        <vertAlign val="superscript"/>
        <sz val="10"/>
        <rFont val="Verdana"/>
        <family val="2"/>
      </rPr>
      <t>P</t>
    </r>
  </si>
  <si>
    <r>
      <t xml:space="preserve">124 </t>
    </r>
    <r>
      <rPr>
        <vertAlign val="superscript"/>
        <sz val="10"/>
        <rFont val="Verdana"/>
        <family val="2"/>
      </rPr>
      <t>P</t>
    </r>
  </si>
  <si>
    <r>
      <t xml:space="preserve">14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</si>
  <si>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4.9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</si>
  <si>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</si>
  <si>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</si>
  <si>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26 </t>
    </r>
    <r>
      <rPr>
        <vertAlign val="superscript"/>
        <sz val="10"/>
        <rFont val="Verdana"/>
        <family val="2"/>
      </rPr>
      <t>P</t>
    </r>
  </si>
  <si>
    <r>
      <t xml:space="preserve">53 </t>
    </r>
    <r>
      <rPr>
        <vertAlign val="superscript"/>
        <sz val="10"/>
        <rFont val="Verdana"/>
        <family val="2"/>
      </rPr>
      <t>P</t>
    </r>
  </si>
  <si>
    <r>
      <t xml:space="preserve">25 </t>
    </r>
    <r>
      <rPr>
        <vertAlign val="superscript"/>
        <sz val="10"/>
        <rFont val="Verdana"/>
        <family val="2"/>
      </rPr>
      <t>P</t>
    </r>
  </si>
  <si>
    <r>
      <t xml:space="preserve">43 </t>
    </r>
    <r>
      <rPr>
        <vertAlign val="superscript"/>
        <sz val="10"/>
        <rFont val="Verdana"/>
        <family val="2"/>
      </rPr>
      <t>P</t>
    </r>
  </si>
  <si>
    <r>
      <t xml:space="preserve">13 </t>
    </r>
    <r>
      <rPr>
        <vertAlign val="superscript"/>
        <sz val="10"/>
        <rFont val="Verdana"/>
        <family val="2"/>
      </rPr>
      <t>P</t>
    </r>
  </si>
  <si>
    <r>
      <t xml:space="preserve">56 </t>
    </r>
    <r>
      <rPr>
        <vertAlign val="superscript"/>
        <sz val="10"/>
        <rFont val="Verdana"/>
        <family val="2"/>
      </rPr>
      <t>P</t>
    </r>
  </si>
  <si>
    <r>
      <t xml:space="preserve">29 </t>
    </r>
    <r>
      <rPr>
        <vertAlign val="superscript"/>
        <sz val="10"/>
        <rFont val="Verdana"/>
        <family val="2"/>
      </rPr>
      <t>P</t>
    </r>
  </si>
  <si>
    <r>
      <t xml:space="preserve">118 </t>
    </r>
    <r>
      <rPr>
        <vertAlign val="superscript"/>
        <sz val="10"/>
        <rFont val="Verdana"/>
        <family val="2"/>
      </rPr>
      <t>P</t>
    </r>
  </si>
  <si>
    <r>
      <t xml:space="preserve">11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</si>
  <si>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</si>
  <si>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</si>
  <si>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27 </t>
    </r>
    <r>
      <rPr>
        <vertAlign val="superscript"/>
        <sz val="10"/>
        <rFont val="Verdana"/>
        <family val="2"/>
      </rPr>
      <t>P</t>
    </r>
  </si>
  <si>
    <r>
      <t xml:space="preserve">112 </t>
    </r>
    <r>
      <rPr>
        <vertAlign val="superscript"/>
        <sz val="10"/>
        <rFont val="Verdana"/>
        <family val="2"/>
      </rPr>
      <t>P</t>
    </r>
  </si>
  <si>
    <r>
      <t xml:space="preserve">10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</si>
  <si>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</si>
  <si>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106 </t>
    </r>
    <r>
      <rPr>
        <vertAlign val="superscript"/>
        <sz val="10"/>
        <rFont val="Verdana"/>
        <family val="2"/>
      </rPr>
      <t>P</t>
    </r>
  </si>
  <si>
    <r>
      <t xml:space="preserve">7.8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</si>
  <si>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</si>
  <si>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31 </t>
    </r>
    <r>
      <rPr>
        <vertAlign val="superscript"/>
        <sz val="10"/>
        <rFont val="Verdana"/>
        <family val="2"/>
      </rPr>
      <t>P</t>
    </r>
  </si>
  <si>
    <r>
      <t xml:space="preserve">44 </t>
    </r>
    <r>
      <rPr>
        <vertAlign val="superscript"/>
        <sz val="10"/>
        <rFont val="Verdana"/>
        <family val="2"/>
      </rPr>
      <t>P</t>
    </r>
  </si>
  <si>
    <r>
      <t xml:space="preserve">39 </t>
    </r>
    <r>
      <rPr>
        <vertAlign val="superscript"/>
        <sz val="10"/>
        <rFont val="Verdana"/>
        <family val="2"/>
      </rPr>
      <t>P</t>
    </r>
  </si>
  <si>
    <r>
      <t xml:space="preserve">100 </t>
    </r>
    <r>
      <rPr>
        <vertAlign val="superscript"/>
        <sz val="10"/>
        <rFont val="Verdana"/>
        <family val="2"/>
      </rPr>
      <t>P</t>
    </r>
  </si>
  <si>
    <r>
      <t xml:space="preserve">7.5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</si>
  <si>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</si>
  <si>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52 </t>
    </r>
    <r>
      <rPr>
        <vertAlign val="superscript"/>
        <sz val="10"/>
        <rFont val="Verdana"/>
        <family val="2"/>
      </rPr>
      <t>P</t>
    </r>
  </si>
  <si>
    <r>
      <t xml:space="preserve">93 </t>
    </r>
    <r>
      <rPr>
        <vertAlign val="superscript"/>
        <sz val="10"/>
        <rFont val="Verdana"/>
        <family val="2"/>
      </rPr>
      <t>P</t>
    </r>
  </si>
  <si>
    <r>
      <t xml:space="preserve">41 </t>
    </r>
    <r>
      <rPr>
        <vertAlign val="superscript"/>
        <sz val="10"/>
        <rFont val="Verdana"/>
        <family val="2"/>
      </rPr>
      <t>P</t>
    </r>
  </si>
  <si>
    <r>
      <t xml:space="preserve">7.1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</si>
  <si>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54 </t>
    </r>
    <r>
      <rPr>
        <vertAlign val="superscript"/>
        <sz val="10"/>
        <rFont val="Verdana"/>
        <family val="2"/>
      </rPr>
      <t>P</t>
    </r>
  </si>
  <si>
    <r>
      <t xml:space="preserve">155 </t>
    </r>
    <r>
      <rPr>
        <vertAlign val="superscript"/>
        <sz val="10"/>
        <rFont val="Verdana"/>
        <family val="2"/>
      </rPr>
      <t>P</t>
    </r>
  </si>
  <si>
    <r>
      <t xml:space="preserve">91 </t>
    </r>
    <r>
      <rPr>
        <vertAlign val="superscript"/>
        <sz val="10"/>
        <rFont val="Verdana"/>
        <family val="2"/>
      </rPr>
      <t>P</t>
    </r>
  </si>
  <si>
    <r>
      <t xml:space="preserve">7.2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</si>
  <si>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</si>
  <si>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</si>
  <si>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58 </t>
    </r>
    <r>
      <rPr>
        <vertAlign val="superscript"/>
        <sz val="10"/>
        <rFont val="Verdana"/>
        <family val="2"/>
      </rPr>
      <t>P</t>
    </r>
  </si>
  <si>
    <r>
      <t xml:space="preserve">305 </t>
    </r>
    <r>
      <rPr>
        <vertAlign val="superscript"/>
        <sz val="10"/>
        <rFont val="Verdana"/>
        <family val="2"/>
      </rPr>
      <t>P</t>
    </r>
  </si>
  <si>
    <r>
      <t xml:space="preserve">86 </t>
    </r>
    <r>
      <rPr>
        <vertAlign val="superscript"/>
        <sz val="10"/>
        <rFont val="Verdana"/>
        <family val="2"/>
      </rPr>
      <t>P</t>
    </r>
  </si>
  <si>
    <r>
      <t xml:space="preserve">37 </t>
    </r>
    <r>
      <rPr>
        <vertAlign val="superscript"/>
        <sz val="10"/>
        <rFont val="Verdana"/>
        <family val="2"/>
      </rPr>
      <t>P</t>
    </r>
  </si>
  <si>
    <r>
      <t xml:space="preserve">8.1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</si>
  <si>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64 </t>
    </r>
    <r>
      <rPr>
        <vertAlign val="superscript"/>
        <sz val="10"/>
        <rFont val="Verdana"/>
        <family val="2"/>
      </rPr>
      <t>P</t>
    </r>
  </si>
  <si>
    <r>
      <t xml:space="preserve">38 </t>
    </r>
    <r>
      <rPr>
        <vertAlign val="superscript"/>
        <sz val="10"/>
        <rFont val="Verdana"/>
        <family val="2"/>
      </rPr>
      <t>P</t>
    </r>
  </si>
  <si>
    <r>
      <t xml:space="preserve">66 </t>
    </r>
    <r>
      <rPr>
        <vertAlign val="superscript"/>
        <sz val="10"/>
        <rFont val="Verdana"/>
        <family val="2"/>
      </rPr>
      <t>P</t>
    </r>
  </si>
  <si>
    <r>
      <t xml:space="preserve">32 </t>
    </r>
    <r>
      <rPr>
        <vertAlign val="superscript"/>
        <sz val="10"/>
        <rFont val="Verdana"/>
        <family val="2"/>
      </rPr>
      <t>P</t>
    </r>
  </si>
  <si>
    <r>
      <t xml:space="preserve">423 </t>
    </r>
    <r>
      <rPr>
        <vertAlign val="superscript"/>
        <sz val="10"/>
        <rFont val="Verdana"/>
        <family val="2"/>
      </rPr>
      <t>P</t>
    </r>
  </si>
  <si>
    <r>
      <t xml:space="preserve">82 </t>
    </r>
    <r>
      <rPr>
        <vertAlign val="superscript"/>
        <sz val="10"/>
        <rFont val="Verdana"/>
        <family val="2"/>
      </rPr>
      <t>P</t>
    </r>
  </si>
  <si>
    <r>
      <t xml:space="preserve">9.3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</si>
  <si>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6.1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</si>
  <si>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78 </t>
    </r>
    <r>
      <rPr>
        <vertAlign val="superscript"/>
        <sz val="10"/>
        <rFont val="Verdana"/>
        <family val="2"/>
      </rPr>
      <t>P</t>
    </r>
  </si>
  <si>
    <r>
      <t xml:space="preserve">36 </t>
    </r>
    <r>
      <rPr>
        <vertAlign val="superscript"/>
        <sz val="10"/>
        <rFont val="Verdana"/>
        <family val="2"/>
      </rPr>
      <t>P</t>
    </r>
  </si>
  <si>
    <r>
      <t xml:space="preserve">1,140 </t>
    </r>
    <r>
      <rPr>
        <vertAlign val="superscript"/>
        <sz val="10"/>
        <rFont val="Verdana"/>
        <family val="2"/>
      </rPr>
      <t>P</t>
    </r>
  </si>
  <si>
    <r>
      <t xml:space="preserve">80 </t>
    </r>
    <r>
      <rPr>
        <vertAlign val="superscript"/>
        <sz val="10"/>
        <rFont val="Verdana"/>
        <family val="2"/>
      </rPr>
      <t>P</t>
    </r>
  </si>
  <si>
    <r>
      <t xml:space="preserve">9.5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</si>
  <si>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6.2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</si>
  <si>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</si>
  <si>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94 </t>
    </r>
    <r>
      <rPr>
        <vertAlign val="superscript"/>
        <sz val="10"/>
        <rFont val="Verdana"/>
        <family val="2"/>
      </rPr>
      <t>P</t>
    </r>
  </si>
  <si>
    <r>
      <t xml:space="preserve">34 </t>
    </r>
    <r>
      <rPr>
        <vertAlign val="superscript"/>
        <sz val="10"/>
        <rFont val="Verdana"/>
        <family val="2"/>
      </rPr>
      <t>P</t>
    </r>
  </si>
  <si>
    <r>
      <t xml:space="preserve">49 </t>
    </r>
    <r>
      <rPr>
        <vertAlign val="superscript"/>
        <sz val="10"/>
        <rFont val="Verdana"/>
        <family val="2"/>
      </rPr>
      <t>P</t>
    </r>
  </si>
  <si>
    <r>
      <t xml:space="preserve">844 </t>
    </r>
    <r>
      <rPr>
        <vertAlign val="superscript"/>
        <sz val="10"/>
        <rFont val="Verdana"/>
        <family val="2"/>
      </rPr>
      <t>P</t>
    </r>
  </si>
  <si>
    <r>
      <t xml:space="preserve">77 </t>
    </r>
    <r>
      <rPr>
        <vertAlign val="superscript"/>
        <sz val="10"/>
        <rFont val="Verdana"/>
        <family val="2"/>
      </rPr>
      <t>P</t>
    </r>
  </si>
  <si>
    <r>
      <t xml:space="preserve">23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</si>
  <si>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9.8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</si>
  <si>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</si>
  <si>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99 </t>
    </r>
    <r>
      <rPr>
        <vertAlign val="superscript"/>
        <sz val="10"/>
        <rFont val="Verdana"/>
        <family val="2"/>
      </rPr>
      <t>P</t>
    </r>
  </si>
  <si>
    <r>
      <t xml:space="preserve">968 </t>
    </r>
    <r>
      <rPr>
        <vertAlign val="superscript"/>
        <sz val="10"/>
        <rFont val="Verdana"/>
        <family val="2"/>
      </rPr>
      <t>P</t>
    </r>
  </si>
  <si>
    <r>
      <t xml:space="preserve">74 </t>
    </r>
    <r>
      <rPr>
        <vertAlign val="superscript"/>
        <sz val="10"/>
        <rFont val="Verdana"/>
        <family val="2"/>
      </rPr>
      <t>P</t>
    </r>
  </si>
  <si>
    <r>
      <t xml:space="preserve">22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</si>
  <si>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</si>
  <si>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9.3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</si>
  <si>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33 </t>
    </r>
    <r>
      <rPr>
        <vertAlign val="superscript"/>
        <sz val="10"/>
        <rFont val="Verdana"/>
        <family val="2"/>
      </rPr>
      <t>P</t>
    </r>
  </si>
  <si>
    <r>
      <t xml:space="preserve">1,020 </t>
    </r>
    <r>
      <rPr>
        <vertAlign val="superscript"/>
        <sz val="10"/>
        <rFont val="Verdana"/>
        <family val="2"/>
      </rPr>
      <t>P</t>
    </r>
  </si>
  <si>
    <r>
      <t xml:space="preserve">72 </t>
    </r>
    <r>
      <rPr>
        <vertAlign val="superscript"/>
        <sz val="10"/>
        <rFont val="Verdana"/>
        <family val="2"/>
      </rPr>
      <t>P</t>
    </r>
  </si>
  <si>
    <r>
      <t xml:space="preserve">9.9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</si>
  <si>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108 </t>
    </r>
    <r>
      <rPr>
        <vertAlign val="superscript"/>
        <sz val="10"/>
        <rFont val="Verdana"/>
        <family val="2"/>
      </rPr>
      <t>P</t>
    </r>
  </si>
  <si>
    <r>
      <t xml:space="preserve">781 </t>
    </r>
    <r>
      <rPr>
        <vertAlign val="superscript"/>
        <sz val="10"/>
        <rFont val="Verdana"/>
        <family val="2"/>
      </rPr>
      <t>P</t>
    </r>
  </si>
  <si>
    <r>
      <t xml:space="preserve">68 </t>
    </r>
    <r>
      <rPr>
        <vertAlign val="superscript"/>
        <sz val="10"/>
        <rFont val="Verdana"/>
        <family val="2"/>
      </rPr>
      <t>P</t>
    </r>
  </si>
  <si>
    <r>
      <t xml:space="preserve">9.7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</si>
  <si>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105 </t>
    </r>
    <r>
      <rPr>
        <vertAlign val="superscript"/>
        <sz val="10"/>
        <rFont val="Verdana"/>
        <family val="2"/>
      </rPr>
      <t>P</t>
    </r>
  </si>
  <si>
    <r>
      <t xml:space="preserve">618 </t>
    </r>
    <r>
      <rPr>
        <vertAlign val="superscript"/>
        <sz val="10"/>
        <rFont val="Verdana"/>
        <family val="2"/>
      </rPr>
      <t>P</t>
    </r>
  </si>
  <si>
    <r>
      <t xml:space="preserve">13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</si>
  <si>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8.0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</si>
  <si>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76 </t>
    </r>
    <r>
      <rPr>
        <vertAlign val="superscript"/>
        <sz val="10"/>
        <rFont val="Verdana"/>
        <family val="2"/>
      </rPr>
      <t>P</t>
    </r>
  </si>
  <si>
    <r>
      <t xml:space="preserve">506 </t>
    </r>
    <r>
      <rPr>
        <vertAlign val="superscript"/>
        <sz val="10"/>
        <rFont val="Verdana"/>
        <family val="2"/>
      </rPr>
      <t>P</t>
    </r>
  </si>
  <si>
    <r>
      <t xml:space="preserve">7.3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</si>
  <si>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70 </t>
    </r>
    <r>
      <rPr>
        <vertAlign val="superscript"/>
        <sz val="10"/>
        <rFont val="Verdana"/>
        <family val="2"/>
      </rPr>
      <t>P</t>
    </r>
  </si>
  <si>
    <r>
      <t xml:space="preserve">438 </t>
    </r>
    <r>
      <rPr>
        <vertAlign val="superscript"/>
        <sz val="10"/>
        <rFont val="Verdana"/>
        <family val="2"/>
      </rPr>
      <t>P</t>
    </r>
  </si>
  <si>
    <r>
      <t xml:space="preserve">7.0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</si>
  <si>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61 </t>
    </r>
    <r>
      <rPr>
        <vertAlign val="superscript"/>
        <sz val="10"/>
        <rFont val="Verdana"/>
        <family val="2"/>
      </rPr>
      <t>P</t>
    </r>
  </si>
  <si>
    <r>
      <t xml:space="preserve">385 </t>
    </r>
    <r>
      <rPr>
        <vertAlign val="superscript"/>
        <sz val="10"/>
        <rFont val="Verdana"/>
        <family val="2"/>
      </rPr>
      <t>P</t>
    </r>
  </si>
  <si>
    <r>
      <t xml:space="preserve">62 </t>
    </r>
    <r>
      <rPr>
        <vertAlign val="superscript"/>
        <sz val="10"/>
        <rFont val="Verdana"/>
        <family val="2"/>
      </rPr>
      <t>P</t>
    </r>
  </si>
  <si>
    <r>
      <t xml:space="preserve">5.3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</si>
  <si>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5.6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</si>
  <si>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15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</si>
  <si>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63 </t>
    </r>
    <r>
      <rPr>
        <vertAlign val="superscript"/>
        <sz val="10"/>
        <rFont val="Verdana"/>
        <family val="2"/>
      </rPr>
      <t>P</t>
    </r>
  </si>
  <si>
    <r>
      <t xml:space="preserve">342 </t>
    </r>
    <r>
      <rPr>
        <vertAlign val="superscript"/>
        <sz val="10"/>
        <rFont val="Verdana"/>
        <family val="2"/>
      </rPr>
      <t>P</t>
    </r>
  </si>
  <si>
    <r>
      <t xml:space="preserve">59 </t>
    </r>
    <r>
      <rPr>
        <vertAlign val="superscript"/>
        <sz val="10"/>
        <rFont val="Verdana"/>
        <family val="2"/>
      </rPr>
      <t>P</t>
    </r>
  </si>
  <si>
    <r>
      <t xml:space="preserve">17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</si>
  <si>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5.0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</si>
  <si>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P</t>
    </r>
  </si>
  <si>
    <r>
      <t xml:space="preserve">21 </t>
    </r>
    <r>
      <rPr>
        <vertAlign val="superscript"/>
        <sz val="10"/>
        <rFont val="Verdana"/>
        <family val="2"/>
      </rPr>
      <t>P</t>
    </r>
  </si>
  <si>
    <r>
      <t xml:space="preserve">313 </t>
    </r>
    <r>
      <rPr>
        <vertAlign val="superscript"/>
        <sz val="10"/>
        <rFont val="Verdana"/>
        <family val="2"/>
      </rPr>
      <t>P</t>
    </r>
  </si>
  <si>
    <r>
      <t xml:space="preserve">17 </t>
    </r>
    <r>
      <rPr>
        <vertAlign val="superscript"/>
        <sz val="10"/>
        <rFont val="Verdana"/>
        <family val="2"/>
      </rPr>
      <t>P</t>
    </r>
  </si>
  <si>
    <r>
      <t xml:space="preserve">79 </t>
    </r>
    <r>
      <rPr>
        <vertAlign val="superscript"/>
        <sz val="10"/>
        <rFont val="Verdana"/>
        <family val="2"/>
      </rPr>
      <t>P</t>
    </r>
  </si>
  <si>
    <r>
      <t xml:space="preserve">264 </t>
    </r>
    <r>
      <rPr>
        <vertAlign val="superscript"/>
        <sz val="10"/>
        <rFont val="Verdana"/>
        <family val="2"/>
      </rPr>
      <t>P</t>
    </r>
  </si>
  <si>
    <r>
      <t xml:space="preserve">5.4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</si>
  <si>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238 </t>
    </r>
    <r>
      <rPr>
        <vertAlign val="superscript"/>
        <sz val="10"/>
        <rFont val="Verdana"/>
        <family val="2"/>
      </rPr>
      <t>P</t>
    </r>
  </si>
  <si>
    <r>
      <t xml:space="preserve">16 </t>
    </r>
    <r>
      <rPr>
        <vertAlign val="superscript"/>
        <sz val="10"/>
        <rFont val="Verdana"/>
        <family val="2"/>
      </rPr>
      <t>P</t>
    </r>
  </si>
  <si>
    <r>
      <t xml:space="preserve">214 </t>
    </r>
    <r>
      <rPr>
        <vertAlign val="superscript"/>
        <sz val="10"/>
        <rFont val="Verdana"/>
        <family val="2"/>
      </rPr>
      <t>P</t>
    </r>
  </si>
  <si>
    <r>
      <t xml:space="preserve">19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</si>
  <si>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69 </t>
    </r>
    <r>
      <rPr>
        <vertAlign val="superscript"/>
        <sz val="10"/>
        <rFont val="Verdana"/>
        <family val="2"/>
      </rPr>
      <t>P</t>
    </r>
  </si>
  <si>
    <r>
      <t xml:space="preserve">51 </t>
    </r>
    <r>
      <rPr>
        <vertAlign val="superscript"/>
        <sz val="10"/>
        <rFont val="Verdana"/>
        <family val="2"/>
      </rPr>
      <t>P</t>
    </r>
  </si>
  <si>
    <r>
      <t xml:space="preserve">203 </t>
    </r>
    <r>
      <rPr>
        <vertAlign val="superscript"/>
        <sz val="10"/>
        <rFont val="Verdana"/>
        <family val="2"/>
      </rPr>
      <t>P</t>
    </r>
  </si>
  <si>
    <r>
      <t xml:space="preserve">6.3 </t>
    </r>
    <r>
      <rPr>
        <vertAlign val="superscript"/>
        <sz val="10"/>
        <rFont val="Verdana"/>
        <family val="2"/>
      </rPr>
      <t>e</t>
    </r>
    <r>
      <rPr>
        <sz val="10"/>
        <rFont val="Verdana"/>
        <family val="2"/>
      </rPr>
      <t xml:space="preserve"> </t>
    </r>
    <r>
      <rPr>
        <vertAlign val="superscript"/>
        <sz val="10"/>
        <rFont val="Verdana"/>
        <family val="2"/>
      </rPr>
      <t>A</t>
    </r>
  </si>
  <si>
    <r>
      <t xml:space="preserve">186 </t>
    </r>
    <r>
      <rPr>
        <vertAlign val="superscript"/>
        <sz val="10"/>
        <rFont val="Verdana"/>
        <family val="2"/>
      </rPr>
      <t>P</t>
    </r>
  </si>
  <si>
    <r>
      <t xml:space="preserve">50 </t>
    </r>
    <r>
      <rPr>
        <vertAlign val="superscript"/>
        <sz val="10"/>
        <rFont val="Verdana"/>
        <family val="2"/>
      </rPr>
      <t>P</t>
    </r>
  </si>
  <si>
    <r>
      <t xml:space="preserve">169 </t>
    </r>
    <r>
      <rPr>
        <vertAlign val="superscript"/>
        <sz val="10"/>
        <rFont val="Verdana"/>
        <family val="2"/>
      </rPr>
      <t>P</t>
    </r>
  </si>
  <si>
    <r>
      <t xml:space="preserve">47 </t>
    </r>
    <r>
      <rPr>
        <vertAlign val="superscript"/>
        <sz val="10"/>
        <rFont val="Verdana"/>
        <family val="2"/>
      </rPr>
      <t>P</t>
    </r>
  </si>
  <si>
    <t>Ice</t>
  </si>
  <si>
    <t>BCR Ac-Ft</t>
  </si>
  <si>
    <t>None</t>
  </si>
  <si>
    <t>Site 32</t>
  </si>
  <si>
    <r>
      <t>Segment 1b</t>
    </r>
    <r>
      <rPr>
        <sz val="12"/>
        <rFont val="Times New Roman"/>
        <family val="1"/>
      </rPr>
      <t> </t>
    </r>
  </si>
  <si>
    <r>
      <t>Segment 1d</t>
    </r>
    <r>
      <rPr>
        <sz val="12"/>
        <rFont val="Times New Roman"/>
        <family val="1"/>
      </rPr>
      <t> </t>
    </r>
  </si>
  <si>
    <r>
      <t>Segment 2</t>
    </r>
    <r>
      <rPr>
        <sz val="12"/>
        <rFont val="Times New Roman"/>
        <family val="1"/>
      </rPr>
      <t> </t>
    </r>
  </si>
  <si>
    <r>
      <t>Segment 4a</t>
    </r>
    <r>
      <rPr>
        <sz val="12"/>
        <rFont val="Times New Roman"/>
        <family val="1"/>
      </rPr>
      <t> </t>
    </r>
  </si>
  <si>
    <r>
      <t>Segment 5</t>
    </r>
    <r>
      <rPr>
        <sz val="12"/>
        <rFont val="Times New Roman"/>
        <family val="1"/>
      </rPr>
      <t> </t>
    </r>
  </si>
  <si>
    <t>WWTF Site 24</t>
  </si>
  <si>
    <t>DNR</t>
  </si>
  <si>
    <t>WWTF Site 66</t>
  </si>
  <si>
    <t>WWTF Site 67</t>
  </si>
  <si>
    <t>WWTF Site 69</t>
  </si>
  <si>
    <t>WWTF Site 70</t>
  </si>
  <si>
    <t>WWTF Site 71</t>
  </si>
  <si>
    <t>WWTF Site 72</t>
  </si>
  <si>
    <t>WWTF Site 57</t>
  </si>
  <si>
    <t>Evergreen Metro Distict</t>
  </si>
  <si>
    <t>WWTF Site 21</t>
  </si>
  <si>
    <t>Conifer Sanitation District</t>
  </si>
  <si>
    <t>WWTF Site 59</t>
  </si>
  <si>
    <t xml:space="preserve">West Jefferson County Metro District </t>
  </si>
  <si>
    <t>WWTF Site 73</t>
  </si>
  <si>
    <t>Summit Lake Lower Plume, discharge UBC</t>
  </si>
  <si>
    <t>Bear Creek Inchannel Ponds</t>
  </si>
  <si>
    <t>Kerr/ Swede Special Study</t>
  </si>
  <si>
    <t>Upper Watershed @ Mt. Evans/ Summit Lake</t>
  </si>
  <si>
    <t>Coyote Gulch in Bear Creek Park</t>
  </si>
  <si>
    <t>Bear Creek Reservoir, Sites 15a, 16a, and 45</t>
  </si>
  <si>
    <t xml:space="preserve">Lower Bear Creek, below reservoir </t>
  </si>
  <si>
    <t>7/21</t>
  </si>
  <si>
    <t>4/18</t>
  </si>
  <si>
    <t>8/22</t>
  </si>
  <si>
    <t>WWTF Under regulation 85</t>
  </si>
  <si>
    <t>WWTFs</t>
  </si>
  <si>
    <t>Site 5a</t>
  </si>
  <si>
    <t>CDOW downtown Little Bear site (upstream 1,000 ft)</t>
  </si>
  <si>
    <t>Site 14</t>
  </si>
  <si>
    <t>Morrison Park east end  at gaging station</t>
  </si>
  <si>
    <t>WWTF Site 56</t>
  </si>
  <si>
    <t>BCR Top, Site 40a</t>
  </si>
  <si>
    <t>BCR  -10m, Site 40c</t>
  </si>
  <si>
    <t>91-13 Mean</t>
  </si>
  <si>
    <t>91-13 Median</t>
  </si>
  <si>
    <t>GEO Mean</t>
  </si>
  <si>
    <t>EGL 4a</t>
  </si>
  <si>
    <t>EGL 4e</t>
  </si>
  <si>
    <t>Evergreen Lake, Segment 1d</t>
  </si>
  <si>
    <t>Little Bear Evergreen</t>
  </si>
  <si>
    <t xml:space="preserve"> Keys-on-the-Green</t>
  </si>
  <si>
    <t>Upper Bear Creek - Mt. Evans Wilderness</t>
  </si>
  <si>
    <t>O'Fallon Park</t>
  </si>
  <si>
    <t xml:space="preserve">Lair o' the Bear </t>
  </si>
  <si>
    <t xml:space="preserve"> Idledale, Shady Lane</t>
  </si>
  <si>
    <t>Morrison Park west</t>
  </si>
  <si>
    <t xml:space="preserve">Vance Creek </t>
  </si>
  <si>
    <t>Mt Vernon, Morrison</t>
  </si>
  <si>
    <t>Cub Creek, Brookforest Inn</t>
  </si>
  <si>
    <t>Cub Creek Park</t>
  </si>
  <si>
    <t xml:space="preserve">South Turkey Creek </t>
  </si>
  <si>
    <t xml:space="preserve">North Turkey Creek </t>
  </si>
  <si>
    <t xml:space="preserve">Upper Coyote </t>
  </si>
  <si>
    <t xml:space="preserve">Lower Coyote </t>
  </si>
  <si>
    <t>Mar-Apr</t>
  </si>
  <si>
    <t>May-Jun</t>
  </si>
  <si>
    <t>Jul-Aug</t>
  </si>
  <si>
    <t>Sep-Oct</t>
  </si>
  <si>
    <t>Nov-Dec</t>
  </si>
  <si>
    <t>Jan-Feb</t>
  </si>
  <si>
    <t>Upper Coyote</t>
  </si>
  <si>
    <t>Lower Coyote</t>
  </si>
  <si>
    <t>Ac-Ft/day</t>
  </si>
  <si>
    <t>Ac-ft/month</t>
  </si>
  <si>
    <t>Nitrate/Nitrite</t>
  </si>
  <si>
    <t>Loading Pounds/Period</t>
  </si>
  <si>
    <t>Flow Estimate</t>
  </si>
  <si>
    <t>Annual Pounds</t>
  </si>
  <si>
    <t>Flow Estimate ac-yr</t>
  </si>
  <si>
    <t>Average Loading</t>
  </si>
  <si>
    <t>Annual Maximum at -1/2m - 2m [mg/l]</t>
  </si>
  <si>
    <t>Seasonal Maximum at -1/2 - 2m [mg/l]</t>
  </si>
  <si>
    <t>(x)</t>
  </si>
  <si>
    <t>Wastewater Treatment Works</t>
  </si>
  <si>
    <t>(Site 40; top, lower, laboratory)</t>
  </si>
  <si>
    <t>Dissolved Oxygen (field probe, 1/2-m intervals in central pool thru 4m, then 1m interval)</t>
  </si>
  <si>
    <t>Specific Conductivity (field probe, 1/2-m intervals in central pool thru 4m, then 1m interval)</t>
  </si>
  <si>
    <t>pH (field probe, 1/2-m intervals in central pool thru 4m, then 1m interval)</t>
  </si>
  <si>
    <t>Water Clarity - Staining (Qualitative)</t>
  </si>
  <si>
    <t>Pebble Counts</t>
  </si>
  <si>
    <t>Total Dissolved Phosphorus (Selected Sites)</t>
  </si>
  <si>
    <t>Conifer Wastewater Association</t>
  </si>
  <si>
    <t>Table 1:     FIA Chemistry Method Summary</t>
  </si>
  <si>
    <t>Date
Completed</t>
  </si>
  <si>
    <t>Allowable Hold Time*</t>
  </si>
  <si>
    <t>Total
Phosphorus</t>
  </si>
  <si>
    <t>QuickChem
10-115-01-4-B,
with manual digestion</t>
  </si>
  <si>
    <t>Preserve upon receipt</t>
  </si>
  <si>
    <t>24 hours prior to filtration; Preserve immediately after filtration</t>
  </si>
  <si>
    <t>QuickChem
10-107-04-4-B,
with manual digestion</t>
  </si>
  <si>
    <t>QuickChem
10-107-04-1-C</t>
  </si>
  <si>
    <t>Analyze within 48 hours; Preserve</t>
  </si>
  <si>
    <t>QuickChem
10-107-06-2-A</t>
  </si>
  <si>
    <t>*all preserved samples have an allowable hold time of 28 days</t>
  </si>
  <si>
    <t>QuickChem 10-115-01-4-B, with manual digestion</t>
  </si>
  <si>
    <t>QuickChem 10-107-04-4-B, with manual digestion</t>
  </si>
  <si>
    <t>QuickChem 10-107-04-1-C</t>
  </si>
  <si>
    <t>QuickChem 10-107-06-3-A</t>
  </si>
  <si>
    <t>6 ug/l</t>
  </si>
  <si>
    <t>MDL (ug/l)</t>
  </si>
  <si>
    <t xml:space="preserve">5 ug/l </t>
  </si>
  <si>
    <t>Total Inorganic Nitrogen</t>
  </si>
  <si>
    <t>Fish</t>
  </si>
  <si>
    <t>Tony L &amp; RNC</t>
  </si>
  <si>
    <t>BCL Park</t>
  </si>
  <si>
    <t>Res</t>
  </si>
  <si>
    <t>LBC Out</t>
  </si>
  <si>
    <t xml:space="preserve">TN, NO3, NH3, </t>
  </si>
  <si>
    <t>TP, TDP</t>
  </si>
  <si>
    <t>TSS, Chl</t>
  </si>
  <si>
    <t>Notes:</t>
  </si>
  <si>
    <t xml:space="preserve">RNC Consulting; Tony Langoski; </t>
  </si>
  <si>
    <t>_________________________________________________________________</t>
  </si>
  <si>
    <t xml:space="preserve">Site 36 </t>
  </si>
  <si>
    <t>Summit Lake</t>
  </si>
  <si>
    <t>Pipe#1</t>
  </si>
  <si>
    <t>Pipe#2</t>
  </si>
  <si>
    <t>Site 37 (Mt Evans, BC)</t>
  </si>
  <si>
    <t>Site 65 BC Ponds</t>
  </si>
  <si>
    <t>Width (in)</t>
  </si>
  <si>
    <t>Width/Depth</t>
  </si>
  <si>
    <t>Algal Coverage</t>
  </si>
  <si>
    <t>Site 74 Fen Pond #1</t>
  </si>
  <si>
    <t>Site 75 Fen Pond #2</t>
  </si>
  <si>
    <t>63 Bottom Plume</t>
  </si>
  <si>
    <t>65 BC Ponds</t>
  </si>
  <si>
    <t>74 Fen #1</t>
  </si>
  <si>
    <t>75 Fen #2</t>
  </si>
  <si>
    <t>37 Bear Creek</t>
  </si>
  <si>
    <t>76 Fen #3</t>
  </si>
  <si>
    <t>36 Summit Lake</t>
  </si>
  <si>
    <t>ANALYZEDATE</t>
  </si>
  <si>
    <t>PQL (ug/l)</t>
  </si>
  <si>
    <t>GEI Laboratory</t>
  </si>
  <si>
    <t>Colorado Analytical</t>
  </si>
  <si>
    <t>EPA365.1</t>
  </si>
  <si>
    <t>Calculation</t>
  </si>
  <si>
    <t>LQL mg/l</t>
  </si>
  <si>
    <t>SM 4500-NH3-G</t>
  </si>
  <si>
    <t>SM2540-D</t>
  </si>
  <si>
    <t>using TKN + NO3</t>
  </si>
  <si>
    <t>NO3 + NO2</t>
  </si>
  <si>
    <t>NO3/NO2</t>
  </si>
  <si>
    <t>TIN</t>
  </si>
  <si>
    <t>effluent flow</t>
  </si>
  <si>
    <t>Reg 85 Reporting</t>
  </si>
  <si>
    <t>Effluent Monitoring</t>
  </si>
  <si>
    <t>flow meter</t>
  </si>
  <si>
    <t>1 mg/l</t>
  </si>
  <si>
    <t>N-Ammonia</t>
  </si>
  <si>
    <t>50 μg/l</t>
  </si>
  <si>
    <t>N Nitrate/Nitrite</t>
  </si>
  <si>
    <t>0.5 mg/l</t>
  </si>
  <si>
    <t>N-Nitrate</t>
  </si>
  <si>
    <t>N-Nitrite</t>
  </si>
  <si>
    <t>10 μg/l</t>
  </si>
  <si>
    <t>Total Kjeldahl Nitrogen</t>
  </si>
  <si>
    <t>BC03</t>
  </si>
  <si>
    <t>BC05</t>
  </si>
  <si>
    <t>PEL08</t>
  </si>
  <si>
    <t>PEL10</t>
  </si>
  <si>
    <t>TC14</t>
  </si>
  <si>
    <t>TC16</t>
  </si>
  <si>
    <t>Site BC05</t>
  </si>
  <si>
    <t>Site BC03</t>
  </si>
  <si>
    <t>Site Pel08</t>
  </si>
  <si>
    <t>Site Pel10</t>
  </si>
  <si>
    <t>Site TC14</t>
  </si>
  <si>
    <t>Site TC16</t>
  </si>
  <si>
    <t>Sediment</t>
  </si>
  <si>
    <t>Profile</t>
  </si>
  <si>
    <t>&lt;200</t>
  </si>
  <si>
    <t>Total Volume</t>
  </si>
  <si>
    <t>Mesh Size/ volume retained</t>
  </si>
  <si>
    <t>Lat</t>
  </si>
  <si>
    <t>Long</t>
  </si>
  <si>
    <t>PEL10a</t>
  </si>
  <si>
    <t>TC14a</t>
  </si>
  <si>
    <t>PEL08a</t>
  </si>
  <si>
    <t>TC16a</t>
  </si>
  <si>
    <t>BC05a</t>
  </si>
  <si>
    <t>Blank</t>
  </si>
  <si>
    <t>volume = 20ml</t>
  </si>
  <si>
    <t>Transect</t>
  </si>
  <si>
    <t>tared</t>
  </si>
  <si>
    <t>mgP/kg Mud</t>
  </si>
  <si>
    <t>grams</t>
  </si>
  <si>
    <t>kg</t>
  </si>
  <si>
    <t>TP mg/l</t>
  </si>
  <si>
    <t>Filter</t>
  </si>
  <si>
    <t>Bear Creek Transect</t>
  </si>
  <si>
    <t>SedBC03</t>
  </si>
  <si>
    <t>SedBC05</t>
  </si>
  <si>
    <t>Pelican Point Transect</t>
  </si>
  <si>
    <t>SedPel08</t>
  </si>
  <si>
    <t>SedPel10</t>
  </si>
  <si>
    <t>Turkey Creek Transect</t>
  </si>
  <si>
    <t>SedTC14</t>
  </si>
  <si>
    <t>SedTC16</t>
  </si>
  <si>
    <t>Grams wet mud</t>
  </si>
  <si>
    <t>Grams Dry Mud</t>
  </si>
  <si>
    <t>TOC</t>
  </si>
  <si>
    <t>Tare</t>
  </si>
  <si>
    <t>Mud</t>
  </si>
  <si>
    <t>Wet Mud</t>
  </si>
  <si>
    <t>105 dried Mud</t>
  </si>
  <si>
    <t>dry Mud</t>
  </si>
  <si>
    <t>Ashed Mud</t>
  </si>
  <si>
    <t>% Solids</t>
  </si>
  <si>
    <t>TVS</t>
  </si>
  <si>
    <t>2012 SePRO</t>
  </si>
  <si>
    <t>TP Sed, Mg/kg</t>
  </si>
  <si>
    <t>EPA 365.3, Modified</t>
  </si>
  <si>
    <t>SedBC01</t>
  </si>
  <si>
    <t>SedBC02</t>
  </si>
  <si>
    <t>SedBC04</t>
  </si>
  <si>
    <t>SedBC06</t>
  </si>
  <si>
    <t>SedPel07</t>
  </si>
  <si>
    <t>SedPel09</t>
  </si>
  <si>
    <t>SedPel11</t>
  </si>
  <si>
    <t>SedTC12</t>
  </si>
  <si>
    <t>SedTC13</t>
  </si>
  <si>
    <t>SedTC15</t>
  </si>
  <si>
    <t>SedTC17</t>
  </si>
  <si>
    <t>% TOC</t>
  </si>
  <si>
    <t>TS%</t>
  </si>
  <si>
    <t>91-2014 Mean</t>
  </si>
  <si>
    <t>91-2014 Median</t>
  </si>
  <si>
    <t>Chlorophyll a average</t>
  </si>
  <si>
    <t xml:space="preserve">Nitrate Nitrite </t>
  </si>
  <si>
    <t>Chlorophyll a Average</t>
  </si>
  <si>
    <t>Preservation
(H2SO4 to pH
&lt;2.0)</t>
  </si>
  <si>
    <t>NOx</t>
  </si>
  <si>
    <r>
      <t xml:space="preserve">Chlorophyll </t>
    </r>
    <r>
      <rPr>
        <i/>
        <sz val="10"/>
        <color indexed="8"/>
        <rFont val="Calibri"/>
        <family val="2"/>
        <scheme val="minor"/>
      </rPr>
      <t>a</t>
    </r>
  </si>
  <si>
    <t xml:space="preserve">South Turkey Creek Aspen Park </t>
  </si>
  <si>
    <t>clarity</t>
  </si>
  <si>
    <t>91-2015 Mean</t>
  </si>
  <si>
    <t>91-2015 Median</t>
  </si>
  <si>
    <t>Periphyton Growth Thickness Estimate</t>
  </si>
  <si>
    <t>substrate rough with no visual evidence of microalgae</t>
  </si>
  <si>
    <t>substrate slimy, but no visual accumulation of microalgae is evident</t>
  </si>
  <si>
    <t>thin layer of periphyton is visually evident</t>
  </si>
  <si>
    <t>accumulation of periphyton layer from 0.5-1 mm thick is evident</t>
  </si>
  <si>
    <t>accumulation of periphyton layer from 1 mm to 5 mm thick is evident</t>
  </si>
  <si>
    <t>accumulation of periphyton layer from 5 mm to 2 cm thick is evident</t>
  </si>
  <si>
    <t>accumulation of periphyton layer greater than 2 cm thick is evident</t>
  </si>
  <si>
    <t>Site:</t>
  </si>
  <si>
    <t>Date:</t>
  </si>
  <si>
    <t>Periphyton Estimation</t>
  </si>
  <si>
    <t>Clarity</t>
  </si>
  <si>
    <t>Periphyton</t>
  </si>
  <si>
    <t>gage Flow</t>
  </si>
  <si>
    <t>Depth/Velocity</t>
  </si>
  <si>
    <t>LABID</t>
  </si>
  <si>
    <t>CLIENTID</t>
  </si>
  <si>
    <t>COLLECTDATE</t>
  </si>
  <si>
    <t>RECEIVEDATE</t>
  </si>
  <si>
    <t>ANALYTE</t>
  </si>
  <si>
    <t>MATRIX</t>
  </si>
  <si>
    <t>METHOD</t>
  </si>
  <si>
    <t>RESULT</t>
  </si>
  <si>
    <t>QUAL</t>
  </si>
  <si>
    <t>UNITS</t>
  </si>
  <si>
    <t>MDL</t>
  </si>
  <si>
    <t>BC115-1</t>
  </si>
  <si>
    <t>16a</t>
  </si>
  <si>
    <t>SW</t>
  </si>
  <si>
    <t>QC 10-107-04-4-B</t>
  </si>
  <si>
    <t>µg/L</t>
  </si>
  <si>
    <t>QC 10-107-04-1-C</t>
  </si>
  <si>
    <t>QC 10-107-06-2-A</t>
  </si>
  <si>
    <t>J</t>
  </si>
  <si>
    <t>QC 10-115-01-4-B</t>
  </si>
  <si>
    <t>SM 2540 D</t>
  </si>
  <si>
    <t>mg/L</t>
  </si>
  <si>
    <t>BC115-2</t>
  </si>
  <si>
    <t>15a</t>
  </si>
  <si>
    <t>U</t>
  </si>
  <si>
    <t>BC115-3</t>
  </si>
  <si>
    <t>BC115-4</t>
  </si>
  <si>
    <t>40a</t>
  </si>
  <si>
    <t>SM 10200 H (mod)</t>
  </si>
  <si>
    <t>BC115-5</t>
  </si>
  <si>
    <t>40c</t>
  </si>
  <si>
    <t>BCRABCCO (DISCHRG)</t>
  </si>
  <si>
    <t>BCREVRCO (DISCHRG)</t>
  </si>
  <si>
    <t>BCRMORCO (DISCHRG)</t>
  </si>
  <si>
    <t>BCROUTCO (DISCHRG)</t>
  </si>
  <si>
    <t>BCRRESCO (ELEV)</t>
  </si>
  <si>
    <t>BCRRESCO (STORAGE)</t>
  </si>
  <si>
    <t>BCRSHECO (DISCHRG)</t>
  </si>
  <si>
    <t>CFS</t>
  </si>
  <si>
    <t>FT</t>
  </si>
  <si>
    <t>AF</t>
  </si>
  <si>
    <t>N/A</t>
  </si>
  <si>
    <t>2015 Temperature C WAT (1/2-2m)</t>
  </si>
  <si>
    <t>2015 DO Compliance Bear Creek Reservoir</t>
  </si>
  <si>
    <t>Gate 400cfs</t>
  </si>
  <si>
    <t>gate 200cfs</t>
  </si>
  <si>
    <t>Gate 500cfs</t>
  </si>
  <si>
    <t>12m</t>
  </si>
  <si>
    <t>13m</t>
  </si>
  <si>
    <t>14m</t>
  </si>
  <si>
    <t>15m</t>
  </si>
  <si>
    <t>Cub</t>
  </si>
  <si>
    <t>at Lowell</t>
  </si>
  <si>
    <t>EGL</t>
  </si>
  <si>
    <t>Mt Veron</t>
  </si>
  <si>
    <t>at mouth</t>
  </si>
  <si>
    <t>at dam</t>
  </si>
  <si>
    <t>BC below Cub</t>
  </si>
  <si>
    <t>EGL out</t>
  </si>
  <si>
    <t>BC at Cub</t>
  </si>
  <si>
    <t>BC @ Cub</t>
  </si>
  <si>
    <t>BC Lowel</t>
  </si>
  <si>
    <t>Site 77</t>
  </si>
  <si>
    <t>Witter Gulch</t>
  </si>
  <si>
    <t>Site 78</t>
  </si>
  <si>
    <t>Buffalo Creek</t>
  </si>
  <si>
    <t>Site 79</t>
  </si>
  <si>
    <t>Upper West Troublsome Below West Jeff</t>
  </si>
  <si>
    <t>Site 80</t>
  </si>
  <si>
    <t>Troublesome below confluence</t>
  </si>
  <si>
    <t>conc</t>
  </si>
  <si>
    <t>Load Pounds/Mo</t>
  </si>
  <si>
    <t>Flow cfs</t>
  </si>
  <si>
    <t>ac-ft/ mo</t>
  </si>
  <si>
    <t>Upstream West Jeff</t>
  </si>
  <si>
    <t>conc ug/l</t>
  </si>
  <si>
    <t>Site 77 Witter Gulch</t>
  </si>
  <si>
    <t>Site 78 Buffalo Creek</t>
  </si>
  <si>
    <t>Site 58 Upper Bear</t>
  </si>
  <si>
    <t>Site 2A Goldenwillow</t>
  </si>
  <si>
    <t>Site 3A Keys Green</t>
  </si>
  <si>
    <t>Bear Creek + Witter</t>
  </si>
  <si>
    <t>Bear Creek + Buffalo</t>
  </si>
  <si>
    <t>Site 25 Vance</t>
  </si>
  <si>
    <t>Bear Creek + Vance</t>
  </si>
  <si>
    <t>Cub Crk</t>
  </si>
  <si>
    <t>Site 76 Fen @Site 37</t>
  </si>
  <si>
    <t>Site 61 Across vaults</t>
  </si>
  <si>
    <t>Site 81 Fen @S Parking</t>
  </si>
  <si>
    <t>Month</t>
  </si>
  <si>
    <t>Evergreen (DISCHRG)</t>
  </si>
  <si>
    <t>BCLP (DISCHRG)</t>
  </si>
  <si>
    <t>Morrison (DISCHRG)</t>
  </si>
  <si>
    <t>Outflow (DISCHRG)</t>
  </si>
  <si>
    <t>Reservoir (ELEV)</t>
  </si>
  <si>
    <t>Reservoir (STORAGE)</t>
  </si>
  <si>
    <t>Sheridan (DISCHRG)</t>
  </si>
  <si>
    <t>Site 64 Upper Hiwan</t>
  </si>
  <si>
    <t>Site 79 Lewis Road Drainage</t>
  </si>
  <si>
    <t>Site 21 West Jeff County MD</t>
  </si>
  <si>
    <t>North Troublesome System</t>
  </si>
  <si>
    <t>Stagecoach Road Drainage</t>
  </si>
  <si>
    <t>Site 80 Below Confluence</t>
  </si>
  <si>
    <t>Site 32 Confluence Bear Creek</t>
  </si>
  <si>
    <t>Sp Conduc us/m</t>
  </si>
  <si>
    <t>Concentration ug/l</t>
  </si>
  <si>
    <t>Tony Langoski, RNC</t>
  </si>
  <si>
    <t>Site 82 (DEH 10)</t>
  </si>
  <si>
    <t>Algal</t>
  </si>
  <si>
    <t xml:space="preserve">0 1 2 3 4 5 </t>
  </si>
  <si>
    <t>12 Lair O'Bear</t>
  </si>
  <si>
    <t>9 O'Fallon</t>
  </si>
  <si>
    <t>8B BCC</t>
  </si>
  <si>
    <t>5 Little Bear</t>
  </si>
  <si>
    <t>3A Keys</t>
  </si>
  <si>
    <t>15A BCP</t>
  </si>
  <si>
    <t>14A Morrison</t>
  </si>
  <si>
    <t>13A Idledale</t>
  </si>
  <si>
    <t>2A Golden Willow</t>
  </si>
  <si>
    <t>58 Above SRR</t>
  </si>
  <si>
    <t>Macroinvertebrate Samples</t>
  </si>
  <si>
    <t>8b</t>
  </si>
  <si>
    <t>1987-2012</t>
  </si>
  <si>
    <t>2013-2015</t>
  </si>
  <si>
    <t>BCWA Dredge Sample Program 10/5/2015</t>
  </si>
  <si>
    <t>Evergreen Lake @dam</t>
  </si>
  <si>
    <t>EGL dup</t>
  </si>
  <si>
    <t>Evergreen Lake @ Dam</t>
  </si>
  <si>
    <t>3,100 rpms</t>
  </si>
  <si>
    <t>2:3 DIL</t>
  </si>
  <si>
    <t>5ml</t>
  </si>
  <si>
    <t>sediments taken with Petite Ponar dredge, top 5-10 cm mud</t>
  </si>
  <si>
    <t>% Total Organic Carbon</t>
  </si>
  <si>
    <t>Sediment Phosphorus (mgP/kg Wet Mud)</t>
  </si>
  <si>
    <t>100ml</t>
  </si>
  <si>
    <t>Coarse Sand</t>
  </si>
  <si>
    <t>M Sand</t>
  </si>
  <si>
    <t>F Sand</t>
  </si>
  <si>
    <t>VF Sand</t>
  </si>
  <si>
    <t>Silt &amp; Clay</t>
  </si>
  <si>
    <t>Grain Size % retained</t>
  </si>
  <si>
    <t>TOC %</t>
  </si>
  <si>
    <t xml:space="preserve">Cloudy,  50's,  </t>
  </si>
  <si>
    <t>Site 77 Witter</t>
  </si>
  <si>
    <t>Site 78 Buffalo Creek Mouth</t>
  </si>
  <si>
    <t>Site 79 Troublesome Lewis Rd</t>
  </si>
  <si>
    <t>Site 80 Troublesome Confluence</t>
  </si>
  <si>
    <t>Site 79 Troublesome Lewis</t>
  </si>
  <si>
    <t>Site 80 Troueblsome conf</t>
  </si>
  <si>
    <t>cloudy,  50's,</t>
  </si>
  <si>
    <t>Res  Out</t>
  </si>
  <si>
    <t>BC815D-10</t>
  </si>
  <si>
    <t>SC1</t>
  </si>
  <si>
    <t>BC815D-11</t>
  </si>
  <si>
    <t>MV1</t>
  </si>
  <si>
    <t>BC815D-12</t>
  </si>
  <si>
    <t>MV3</t>
  </si>
  <si>
    <t>BC815D-13</t>
  </si>
  <si>
    <t>MV4</t>
  </si>
  <si>
    <t>BC815D-14</t>
  </si>
  <si>
    <t>MV5</t>
  </si>
  <si>
    <t>BC815D-15</t>
  </si>
  <si>
    <t>MV6</t>
  </si>
  <si>
    <t>Shingle Creek</t>
  </si>
  <si>
    <t>Mount Vernon</t>
  </si>
  <si>
    <t>Mount Vernon Mathew Park</t>
  </si>
  <si>
    <t>Mount Vernon RR#1</t>
  </si>
  <si>
    <t>Mount Vernon RR#2</t>
  </si>
  <si>
    <t>FHMD</t>
  </si>
  <si>
    <t>34a</t>
  </si>
  <si>
    <t>Mount Vernon above FHMD</t>
  </si>
  <si>
    <t>BC715E-1</t>
  </si>
  <si>
    <t>BC715E-2</t>
  </si>
  <si>
    <t>BC715E-3</t>
  </si>
  <si>
    <t>BC715E-4</t>
  </si>
  <si>
    <t>BC715E-5</t>
  </si>
  <si>
    <t>BC715E-6</t>
  </si>
  <si>
    <t>BC715E-7</t>
  </si>
  <si>
    <t>BC715E-8</t>
  </si>
  <si>
    <t>BC715E-9</t>
  </si>
  <si>
    <t>BC715E-10</t>
  </si>
  <si>
    <t>BC815C-3</t>
  </si>
  <si>
    <t>BC815C-4</t>
  </si>
  <si>
    <t>BC815C-5</t>
  </si>
  <si>
    <t>BC815C-6</t>
  </si>
  <si>
    <t>BC815C-7</t>
  </si>
  <si>
    <t>63B(1)</t>
  </si>
  <si>
    <t>71</t>
  </si>
  <si>
    <t>7</t>
  </si>
  <si>
    <t>BC815C-8</t>
  </si>
  <si>
    <t>63B(3)</t>
  </si>
  <si>
    <t>Orthophosphate as P</t>
  </si>
  <si>
    <t>QC 10-115-01-1-T</t>
  </si>
  <si>
    <t>18</t>
  </si>
  <si>
    <t>BC915D-3</t>
  </si>
  <si>
    <t>BC915D-4</t>
  </si>
  <si>
    <t>BC915D-5</t>
  </si>
  <si>
    <t>BC915D-6</t>
  </si>
  <si>
    <t>490</t>
  </si>
  <si>
    <t>BC615C-3</t>
  </si>
  <si>
    <t>BC615C-4</t>
  </si>
  <si>
    <t>BC615C-5</t>
  </si>
  <si>
    <t>BC615C-6</t>
  </si>
  <si>
    <t>BC615C-7</t>
  </si>
  <si>
    <t>BC615C-8</t>
  </si>
  <si>
    <t>BC615C-9</t>
  </si>
  <si>
    <t>BC615C-10</t>
  </si>
  <si>
    <t>Fen Ponds</t>
  </si>
  <si>
    <t>Site 74 Fen #1</t>
  </si>
  <si>
    <t>Site 75 Fen #2</t>
  </si>
  <si>
    <t>Site 76 Fen #3 @ site 37</t>
  </si>
  <si>
    <t>Site 61 Fen Upper Pond DEH-11</t>
  </si>
  <si>
    <t>Site 81 Fen #4 S. Parking Lot</t>
  </si>
  <si>
    <t>Site 82 Fen #5 DEH-10</t>
  </si>
  <si>
    <t>Site 61 Fen #6 Upper Pond DEH-11</t>
  </si>
  <si>
    <t>Median</t>
  </si>
  <si>
    <t xml:space="preserve">Site </t>
  </si>
  <si>
    <t xml:space="preserve">pH </t>
  </si>
  <si>
    <t xml:space="preserve">Specific Conductance, uS </t>
  </si>
  <si>
    <t xml:space="preserve">Dissolved Oxygen, mg/l </t>
  </si>
  <si>
    <t xml:space="preserve">Total Nitrogen, ug/l </t>
  </si>
  <si>
    <t xml:space="preserve">Total Phosphorus, ug/l </t>
  </si>
  <si>
    <t xml:space="preserve">74 Fen #1, small </t>
  </si>
  <si>
    <t xml:space="preserve">75 Fen #2, medium </t>
  </si>
  <si>
    <t xml:space="preserve">76 Fen #3, larger </t>
  </si>
  <si>
    <t>T Phosphorus</t>
  </si>
  <si>
    <t>Summit Plume Fen</t>
  </si>
  <si>
    <t xml:space="preserve">63 - Bottom Fen </t>
  </si>
  <si>
    <r>
      <t xml:space="preserve">Temperature, </t>
    </r>
    <r>
      <rPr>
        <b/>
        <vertAlign val="superscript"/>
        <sz val="9"/>
        <color rgb="FF000000"/>
        <rFont val="Calibri"/>
        <family val="2"/>
      </rPr>
      <t>0</t>
    </r>
    <r>
      <rPr>
        <b/>
        <sz val="9"/>
        <color rgb="FF000000"/>
        <rFont val="Calibri"/>
        <family val="2"/>
      </rPr>
      <t xml:space="preserve">C </t>
    </r>
  </si>
  <si>
    <t>Mt Vernon Drainage, Morrison BCWA Site 34</t>
  </si>
  <si>
    <t>Site 34, Mount Vernon</t>
  </si>
  <si>
    <t>Season Load</t>
  </si>
  <si>
    <t>Seasonal Load (Pounds)</t>
  </si>
  <si>
    <t>Seasonal Flow</t>
  </si>
  <si>
    <t>ac-ft/ Season</t>
  </si>
  <si>
    <t>ac-ft/mo</t>
  </si>
  <si>
    <t>ac-ft</t>
  </si>
  <si>
    <t>Mount Vernon with FHMD &amp; Shingle Ck</t>
  </si>
  <si>
    <t>Mount Vernon Mouth</t>
  </si>
  <si>
    <t>Mount Vernon RR Entrance #1</t>
  </si>
  <si>
    <t>Mount Vernon RR Entrance #2</t>
  </si>
  <si>
    <t>Site 90</t>
  </si>
  <si>
    <t>ice</t>
  </si>
  <si>
    <t>BC115-6</t>
  </si>
  <si>
    <t>BC115-7</t>
  </si>
  <si>
    <t>BC115-8</t>
  </si>
  <si>
    <t>BC115-9</t>
  </si>
  <si>
    <t>BC215-1</t>
  </si>
  <si>
    <t>BC215-2</t>
  </si>
  <si>
    <t>BC215-3</t>
  </si>
  <si>
    <t>BC215-4</t>
  </si>
  <si>
    <t>BC215-5</t>
  </si>
  <si>
    <t>BC215-6</t>
  </si>
  <si>
    <t>47a</t>
  </si>
  <si>
    <t>BC215-7</t>
  </si>
  <si>
    <t>47b</t>
  </si>
  <si>
    <t>BC215-8</t>
  </si>
  <si>
    <t>BC215-9</t>
  </si>
  <si>
    <t>BC215-10</t>
  </si>
  <si>
    <t>BC215-11</t>
  </si>
  <si>
    <t>BC315B-1</t>
  </si>
  <si>
    <t>BC315B-2</t>
  </si>
  <si>
    <t>BC315B-3</t>
  </si>
  <si>
    <t>BC315B-4</t>
  </si>
  <si>
    <t>BC315B-5</t>
  </si>
  <si>
    <t>BC315B-6</t>
  </si>
  <si>
    <t>BC315B-7</t>
  </si>
  <si>
    <t>BC315B-8</t>
  </si>
  <si>
    <t>BC315B-9</t>
  </si>
  <si>
    <t>BC415-1</t>
  </si>
  <si>
    <t>BC415-2</t>
  </si>
  <si>
    <t>BC415-3</t>
  </si>
  <si>
    <t>BC415-4</t>
  </si>
  <si>
    <t>BC415-5</t>
  </si>
  <si>
    <t>BC415-6</t>
  </si>
  <si>
    <t>BC415-7</t>
  </si>
  <si>
    <t>BC415-8</t>
  </si>
  <si>
    <t>BC415-9</t>
  </si>
  <si>
    <t>BC415-10</t>
  </si>
  <si>
    <t>BC415-11</t>
  </si>
  <si>
    <t>BC515B-1</t>
  </si>
  <si>
    <t>BC515B-2</t>
  </si>
  <si>
    <t>BC515B-3</t>
  </si>
  <si>
    <t>BC515B-4</t>
  </si>
  <si>
    <t>BC515B-5</t>
  </si>
  <si>
    <t>BC615-1</t>
  </si>
  <si>
    <t>BC615-2</t>
  </si>
  <si>
    <t>BC615-3</t>
  </si>
  <si>
    <t>BC615-4</t>
  </si>
  <si>
    <t>BC615-5</t>
  </si>
  <si>
    <t>BC615-6</t>
  </si>
  <si>
    <t>BC615-7</t>
  </si>
  <si>
    <t>BC615-8</t>
  </si>
  <si>
    <t>BC615-9</t>
  </si>
  <si>
    <t>BC615-10</t>
  </si>
  <si>
    <t>BC715-1</t>
  </si>
  <si>
    <t>BC715-2</t>
  </si>
  <si>
    <t>BC715-3</t>
  </si>
  <si>
    <t>BC715-4</t>
  </si>
  <si>
    <t>BC715-5</t>
  </si>
  <si>
    <t>BC715-6</t>
  </si>
  <si>
    <t>BC715-7</t>
  </si>
  <si>
    <t>BC715-8</t>
  </si>
  <si>
    <t>BC715-9</t>
  </si>
  <si>
    <t>BC715F-1</t>
  </si>
  <si>
    <t>BC715F-2</t>
  </si>
  <si>
    <t>BC715F-3</t>
  </si>
  <si>
    <t>BC715F-4</t>
  </si>
  <si>
    <t>BC715F-5</t>
  </si>
  <si>
    <t>BC815-1</t>
  </si>
  <si>
    <t>BC815-2</t>
  </si>
  <si>
    <t>BC815-3</t>
  </si>
  <si>
    <t>BC815-4</t>
  </si>
  <si>
    <t>BC815-5</t>
  </si>
  <si>
    <t>BC815-6</t>
  </si>
  <si>
    <t>BC815-7</t>
  </si>
  <si>
    <t>BC915B-1</t>
  </si>
  <si>
    <t>I U</t>
  </si>
  <si>
    <t>BC915B-2</t>
  </si>
  <si>
    <t>I J</t>
  </si>
  <si>
    <t>BC915B-3</t>
  </si>
  <si>
    <t>BC915B-4</t>
  </si>
  <si>
    <t>BC915B-5</t>
  </si>
  <si>
    <t>BC915E-1</t>
  </si>
  <si>
    <t>BC915E-2</t>
  </si>
  <si>
    <t>BC915E-3</t>
  </si>
  <si>
    <t>BC915E-4</t>
  </si>
  <si>
    <t>BC915E-5</t>
  </si>
  <si>
    <t>BC915E-6</t>
  </si>
  <si>
    <t>BC915E-7</t>
  </si>
  <si>
    <t>BC915E-8</t>
  </si>
  <si>
    <t>BC915E-9</t>
  </si>
  <si>
    <t>BC815D-6</t>
  </si>
  <si>
    <t>BC815D-7</t>
  </si>
  <si>
    <t>BC815D-8</t>
  </si>
  <si>
    <t>BC815D-9</t>
  </si>
  <si>
    <t>BC815D-1</t>
  </si>
  <si>
    <t>BC815D-2</t>
  </si>
  <si>
    <t>BC815D-3</t>
  </si>
  <si>
    <t>BC815D-4</t>
  </si>
  <si>
    <t>BC815D-5</t>
  </si>
  <si>
    <t>BC1015-1</t>
  </si>
  <si>
    <t>BC1015-2</t>
  </si>
  <si>
    <t>BC1015-3</t>
  </si>
  <si>
    <t>BC1015-4</t>
  </si>
  <si>
    <t>BC1015-5</t>
  </si>
  <si>
    <t>BC1015-6</t>
  </si>
  <si>
    <t>BC1015-7</t>
  </si>
  <si>
    <t>BC1015C-1</t>
  </si>
  <si>
    <t>BC1015C-2</t>
  </si>
  <si>
    <t>BC1015C-3</t>
  </si>
  <si>
    <t>BC1015C-4</t>
  </si>
  <si>
    <t>BC1015C-5</t>
  </si>
  <si>
    <t>4a</t>
  </si>
  <si>
    <t>BC1015C-6</t>
  </si>
  <si>
    <t>4e</t>
  </si>
  <si>
    <t>BC515D-1</t>
  </si>
  <si>
    <t>BC515D-2</t>
  </si>
  <si>
    <t>BC515D-3</t>
  </si>
  <si>
    <t>BC515D-4</t>
  </si>
  <si>
    <t>BC515D-6</t>
  </si>
  <si>
    <t>BC515D-5</t>
  </si>
  <si>
    <t>BC815C-1</t>
  </si>
  <si>
    <t>BC815C-2</t>
  </si>
  <si>
    <t>BC615B-1</t>
  </si>
  <si>
    <t>BC615B-2</t>
  </si>
  <si>
    <t>BC615B-3</t>
  </si>
  <si>
    <t>BC615B-4</t>
  </si>
  <si>
    <t>BC615B-5</t>
  </si>
  <si>
    <t>BC615B-6</t>
  </si>
  <si>
    <t>BC615B-7</t>
  </si>
  <si>
    <t>BC615B-8</t>
  </si>
  <si>
    <t>BC615B-9</t>
  </si>
  <si>
    <t>BC615B-10</t>
  </si>
  <si>
    <t>BC615B-11</t>
  </si>
  <si>
    <t>BC615B-12</t>
  </si>
  <si>
    <t>BC615B-13</t>
  </si>
  <si>
    <t>BC615B-14</t>
  </si>
  <si>
    <t>BC615B-15</t>
  </si>
  <si>
    <t>BC615B-16</t>
  </si>
  <si>
    <t>BC615B-17</t>
  </si>
  <si>
    <t>BC615B-18</t>
  </si>
  <si>
    <t>BC615C-1</t>
  </si>
  <si>
    <t>BC615C-2</t>
  </si>
  <si>
    <t>BC715B-1</t>
  </si>
  <si>
    <t>BC715B-2</t>
  </si>
  <si>
    <t>BC715B-3</t>
  </si>
  <si>
    <t>BC715B-4</t>
  </si>
  <si>
    <t>BC715B-5</t>
  </si>
  <si>
    <t>BC715B-6</t>
  </si>
  <si>
    <t>BC715B-7</t>
  </si>
  <si>
    <t>BC715B-8</t>
  </si>
  <si>
    <t>BC715B-9</t>
  </si>
  <si>
    <t>BC715B-10</t>
  </si>
  <si>
    <t>BC715B-11</t>
  </si>
  <si>
    <t>BC715B-12</t>
  </si>
  <si>
    <t>BC715B-13</t>
  </si>
  <si>
    <t>BC715B-14</t>
  </si>
  <si>
    <t>BC715B-15</t>
  </si>
  <si>
    <t>BC715B-16</t>
  </si>
  <si>
    <t>BC715B-17</t>
  </si>
  <si>
    <t>BC815B-1</t>
  </si>
  <si>
    <t>BC815B-2</t>
  </si>
  <si>
    <t>BC815B-3</t>
  </si>
  <si>
    <t>BC815B-4</t>
  </si>
  <si>
    <t>BC815B-5</t>
  </si>
  <si>
    <t>BC815B-6</t>
  </si>
  <si>
    <t>BC815B-7</t>
  </si>
  <si>
    <t>BC815B-8</t>
  </si>
  <si>
    <t>BC815B-9</t>
  </si>
  <si>
    <t>BC815B-10</t>
  </si>
  <si>
    <t>BC815B-11</t>
  </si>
  <si>
    <t>BC815B-12</t>
  </si>
  <si>
    <t>BC815B-13</t>
  </si>
  <si>
    <t>BC815B-14</t>
  </si>
  <si>
    <t>BC815B-15</t>
  </si>
  <si>
    <t>BC815B-16</t>
  </si>
  <si>
    <t>BC815B-17</t>
  </si>
  <si>
    <t>BC915C-1</t>
  </si>
  <si>
    <t>BC915C-2</t>
  </si>
  <si>
    <t>BC915C-3</t>
  </si>
  <si>
    <t>BC915C-4</t>
  </si>
  <si>
    <t>BC915C-5</t>
  </si>
  <si>
    <t>BC915C-6</t>
  </si>
  <si>
    <t>BC915C-7</t>
  </si>
  <si>
    <t>BC915C-8</t>
  </si>
  <si>
    <t>BC915C-9</t>
  </si>
  <si>
    <t>BC915C-10</t>
  </si>
  <si>
    <t>BC915C-11</t>
  </si>
  <si>
    <t>BC915C-12</t>
  </si>
  <si>
    <t>BC915C-13</t>
  </si>
  <si>
    <t>BC915C-14</t>
  </si>
  <si>
    <t>BC915C-15</t>
  </si>
  <si>
    <t>BC915C-16</t>
  </si>
  <si>
    <t>BC915C-17</t>
  </si>
  <si>
    <t>BC1015B-1</t>
  </si>
  <si>
    <t>BC1015B-2</t>
  </si>
  <si>
    <t>BC1015B-3</t>
  </si>
  <si>
    <t>BC1015B-4</t>
  </si>
  <si>
    <t>BC1015B-5</t>
  </si>
  <si>
    <t>BC1015B-6</t>
  </si>
  <si>
    <t>BC1015B-7</t>
  </si>
  <si>
    <t>BC1015B-8</t>
  </si>
  <si>
    <t>BC1015B-9</t>
  </si>
  <si>
    <t>BC1015B-10</t>
  </si>
  <si>
    <t>BC1015B-11</t>
  </si>
  <si>
    <t>BC1015B-12</t>
  </si>
  <si>
    <t>BC1015B-13</t>
  </si>
  <si>
    <t>BC1015B-14</t>
  </si>
  <si>
    <t>BC1015B-15</t>
  </si>
  <si>
    <t>BC1015B-16</t>
  </si>
  <si>
    <t>BC1015B-17</t>
  </si>
  <si>
    <t>BC1015B-18</t>
  </si>
  <si>
    <t>BC1015B-19</t>
  </si>
  <si>
    <t>BC1015B-20</t>
  </si>
  <si>
    <t>BC1015B-21</t>
  </si>
  <si>
    <t>BC1115B-6</t>
  </si>
  <si>
    <t>BC1115B-7</t>
  </si>
  <si>
    <t>BC1115B-8</t>
  </si>
  <si>
    <t>BC1115B-9</t>
  </si>
  <si>
    <t>BC1115B-1</t>
  </si>
  <si>
    <t>BC1115B-2</t>
  </si>
  <si>
    <t>BC1115B-3</t>
  </si>
  <si>
    <t>BC1115B-4</t>
  </si>
  <si>
    <t>BC1115B-5</t>
  </si>
  <si>
    <t>BC1215-1</t>
  </si>
  <si>
    <t>BC1215-2</t>
  </si>
  <si>
    <t>BC1215-3</t>
  </si>
  <si>
    <t>BC1215-4</t>
  </si>
  <si>
    <t>BC1215-5</t>
  </si>
  <si>
    <t>BC1215-6</t>
  </si>
  <si>
    <t>BC1215-7</t>
  </si>
  <si>
    <t>BC1215-8</t>
  </si>
  <si>
    <t>BC1215-9</t>
  </si>
  <si>
    <t>BC715D-1</t>
  </si>
  <si>
    <t>BC715D-2</t>
  </si>
  <si>
    <t>BC515C-1</t>
  </si>
  <si>
    <t>BC515C-2</t>
  </si>
  <si>
    <t>BC515C-3</t>
  </si>
  <si>
    <t>BC515C-4</t>
  </si>
  <si>
    <t>BC515C-5</t>
  </si>
  <si>
    <t>BC515C-6</t>
  </si>
  <si>
    <t>BC515C-7</t>
  </si>
  <si>
    <t>BC515C-8</t>
  </si>
  <si>
    <t>BC515C-9</t>
  </si>
  <si>
    <t>BC515C-10</t>
  </si>
  <si>
    <t>BC515C-11</t>
  </si>
  <si>
    <t>BC515C-12</t>
  </si>
  <si>
    <t>BC515C-13</t>
  </si>
  <si>
    <t>BC515C-14</t>
  </si>
  <si>
    <t>BC515C-15</t>
  </si>
  <si>
    <t>BC515C-16</t>
  </si>
  <si>
    <t>BC515C-17</t>
  </si>
  <si>
    <t>BC515C-18</t>
  </si>
  <si>
    <t>BC515C-19</t>
  </si>
  <si>
    <t>Wadsworth; 90</t>
  </si>
  <si>
    <t>Na</t>
  </si>
  <si>
    <t>RNC, Mike Towner  cloudy, light winds, 30s, recent snow</t>
  </si>
  <si>
    <t>2016 Sampling Bear Creek Watershed Association</t>
  </si>
  <si>
    <t>Turkey</t>
  </si>
  <si>
    <t>BC</t>
  </si>
  <si>
    <t>D/A</t>
  </si>
  <si>
    <t>13 median</t>
  </si>
  <si>
    <t>BC915D-1</t>
  </si>
  <si>
    <t>BC915D-2</t>
  </si>
  <si>
    <t>c</t>
  </si>
  <si>
    <t>sm</t>
  </si>
  <si>
    <t>SC (us/cm)</t>
  </si>
  <si>
    <t>Bear Creek Reservoir 2015 - Summary Statisitics</t>
  </si>
  <si>
    <t>Bear Creek Keys (cfs) Monthly Avg</t>
  </si>
  <si>
    <t xml:space="preserve">Bear Creek EGL (cfs) daily </t>
  </si>
  <si>
    <t>Flows</t>
  </si>
  <si>
    <t>BC1215B-1</t>
  </si>
  <si>
    <t>BC1215B-2</t>
  </si>
  <si>
    <t>2015 TN</t>
  </si>
  <si>
    <t>tc</t>
  </si>
  <si>
    <t>bc</t>
  </si>
  <si>
    <t>out</t>
  </si>
  <si>
    <t>top</t>
  </si>
  <si>
    <t>bot</t>
  </si>
  <si>
    <t>wc</t>
  </si>
  <si>
    <t>Bear Creek Reservoir Mean Annual Concentrations 1991-2015</t>
  </si>
  <si>
    <t>Specific Conductance (us/cm)</t>
  </si>
  <si>
    <t>m</t>
  </si>
  <si>
    <t>vm</t>
  </si>
  <si>
    <t>Segmentn 6b</t>
  </si>
  <si>
    <t>t</t>
  </si>
  <si>
    <t>Upper troublesome</t>
  </si>
  <si>
    <t>11;10</t>
  </si>
  <si>
    <t>11;30</t>
  </si>
  <si>
    <t>Trouble at Confluence</t>
  </si>
  <si>
    <t>BCWA Site</t>
  </si>
  <si>
    <t>Description</t>
  </si>
  <si>
    <t>WQCD Timed Kicknet</t>
  </si>
  <si>
    <t>Collected by</t>
  </si>
  <si>
    <t>Date Collected</t>
  </si>
  <si>
    <t>Channel width (ft), embeddedness (%), algal cover (%),  water clarity</t>
  </si>
  <si>
    <t>Flow, cfs</t>
  </si>
  <si>
    <t>1b</t>
  </si>
  <si>
    <t>Fast Riffle</t>
  </si>
  <si>
    <t>1e</t>
  </si>
  <si>
    <t>Idledale</t>
  </si>
  <si>
    <t>Lair O’ Bear</t>
  </si>
  <si>
    <t>O’ Fallon</t>
  </si>
  <si>
    <t>Little Bear</t>
  </si>
  <si>
    <t>Keys @ bridge</t>
  </si>
  <si>
    <t>1a</t>
  </si>
  <si>
    <t>Golden Willow</t>
  </si>
  <si>
    <t>Sunny, Clear, 60's  </t>
  </si>
  <si>
    <t>RC/TL</t>
  </si>
  <si>
    <t>28/15/5%/ SM</t>
  </si>
  <si>
    <t>26/15/5%/ SM</t>
  </si>
  <si>
    <t>28/16/3%/ SM</t>
  </si>
  <si>
    <t>25/16/2%/SM</t>
  </si>
  <si>
    <t>30/10/2%/SM</t>
  </si>
  <si>
    <t>23/10/5%/SM</t>
  </si>
  <si>
    <t>23/15/3%/SM</t>
  </si>
  <si>
    <t>24/14/6%/ C</t>
  </si>
  <si>
    <t>25/15/2%/ C</t>
  </si>
  <si>
    <t>19/14/2%/ C</t>
  </si>
  <si>
    <t>Site 15a-BCP @ Bridge</t>
  </si>
  <si>
    <t xml:space="preserve">Site 14a-Morrison </t>
  </si>
  <si>
    <t>Site 12-Lair O' Bear</t>
  </si>
  <si>
    <t>Site 9-O'Fallon</t>
  </si>
  <si>
    <t>Site 8b BCC @ Bridge</t>
  </si>
  <si>
    <t>Site 5 Little Bear</t>
  </si>
  <si>
    <t>Site 3a Keys</t>
  </si>
  <si>
    <t>Site 2a- Golden Willow</t>
  </si>
  <si>
    <t>Site 58- Above SRR</t>
  </si>
  <si>
    <t>WQCD Station ID</t>
  </si>
  <si>
    <t>BCWA Station ID</t>
  </si>
  <si>
    <t>Biotype</t>
  </si>
  <si>
    <t>5756a</t>
  </si>
  <si>
    <t>Transition</t>
  </si>
  <si>
    <t>122a</t>
  </si>
  <si>
    <t>122b</t>
  </si>
  <si>
    <t>at O'Fallon Park</t>
  </si>
  <si>
    <t>122C</t>
  </si>
  <si>
    <t>at Baker Bridge (Idledale)</t>
  </si>
  <si>
    <t>at Key of the Green GC</t>
  </si>
  <si>
    <t>Mountain</t>
  </si>
  <si>
    <t>5768d</t>
  </si>
  <si>
    <t>Total Taxa</t>
  </si>
  <si>
    <t>MMI</t>
  </si>
  <si>
    <t>above Morrison Park</t>
  </si>
  <si>
    <t>at Lair of the Bear Park</t>
  </si>
  <si>
    <t>Full Attainment</t>
  </si>
  <si>
    <t>Above Impairment Threshold</t>
  </si>
  <si>
    <t>122</t>
  </si>
  <si>
    <t>48.8</t>
  </si>
  <si>
    <t>73.5</t>
  </si>
  <si>
    <t>49.5</t>
  </si>
  <si>
    <t>72.2</t>
  </si>
  <si>
    <t>44.8</t>
  </si>
  <si>
    <t>59.1</t>
  </si>
  <si>
    <t>59.3</t>
  </si>
  <si>
    <t>59.2</t>
  </si>
  <si>
    <t>above Skunk Hollow @ footbridge</t>
  </si>
  <si>
    <t>66.4</t>
  </si>
  <si>
    <t>5762</t>
  </si>
  <si>
    <t>below Evergreen BCC</t>
  </si>
  <si>
    <t>49.6</t>
  </si>
  <si>
    <t>62.3</t>
  </si>
  <si>
    <t>5763</t>
  </si>
  <si>
    <t>at Little Bear</t>
  </si>
  <si>
    <t>56.2</t>
  </si>
  <si>
    <t>68.9</t>
  </si>
  <si>
    <t>5764</t>
  </si>
  <si>
    <t>43.9</t>
  </si>
  <si>
    <t>63.6</t>
  </si>
  <si>
    <t>5768C</t>
  </si>
  <si>
    <t>at boundary Mt. Evan Wilderness</t>
  </si>
  <si>
    <t>67.0</t>
  </si>
  <si>
    <t>53.8</t>
  </si>
  <si>
    <t>5768D</t>
  </si>
  <si>
    <t>at Golden Willow Bridge</t>
  </si>
  <si>
    <t>60.8</t>
  </si>
  <si>
    <t>56.6</t>
  </si>
  <si>
    <t>20</t>
  </si>
  <si>
    <t>23</t>
  </si>
  <si>
    <t>22</t>
  </si>
  <si>
    <t>21</t>
  </si>
  <si>
    <t>27</t>
  </si>
  <si>
    <t>26</t>
  </si>
  <si>
    <t>25</t>
  </si>
  <si>
    <t>34</t>
  </si>
  <si>
    <t>29</t>
  </si>
  <si>
    <t>32</t>
  </si>
  <si>
    <t>T Taxa</t>
  </si>
  <si>
    <t>Keys @ Bridge</t>
  </si>
  <si>
    <t>BCC @ Bridge</t>
  </si>
  <si>
    <t>Mt Evans Wilderness</t>
  </si>
  <si>
    <t>BCLP @ Bridge</t>
  </si>
  <si>
    <t>BCLP @ bridge</t>
  </si>
  <si>
    <t>Morrison @ Gage</t>
  </si>
  <si>
    <t>Lair O' Bear</t>
  </si>
  <si>
    <t>Stream Segment</t>
  </si>
  <si>
    <t>5768c</t>
  </si>
  <si>
    <t>storm</t>
  </si>
  <si>
    <t>w/storm</t>
  </si>
  <si>
    <t>w/o storm</t>
  </si>
  <si>
    <t>TP - June</t>
  </si>
  <si>
    <t>TP- Oct</t>
  </si>
  <si>
    <t>ac-ft/ mo (Oct)</t>
  </si>
  <si>
    <t>ac-ft/ mo (June)</t>
  </si>
  <si>
    <t>TN -June</t>
  </si>
  <si>
    <t>TN - Oct</t>
  </si>
  <si>
    <t>TN - May</t>
  </si>
  <si>
    <t>TP - May</t>
  </si>
  <si>
    <t>ac-ft/ mo (May)</t>
  </si>
  <si>
    <t>Sept</t>
  </si>
  <si>
    <t>Cryptomonas erosa</t>
  </si>
  <si>
    <t>Peak Phytoplankton  Peak Biovolume (um3/mL) =</t>
  </si>
  <si>
    <t>Anabaena planctonica</t>
  </si>
  <si>
    <t>Trachelomonas volvocina</t>
  </si>
  <si>
    <t>Kephyrion sp.</t>
  </si>
  <si>
    <t>Rhodomonas minuta</t>
  </si>
  <si>
    <t>Asterionella formosa</t>
  </si>
  <si>
    <t>Melosira ambigua</t>
  </si>
  <si>
    <t>Melosira granulata</t>
  </si>
  <si>
    <t>Melosira granulata angustissima</t>
  </si>
  <si>
    <t>Stephanodiscus niagarae</t>
  </si>
  <si>
    <t>Trachelomonas charkowensis</t>
  </si>
  <si>
    <t>Trachelomonas hispida</t>
  </si>
  <si>
    <t>Trachelomonas robusta</t>
  </si>
  <si>
    <t>Trachelomonas scabra</t>
  </si>
  <si>
    <t>Chlamydomonas sp.</t>
  </si>
  <si>
    <t>Green</t>
  </si>
  <si>
    <t>Oocystis pusilla</t>
  </si>
  <si>
    <t>Phytoplankton Species @ Site 40 July- September</t>
  </si>
  <si>
    <t>Bluegreens</t>
  </si>
  <si>
    <t>Chrysophyte</t>
  </si>
  <si>
    <t>Cryptophyte</t>
  </si>
  <si>
    <t>Diatom</t>
  </si>
  <si>
    <t>Euglenoid</t>
  </si>
  <si>
    <t>Loading - Annual Pound Estimates</t>
  </si>
  <si>
    <t>fall</t>
  </si>
  <si>
    <t>Spring</t>
  </si>
  <si>
    <t>spring</t>
  </si>
  <si>
    <t xml:space="preserve">WJMD </t>
  </si>
  <si>
    <t>Upper Hiwan</t>
  </si>
  <si>
    <t>Stagecoach</t>
  </si>
  <si>
    <t>tp</t>
  </si>
  <si>
    <t>tn</t>
  </si>
  <si>
    <t>TP - Oct</t>
  </si>
  <si>
    <t>Fall</t>
  </si>
  <si>
    <t>TN %</t>
  </si>
  <si>
    <t>Tributary Contributions</t>
  </si>
  <si>
    <t>TP %</t>
  </si>
  <si>
    <t>Upper Bear</t>
  </si>
  <si>
    <t>ug/l</t>
  </si>
  <si>
    <t>Load Pounds</t>
  </si>
  <si>
    <t>NO3</t>
  </si>
  <si>
    <t>Monthly Avg in-Flow cfs</t>
  </si>
  <si>
    <t>DO (mg/l)</t>
  </si>
  <si>
    <t>Pounds per day for sampling date</t>
  </si>
  <si>
    <t>Cub Creek @ Cub Creek Park</t>
  </si>
  <si>
    <t>Bear Creek Edge Mt. Evans</t>
  </si>
  <si>
    <t>Keys on the Green</t>
  </si>
  <si>
    <t xml:space="preserve">Golden Willow </t>
  </si>
  <si>
    <t>Bear Creek Cabins</t>
  </si>
  <si>
    <t>Lair o' Bear Park</t>
  </si>
  <si>
    <t>Idledale, Shady Lane</t>
  </si>
  <si>
    <t>Mt Vernon</t>
  </si>
  <si>
    <t>Troublesom above West Jeff</t>
  </si>
  <si>
    <t>West Troublsome Below West Jeff</t>
  </si>
  <si>
    <t xml:space="preserve">North Turkey Creek Flying J </t>
  </si>
  <si>
    <t>Site 61 Fen #6 DEH-11</t>
  </si>
  <si>
    <t>Site 81 Fen #4 Parking Lot</t>
  </si>
  <si>
    <t>TP ug/l</t>
  </si>
  <si>
    <t>TN ug/l</t>
  </si>
  <si>
    <t>2014-2015 Season</t>
  </si>
  <si>
    <t>Bear Creek P-1 Sites</t>
  </si>
  <si>
    <t>BCR Deposition</t>
  </si>
  <si>
    <t>Annual Flow</t>
  </si>
  <si>
    <t>TSS</t>
  </si>
  <si>
    <t>Ac-Ft</t>
  </si>
  <si>
    <t>Total TP Load</t>
  </si>
  <si>
    <t>PS</t>
  </si>
  <si>
    <t>NPS</t>
  </si>
  <si>
    <t>%NPS</t>
  </si>
  <si>
    <t>Discharged into Reservoir</t>
  </si>
  <si>
    <t>2015 Total Phosphorus Loading (Pounds)</t>
  </si>
  <si>
    <t>Total Phosphorus lbs/yr</t>
  </si>
  <si>
    <t>Discharge WWTF</t>
  </si>
  <si>
    <t>Assume 25% PS</t>
  </si>
  <si>
    <t>Reservoir Total</t>
  </si>
  <si>
    <t>Reservoir NPS</t>
  </si>
  <si>
    <t>% Retained Within Reservoir</t>
  </si>
  <si>
    <t>Seg 1a</t>
  </si>
  <si>
    <t>Seg 3</t>
  </si>
  <si>
    <t>Seg 1e</t>
  </si>
  <si>
    <t>Seg 4a</t>
  </si>
  <si>
    <t>Seg 5</t>
  </si>
  <si>
    <t>Seg 6a</t>
  </si>
  <si>
    <t>Seg 6b</t>
  </si>
  <si>
    <t>Cub Cr</t>
  </si>
  <si>
    <t>MPW</t>
  </si>
  <si>
    <t>mt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</si>
</sst>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(* #,##0.00_);_(* \(#,##0.00\);_(* &quot;-&quot;??_);_(@_)"/>
    <numFmt numFmtId="164" formatCode="0.0"/>
    <numFmt numFmtId="165" formatCode="0.000"/>
    <numFmt numFmtId="166" formatCode="dd\-mmm\-yy_)"/>
    <numFmt numFmtId="167" formatCode="0_)"/>
    <numFmt numFmtId="168" formatCode="0.0_)"/>
    <numFmt numFmtId="169" formatCode="_(* #,##0_);_(* \(#,##0\);_(* &quot;-&quot;??_);_(@_)"/>
    <numFmt numFmtId="170" formatCode="m/d/yy"/>
    <numFmt numFmtId="171" formatCode="#,##0.0"/>
    <numFmt numFmtId="172" formatCode="mm/dd/yy;@"/>
    <numFmt numFmtId="173" formatCode="m/dd/yy;@"/>
    <numFmt numFmtId="174" formatCode="###0;###0"/>
    <numFmt numFmtId="175" formatCode="h:mm;@"/>
    <numFmt numFmtId="176" formatCode="mm/dd/yy"/>
    <numFmt numFmtId="177" formatCode="0.000000"/>
    <numFmt numFmtId="178" formatCode="[$-409]d\-mmm;@"/>
    <numFmt numFmtId="179" formatCode="#,##0.0000"/>
    <numFmt numFmtId="180" formatCode="0.0000"/>
    <numFmt numFmtId="181" formatCode="#,##0.000"/>
    <numFmt numFmtId="182" formatCode="0.0000000"/>
    <numFmt numFmtId="183" formatCode="#,##0.000000"/>
    <numFmt numFmtId="184" formatCode="0.00000"/>
    <numFmt numFmtId="185" formatCode="0.0%"/>
    <numFmt numFmtId="186" formatCode="[$-F400]h:mm:ss\ AM/PM"/>
    <numFmt numFmtId="187" formatCode="dd\-mmm\-yy"/>
    <numFmt numFmtId="188" formatCode="[$-409]mmmm\-yy;@"/>
  </numFmts>
  <fonts count="78"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9"/>
      <name val="Arial"/>
      <family val="2"/>
    </font>
    <font>
      <sz val="10"/>
      <name val="Helv"/>
    </font>
    <font>
      <b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8"/>
      <name val="Helv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b/>
      <sz val="10"/>
      <color indexed="8"/>
      <name val="Arial"/>
      <family val="2"/>
    </font>
    <font>
      <vertAlign val="superscript"/>
      <sz val="10"/>
      <name val="Verdana"/>
      <family val="2"/>
    </font>
    <font>
      <sz val="16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name val="Trebuchet MS"/>
      <family val="2"/>
    </font>
    <font>
      <b/>
      <sz val="7"/>
      <name val="Trebuchet MS"/>
      <family val="2"/>
    </font>
    <font>
      <b/>
      <sz val="9"/>
      <color indexed="18"/>
      <name val="Arial"/>
      <family val="2"/>
    </font>
    <font>
      <b/>
      <sz val="8"/>
      <name val="Trebuchet MS"/>
      <family val="2"/>
    </font>
    <font>
      <sz val="11"/>
      <color rgb="FF006100"/>
      <name val="Calibri"/>
      <family val="2"/>
      <scheme val="minor"/>
    </font>
    <font>
      <b/>
      <sz val="8"/>
      <name val="Times New Roman"/>
      <family val="1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Segoe U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Plantagenet Cherokee"/>
      <family val="1"/>
    </font>
    <font>
      <b/>
      <vertAlign val="superscript"/>
      <sz val="9"/>
      <color rgb="FF000000"/>
      <name val="Calibri"/>
      <family val="2"/>
    </font>
    <font>
      <sz val="9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9"/>
      <color rgb="FF000000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color indexed="8"/>
      <name val="Calibri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4682B4"/>
      </left>
      <right style="medium">
        <color rgb="FF808080"/>
      </right>
      <top style="medium">
        <color rgb="FF4682B4"/>
      </top>
      <bottom/>
      <diagonal/>
    </border>
    <border>
      <left style="medium">
        <color rgb="FF808080"/>
      </left>
      <right style="medium">
        <color rgb="FF808080"/>
      </right>
      <top style="medium">
        <color rgb="FF4682B4"/>
      </top>
      <bottom/>
      <diagonal/>
    </border>
    <border>
      <left/>
      <right/>
      <top style="medium">
        <color rgb="FF4682B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4682B4"/>
      </bottom>
      <diagonal/>
    </border>
    <border>
      <left style="medium">
        <color rgb="FF4682B4"/>
      </left>
      <right style="thin">
        <color rgb="FF000000"/>
      </right>
      <top style="medium">
        <color rgb="FF4682B4"/>
      </top>
      <bottom style="thin">
        <color rgb="FF000000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medium">
        <color rgb="FF4682B4"/>
      </bottom>
      <diagonal/>
    </border>
    <border>
      <left style="thin">
        <color rgb="FF000000"/>
      </left>
      <right style="medium">
        <color rgb="FF808080"/>
      </right>
      <top style="medium">
        <color rgb="FF4682B4"/>
      </top>
      <bottom style="thin">
        <color rgb="FF000000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medium">
        <color rgb="FF4682B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3" fontId="0" fillId="0" borderId="0">
      <alignment horizontal="left" vertical="center" wrapText="1"/>
    </xf>
    <xf numFmtId="43" fontId="1" fillId="0" borderId="0" applyFont="0" applyFill="0" applyBorder="0" applyAlignment="0" applyProtection="0"/>
    <xf numFmtId="178" fontId="5" fillId="0" borderId="0" applyNumberFormat="0" applyFill="0" applyBorder="0" applyAlignment="0" applyProtection="0">
      <alignment vertical="top"/>
      <protection locked="0"/>
    </xf>
    <xf numFmtId="178" fontId="17" fillId="0" borderId="0"/>
    <xf numFmtId="178" fontId="17" fillId="0" borderId="0"/>
    <xf numFmtId="9" fontId="21" fillId="0" borderId="0" applyFont="0" applyFill="0" applyBorder="0" applyAlignment="0" applyProtection="0"/>
    <xf numFmtId="0" fontId="23" fillId="0" borderId="1">
      <alignment horizontal="left" vertical="center" wrapText="1"/>
    </xf>
    <xf numFmtId="178" fontId="41" fillId="0" borderId="0" applyNumberFormat="0" applyFill="0" applyBorder="0" applyAlignment="0" applyProtection="0">
      <alignment vertical="top"/>
      <protection locked="0"/>
    </xf>
    <xf numFmtId="0" fontId="58" fillId="25" borderId="0" applyNumberFormat="0" applyBorder="0" applyAlignment="0" applyProtection="0"/>
    <xf numFmtId="0" fontId="1" fillId="0" borderId="0"/>
    <xf numFmtId="0" fontId="17" fillId="0" borderId="0"/>
    <xf numFmtId="0" fontId="17" fillId="0" borderId="0"/>
  </cellStyleXfs>
  <cellXfs count="1724">
    <xf numFmtId="3" fontId="0" fillId="0" borderId="0" xfId="0">
      <alignment horizontal="left" vertical="center" wrapText="1"/>
    </xf>
    <xf numFmtId="3" fontId="2" fillId="0" borderId="0" xfId="0" applyFont="1">
      <alignment horizontal="left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>
      <alignment horizontal="left" vertical="center" wrapText="1"/>
    </xf>
    <xf numFmtId="165" fontId="0" fillId="0" borderId="0" xfId="0" applyNumberFormat="1">
      <alignment horizontal="left" vertical="center" wrapText="1"/>
    </xf>
    <xf numFmtId="1" fontId="0" fillId="0" borderId="0" xfId="0" applyNumberFormat="1">
      <alignment horizontal="left" vertical="center" wrapText="1"/>
    </xf>
    <xf numFmtId="2" fontId="0" fillId="0" borderId="0" xfId="0" applyNumberFormat="1">
      <alignment horizontal="left" vertical="center" wrapText="1"/>
    </xf>
    <xf numFmtId="15" fontId="2" fillId="0" borderId="0" xfId="0" applyNumberFormat="1" applyFont="1">
      <alignment horizontal="left" vertical="center" wrapText="1"/>
    </xf>
    <xf numFmtId="165" fontId="2" fillId="0" borderId="0" xfId="0" applyNumberFormat="1" applyFont="1">
      <alignment horizontal="left" vertical="center" wrapText="1"/>
    </xf>
    <xf numFmtId="2" fontId="0" fillId="0" borderId="0" xfId="0" applyNumberFormat="1" applyFill="1">
      <alignment horizontal="left" vertical="center" wrapText="1"/>
    </xf>
    <xf numFmtId="3" fontId="0" fillId="0" borderId="0" xfId="0" applyFill="1">
      <alignment horizontal="left" vertical="center" wrapText="1"/>
    </xf>
    <xf numFmtId="3" fontId="3" fillId="0" borderId="0" xfId="0" applyFont="1">
      <alignment horizontal="left" vertical="center" wrapText="1"/>
    </xf>
    <xf numFmtId="3" fontId="2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/>
    </xf>
    <xf numFmtId="3" fontId="9" fillId="0" borderId="1" xfId="0" applyFont="1" applyBorder="1" applyAlignment="1">
      <alignment wrapText="1"/>
    </xf>
    <xf numFmtId="3" fontId="1" fillId="2" borderId="0" xfId="0" applyFont="1" applyFill="1">
      <alignment horizontal="left" vertical="center" wrapText="1"/>
    </xf>
    <xf numFmtId="1" fontId="11" fillId="0" borderId="0" xfId="0" applyNumberFormat="1" applyFont="1" applyAlignment="1" applyProtection="1">
      <alignment horizontal="center"/>
    </xf>
    <xf numFmtId="3" fontId="1" fillId="0" borderId="0" xfId="0" applyFont="1">
      <alignment horizontal="left" vertic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 applyProtection="1">
      <alignment horizontal="center"/>
    </xf>
    <xf numFmtId="3" fontId="1" fillId="0" borderId="0" xfId="0" applyFont="1" applyAlignment="1">
      <alignment horizontal="center"/>
    </xf>
    <xf numFmtId="3" fontId="11" fillId="0" borderId="0" xfId="0" applyFont="1" applyProtection="1">
      <alignment horizontal="left" vertical="center" wrapText="1"/>
    </xf>
    <xf numFmtId="3" fontId="11" fillId="2" borderId="0" xfId="0" applyFont="1" applyFill="1" applyProtection="1">
      <alignment horizontal="left" vertical="center" wrapText="1"/>
    </xf>
    <xf numFmtId="3" fontId="0" fillId="0" borderId="0" xfId="0" applyFill="1" applyProtection="1">
      <alignment horizontal="left" vertical="center" wrapText="1"/>
    </xf>
    <xf numFmtId="3" fontId="0" fillId="0" borderId="0" xfId="0" applyProtection="1">
      <alignment horizontal="left" vertical="center" wrapText="1"/>
    </xf>
    <xf numFmtId="178" fontId="2" fillId="0" borderId="0" xfId="0" applyNumberFormat="1" applyFont="1">
      <alignment horizontal="left" vertical="center" wrapText="1"/>
    </xf>
    <xf numFmtId="178" fontId="2" fillId="0" borderId="0" xfId="0" applyNumberFormat="1" applyFont="1" applyProtection="1">
      <alignment horizontal="left" vertical="center" wrapText="1"/>
    </xf>
    <xf numFmtId="178" fontId="0" fillId="0" borderId="0" xfId="0" applyNumberFormat="1">
      <alignment horizontal="left" vertical="center" wrapText="1"/>
    </xf>
    <xf numFmtId="3" fontId="6" fillId="0" borderId="0" xfId="0" applyFont="1">
      <alignment horizontal="left" vertical="center" wrapText="1"/>
    </xf>
    <xf numFmtId="169" fontId="0" fillId="0" borderId="0" xfId="1" applyNumberFormat="1" applyFont="1"/>
    <xf numFmtId="3" fontId="6" fillId="0" borderId="0" xfId="0" applyNumberFormat="1" applyFont="1">
      <alignment horizontal="left" vertical="center" wrapText="1"/>
    </xf>
    <xf numFmtId="15" fontId="10" fillId="0" borderId="0" xfId="0" applyNumberFormat="1" applyFont="1" applyBorder="1">
      <alignment horizontal="left" vertical="center" wrapText="1"/>
    </xf>
    <xf numFmtId="167" fontId="6" fillId="0" borderId="0" xfId="0" applyNumberFormat="1" applyFont="1" applyAlignment="1" applyProtection="1">
      <alignment horizontal="center"/>
    </xf>
    <xf numFmtId="3" fontId="6" fillId="0" borderId="0" xfId="0" applyFont="1" applyBorder="1">
      <alignment horizontal="left" vertical="center" wrapText="1"/>
    </xf>
    <xf numFmtId="15" fontId="10" fillId="0" borderId="0" xfId="0" applyNumberFormat="1" applyFont="1" applyBorder="1" applyAlignment="1">
      <alignment horizontal="center"/>
    </xf>
    <xf numFmtId="2" fontId="6" fillId="0" borderId="0" xfId="0" applyNumberFormat="1" applyFont="1">
      <alignment horizontal="left" vertical="center" wrapTex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3" fontId="0" fillId="2" borderId="0" xfId="0" applyFill="1">
      <alignment horizontal="left" vertical="center" wrapText="1"/>
    </xf>
    <xf numFmtId="3" fontId="0" fillId="0" borderId="0" xfId="0" applyNumberFormat="1">
      <alignment horizontal="left" vertical="center" wrapText="1"/>
    </xf>
    <xf numFmtId="2" fontId="0" fillId="2" borderId="0" xfId="0" applyNumberFormat="1" applyFill="1">
      <alignment horizontal="left" vertical="center" wrapText="1"/>
    </xf>
    <xf numFmtId="3" fontId="4" fillId="2" borderId="0" xfId="0" applyFont="1" applyFill="1">
      <alignment horizontal="left" vertical="center" wrapText="1"/>
    </xf>
    <xf numFmtId="165" fontId="2" fillId="2" borderId="1" xfId="0" applyNumberFormat="1" applyFont="1" applyFill="1" applyBorder="1">
      <alignment horizontal="left" vertical="center" wrapText="1"/>
    </xf>
    <xf numFmtId="3" fontId="2" fillId="2" borderId="1" xfId="0" applyFont="1" applyFill="1" applyBorder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0" borderId="0" xfId="0" applyAlignment="1"/>
    <xf numFmtId="3" fontId="6" fillId="2" borderId="1" xfId="0" applyFont="1" applyFill="1" applyBorder="1" applyAlignment="1">
      <alignment wrapText="1"/>
    </xf>
    <xf numFmtId="164" fontId="0" fillId="0" borderId="1" xfId="0" applyNumberFormat="1" applyBorder="1">
      <alignment horizontal="left" vertical="center" wrapText="1"/>
    </xf>
    <xf numFmtId="3" fontId="2" fillId="2" borderId="0" xfId="0" applyFont="1" applyFill="1">
      <alignment horizontal="left" vertical="center" wrapText="1"/>
    </xf>
    <xf numFmtId="3" fontId="0" fillId="0" borderId="1" xfId="0" applyBorder="1">
      <alignment horizontal="left" vertical="center" wrapText="1"/>
    </xf>
    <xf numFmtId="3" fontId="0" fillId="0" borderId="0" xfId="0" applyFill="1" applyBorder="1">
      <alignment horizontal="left" vertical="center" wrapText="1"/>
    </xf>
    <xf numFmtId="3" fontId="0" fillId="0" borderId="1" xfId="0" applyNumberFormat="1" applyBorder="1">
      <alignment horizontal="left" vertical="center" wrapText="1"/>
    </xf>
    <xf numFmtId="166" fontId="2" fillId="0" borderId="0" xfId="0" applyNumberFormat="1" applyFont="1" applyBorder="1" applyProtection="1">
      <alignment horizontal="left" vertical="center" wrapText="1"/>
    </xf>
    <xf numFmtId="3" fontId="0" fillId="0" borderId="0" xfId="0" applyBorder="1">
      <alignment horizontal="left" vertical="center" wrapText="1"/>
    </xf>
    <xf numFmtId="3" fontId="2" fillId="0" borderId="1" xfId="0" applyFont="1" applyBorder="1">
      <alignment horizontal="left" vertical="center" wrapText="1"/>
    </xf>
    <xf numFmtId="164" fontId="13" fillId="0" borderId="1" xfId="0" applyNumberFormat="1" applyFont="1" applyBorder="1" applyAlignment="1">
      <alignment horizontal="center"/>
    </xf>
    <xf numFmtId="178" fontId="2" fillId="0" borderId="0" xfId="0" applyNumberFormat="1" applyFont="1">
      <alignment horizontal="left" vertical="center" wrapText="1"/>
    </xf>
    <xf numFmtId="3" fontId="2" fillId="0" borderId="1" xfId="0" applyNumberFormat="1" applyFont="1" applyFill="1" applyBorder="1" applyAlignment="1">
      <alignment horizontal="center"/>
    </xf>
    <xf numFmtId="3" fontId="15" fillId="0" borderId="0" xfId="0" applyFont="1" applyBorder="1" applyProtection="1">
      <alignment horizontal="left" vertical="center" wrapText="1"/>
    </xf>
    <xf numFmtId="3" fontId="2" fillId="4" borderId="1" xfId="0" applyFont="1" applyFill="1" applyBorder="1" applyAlignment="1">
      <alignment horizontal="right"/>
    </xf>
    <xf numFmtId="3" fontId="10" fillId="4" borderId="8" xfId="0" applyFont="1" applyFill="1" applyBorder="1" applyAlignment="1">
      <alignment horizontal="center"/>
    </xf>
    <xf numFmtId="3" fontId="2" fillId="4" borderId="1" xfId="0" applyFont="1" applyFill="1" applyBorder="1" applyAlignment="1">
      <alignment horizontal="center"/>
    </xf>
    <xf numFmtId="15" fontId="2" fillId="5" borderId="0" xfId="0" applyNumberFormat="1" applyFont="1" applyFill="1">
      <alignment horizontal="left" vertical="center" wrapText="1"/>
    </xf>
    <xf numFmtId="1" fontId="2" fillId="0" borderId="1" xfId="0" applyNumberFormat="1" applyFont="1" applyFill="1" applyBorder="1">
      <alignment horizontal="left" vertical="center" wrapText="1"/>
    </xf>
    <xf numFmtId="3" fontId="0" fillId="7" borderId="0" xfId="0" applyFill="1">
      <alignment horizontal="left" vertical="center" wrapText="1"/>
    </xf>
    <xf numFmtId="3" fontId="2" fillId="0" borderId="0" xfId="0" applyFont="1" applyFill="1" applyBorder="1">
      <alignment horizontal="left" vertical="center" wrapText="1"/>
    </xf>
    <xf numFmtId="3" fontId="8" fillId="0" borderId="0" xfId="0" applyFont="1">
      <alignment horizontal="left" vertical="center" wrapText="1"/>
    </xf>
    <xf numFmtId="3" fontId="8" fillId="0" borderId="1" xfId="0" applyFont="1" applyBorder="1">
      <alignment horizontal="left" vertical="center" wrapText="1"/>
    </xf>
    <xf numFmtId="15" fontId="2" fillId="8" borderId="1" xfId="0" applyNumberFormat="1" applyFont="1" applyFill="1" applyBorder="1">
      <alignment horizontal="left" vertical="center" wrapText="1"/>
    </xf>
    <xf numFmtId="14" fontId="2" fillId="8" borderId="5" xfId="0" applyNumberFormat="1" applyFont="1" applyFill="1" applyBorder="1" applyAlignment="1">
      <alignment wrapText="1"/>
    </xf>
    <xf numFmtId="14" fontId="2" fillId="8" borderId="1" xfId="0" applyNumberFormat="1" applyFont="1" applyFill="1" applyBorder="1" applyAlignment="1">
      <alignment wrapText="1"/>
    </xf>
    <xf numFmtId="1" fontId="2" fillId="8" borderId="2" xfId="0" applyNumberFormat="1" applyFont="1" applyFill="1" applyBorder="1">
      <alignment horizontal="left" vertical="center" wrapText="1"/>
    </xf>
    <xf numFmtId="1" fontId="2" fillId="8" borderId="1" xfId="0" applyNumberFormat="1" applyFont="1" applyFill="1" applyBorder="1">
      <alignment horizontal="left" vertical="center" wrapText="1"/>
    </xf>
    <xf numFmtId="164" fontId="13" fillId="0" borderId="0" xfId="0" applyNumberFormat="1" applyFont="1">
      <alignment horizontal="left" vertical="center" wrapText="1"/>
    </xf>
    <xf numFmtId="14" fontId="0" fillId="0" borderId="0" xfId="0" applyNumberFormat="1">
      <alignment horizontal="left" vertical="center" wrapText="1"/>
    </xf>
    <xf numFmtId="170" fontId="1" fillId="0" borderId="0" xfId="0" applyNumberFormat="1" applyFont="1" applyAlignment="1">
      <alignment horizontal="right"/>
    </xf>
    <xf numFmtId="178" fontId="1" fillId="0" borderId="0" xfId="0" applyNumberFormat="1" applyFont="1">
      <alignment horizontal="left" vertical="center" wrapText="1"/>
    </xf>
    <xf numFmtId="1" fontId="1" fillId="0" borderId="0" xfId="0" applyNumberFormat="1" applyFont="1">
      <alignment horizontal="left" vertical="center" wrapText="1"/>
    </xf>
    <xf numFmtId="3" fontId="0" fillId="0" borderId="0" xfId="0" applyFill="1" applyBorder="1" applyAlignment="1">
      <alignment horizontal="left"/>
    </xf>
    <xf numFmtId="178" fontId="17" fillId="0" borderId="0" xfId="3" applyNumberFormat="1" applyFont="1" applyFill="1" applyBorder="1" applyAlignment="1">
      <alignment horizontal="right"/>
    </xf>
    <xf numFmtId="178" fontId="17" fillId="0" borderId="0" xfId="3" applyFont="1" applyFill="1" applyBorder="1" applyAlignment="1">
      <alignment horizontal="left"/>
    </xf>
    <xf numFmtId="178" fontId="17" fillId="0" borderId="0" xfId="4" applyFont="1" applyFill="1" applyBorder="1" applyAlignment="1">
      <alignment horizontal="left"/>
    </xf>
    <xf numFmtId="3" fontId="1" fillId="0" borderId="1" xfId="0" applyFont="1" applyBorder="1">
      <alignment horizontal="left" vertical="center" wrapText="1"/>
    </xf>
    <xf numFmtId="164" fontId="1" fillId="0" borderId="0" xfId="0" applyNumberFormat="1" applyFont="1">
      <alignment horizontal="left" vertical="center" wrapText="1"/>
    </xf>
    <xf numFmtId="3" fontId="2" fillId="0" borderId="0" xfId="0" applyFont="1" applyFill="1" applyBorder="1" applyAlignment="1">
      <alignment horizontal="center"/>
    </xf>
    <xf numFmtId="3" fontId="2" fillId="7" borderId="1" xfId="0" applyFont="1" applyFill="1" applyBorder="1">
      <alignment horizontal="left" vertical="center" wrapText="1"/>
    </xf>
    <xf numFmtId="178" fontId="1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 horizontal="right"/>
    </xf>
    <xf numFmtId="3" fontId="18" fillId="0" borderId="0" xfId="0" applyFont="1">
      <alignment horizontal="left" vertical="center" wrapText="1"/>
    </xf>
    <xf numFmtId="170" fontId="18" fillId="0" borderId="0" xfId="0" applyNumberFormat="1" applyFont="1" applyAlignment="1">
      <alignment horizontal="right"/>
    </xf>
    <xf numFmtId="178" fontId="19" fillId="0" borderId="0" xfId="3" applyNumberFormat="1" applyFont="1" applyFill="1" applyBorder="1" applyAlignment="1">
      <alignment horizontal="right"/>
    </xf>
    <xf numFmtId="164" fontId="18" fillId="0" borderId="0" xfId="0" applyNumberFormat="1" applyFont="1">
      <alignment horizontal="left" vertical="center" wrapText="1"/>
    </xf>
    <xf numFmtId="178" fontId="19" fillId="0" borderId="0" xfId="3" applyFont="1" applyFill="1" applyBorder="1" applyAlignment="1">
      <alignment horizontal="left"/>
    </xf>
    <xf numFmtId="178" fontId="19" fillId="0" borderId="0" xfId="4" applyFont="1" applyFill="1" applyBorder="1" applyAlignment="1">
      <alignment horizontal="left"/>
    </xf>
    <xf numFmtId="20" fontId="1" fillId="0" borderId="1" xfId="0" applyNumberFormat="1" applyFont="1" applyBorder="1">
      <alignment horizontal="left" vertical="center" wrapText="1"/>
    </xf>
    <xf numFmtId="3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3" fillId="2" borderId="5" xfId="0" applyNumberFormat="1" applyFont="1" applyFill="1" applyBorder="1">
      <alignment horizontal="left" vertical="center" wrapText="1"/>
    </xf>
    <xf numFmtId="164" fontId="13" fillId="2" borderId="1" xfId="0" applyNumberFormat="1" applyFont="1" applyFill="1" applyBorder="1">
      <alignment horizontal="left" vertical="center" wrapText="1"/>
    </xf>
    <xf numFmtId="3" fontId="2" fillId="10" borderId="1" xfId="0" applyFont="1" applyFill="1" applyBorder="1">
      <alignment horizontal="left" vertical="center" wrapText="1"/>
    </xf>
    <xf numFmtId="20" fontId="1" fillId="0" borderId="7" xfId="0" applyNumberFormat="1" applyFont="1" applyBorder="1" applyAlignment="1"/>
    <xf numFmtId="15" fontId="13" fillId="4" borderId="1" xfId="0" applyNumberFormat="1" applyFont="1" applyFill="1" applyBorder="1">
      <alignment horizontal="left" vertical="center" wrapText="1"/>
    </xf>
    <xf numFmtId="15" fontId="13" fillId="10" borderId="1" xfId="0" applyNumberFormat="1" applyFont="1" applyFill="1" applyBorder="1">
      <alignment horizontal="left" vertical="center" wrapText="1"/>
    </xf>
    <xf numFmtId="15" fontId="13" fillId="4" borderId="1" xfId="0" applyNumberFormat="1" applyFont="1" applyFill="1" applyBorder="1" applyAlignment="1">
      <alignment wrapText="1"/>
    </xf>
    <xf numFmtId="15" fontId="4" fillId="10" borderId="1" xfId="0" applyNumberFormat="1" applyFont="1" applyFill="1" applyBorder="1">
      <alignment horizontal="left" vertical="center" wrapText="1"/>
    </xf>
    <xf numFmtId="1" fontId="13" fillId="0" borderId="1" xfId="0" applyNumberFormat="1" applyFont="1" applyBorder="1" applyAlignment="1">
      <alignment horizontal="center"/>
    </xf>
    <xf numFmtId="1" fontId="16" fillId="0" borderId="0" xfId="0" applyNumberFormat="1" applyFont="1">
      <alignment horizontal="left" vertical="center" wrapText="1"/>
    </xf>
    <xf numFmtId="164" fontId="4" fillId="10" borderId="1" xfId="0" applyNumberFormat="1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164" fontId="13" fillId="10" borderId="2" xfId="0" applyNumberFormat="1" applyFont="1" applyFill="1" applyBorder="1">
      <alignment horizontal="left" vertical="center" wrapText="1"/>
    </xf>
    <xf numFmtId="15" fontId="13" fillId="10" borderId="1" xfId="0" applyNumberFormat="1" applyFont="1" applyFill="1" applyBorder="1" applyAlignment="1">
      <alignment wrapText="1"/>
    </xf>
    <xf numFmtId="15" fontId="13" fillId="10" borderId="1" xfId="0" applyNumberFormat="1" applyFont="1" applyFill="1" applyBorder="1" applyAlignment="1">
      <alignment horizontal="center" wrapText="1"/>
    </xf>
    <xf numFmtId="15" fontId="13" fillId="4" borderId="7" xfId="0" applyNumberFormat="1" applyFont="1" applyFill="1" applyBorder="1">
      <alignment horizontal="left" vertical="center" wrapText="1"/>
    </xf>
    <xf numFmtId="1" fontId="13" fillId="2" borderId="1" xfId="0" applyNumberFormat="1" applyFont="1" applyFill="1" applyBorder="1">
      <alignment horizontal="left" vertical="center" wrapText="1"/>
    </xf>
    <xf numFmtId="164" fontId="13" fillId="4" borderId="7" xfId="0" applyNumberFormat="1" applyFont="1" applyFill="1" applyBorder="1" applyAlignment="1">
      <alignment horizontal="left" vertical="top" wrapText="1"/>
    </xf>
    <xf numFmtId="3" fontId="13" fillId="2" borderId="1" xfId="0" applyFont="1" applyFill="1" applyBorder="1">
      <alignment horizontal="left" vertical="center" wrapText="1"/>
    </xf>
    <xf numFmtId="165" fontId="13" fillId="2" borderId="1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3" fontId="2" fillId="7" borderId="0" xfId="0" applyFont="1" applyFill="1">
      <alignment horizontal="left" vertical="center" wrapText="1"/>
    </xf>
    <xf numFmtId="15" fontId="2" fillId="7" borderId="1" xfId="0" applyNumberFormat="1" applyFont="1" applyFill="1" applyBorder="1">
      <alignment horizontal="left" vertical="center" wrapText="1"/>
    </xf>
    <xf numFmtId="3" fontId="2" fillId="7" borderId="1" xfId="0" applyFont="1" applyFill="1" applyBorder="1" applyAlignment="1">
      <alignment horizontal="center"/>
    </xf>
    <xf numFmtId="15" fontId="2" fillId="7" borderId="1" xfId="0" applyNumberFormat="1" applyFont="1" applyFill="1" applyBorder="1" applyAlignment="1">
      <alignment vertical="top" wrapText="1"/>
    </xf>
    <xf numFmtId="15" fontId="2" fillId="7" borderId="7" xfId="0" applyNumberFormat="1" applyFont="1" applyFill="1" applyBorder="1" applyAlignment="1">
      <alignment vertical="top" wrapText="1"/>
    </xf>
    <xf numFmtId="168" fontId="1" fillId="0" borderId="0" xfId="0" applyNumberFormat="1" applyFont="1" applyProtection="1">
      <alignment horizontal="left" vertical="center" wrapText="1"/>
    </xf>
    <xf numFmtId="3" fontId="0" fillId="7" borderId="1" xfId="0" applyFill="1" applyBorder="1">
      <alignment horizontal="left" vertical="center" wrapText="1"/>
    </xf>
    <xf numFmtId="3" fontId="1" fillId="7" borderId="1" xfId="0" applyFont="1" applyFill="1" applyBorder="1">
      <alignment horizontal="left" vertical="center" wrapText="1"/>
    </xf>
    <xf numFmtId="3" fontId="0" fillId="0" borderId="1" xfId="0" applyBorder="1" applyAlignment="1">
      <alignment wrapText="1"/>
    </xf>
    <xf numFmtId="3" fontId="0" fillId="0" borderId="0" xfId="0" applyFill="1" applyBorder="1" applyAlignment="1" applyProtection="1">
      <alignment horizontal="left"/>
    </xf>
    <xf numFmtId="3" fontId="0" fillId="0" borderId="0" xfId="0" applyFill="1" applyBorder="1" applyAlignment="1">
      <alignment wrapText="1"/>
    </xf>
    <xf numFmtId="3" fontId="12" fillId="3" borderId="9" xfId="0" applyFont="1" applyFill="1" applyBorder="1" applyAlignment="1">
      <alignment horizontal="center" vertical="center" wrapText="1"/>
    </xf>
    <xf numFmtId="3" fontId="12" fillId="3" borderId="1" xfId="0" applyFont="1" applyFill="1" applyBorder="1" applyAlignment="1">
      <alignment vertical="top" wrapText="1"/>
    </xf>
    <xf numFmtId="3" fontId="0" fillId="0" borderId="0" xfId="0" applyBorder="1" applyAlignment="1">
      <alignment wrapText="1"/>
    </xf>
    <xf numFmtId="3" fontId="0" fillId="0" borderId="1" xfId="0" applyNumberFormat="1" applyFill="1" applyBorder="1">
      <alignment horizontal="left" vertical="center" wrapText="1"/>
    </xf>
    <xf numFmtId="3" fontId="0" fillId="0" borderId="5" xfId="0" applyFill="1" applyBorder="1">
      <alignment horizontal="left" vertical="center" wrapText="1"/>
    </xf>
    <xf numFmtId="3" fontId="0" fillId="0" borderId="5" xfId="0" applyNumberFormat="1" applyFill="1" applyBorder="1">
      <alignment horizontal="left" vertical="center" wrapText="1"/>
    </xf>
    <xf numFmtId="3" fontId="2" fillId="0" borderId="1" xfId="0" applyFont="1" applyBorder="1" applyAlignment="1">
      <alignment horizontal="left"/>
    </xf>
    <xf numFmtId="3" fontId="0" fillId="0" borderId="8" xfId="0" applyBorder="1" applyAlignment="1">
      <alignment wrapText="1"/>
    </xf>
    <xf numFmtId="3" fontId="14" fillId="0" borderId="1" xfId="0" applyFont="1" applyBorder="1">
      <alignment horizontal="left" vertical="center" wrapText="1"/>
    </xf>
    <xf numFmtId="3" fontId="2" fillId="0" borderId="1" xfId="0" applyFont="1" applyFill="1" applyBorder="1" applyAlignment="1">
      <alignment horizontal="center"/>
    </xf>
    <xf numFmtId="3" fontId="1" fillId="0" borderId="1" xfId="0" applyFont="1" applyFill="1" applyBorder="1">
      <alignment horizontal="left" vertical="center" wrapText="1"/>
    </xf>
    <xf numFmtId="3" fontId="20" fillId="0" borderId="0" xfId="0" applyFont="1">
      <alignment horizontal="left" vertical="center" wrapText="1"/>
    </xf>
    <xf numFmtId="2" fontId="0" fillId="0" borderId="0" xfId="0" applyNumberFormat="1" applyBorder="1">
      <alignment horizontal="left" vertical="center" wrapText="1"/>
    </xf>
    <xf numFmtId="2" fontId="0" fillId="0" borderId="10" xfId="0" applyNumberFormat="1" applyFill="1" applyBorder="1" applyAlignment="1">
      <alignment horizontal="center"/>
    </xf>
    <xf numFmtId="3" fontId="1" fillId="7" borderId="0" xfId="0" applyFont="1" applyFill="1" applyAlignment="1">
      <alignment horizontal="center"/>
    </xf>
    <xf numFmtId="20" fontId="1" fillId="0" borderId="13" xfId="0" applyNumberFormat="1" applyFont="1" applyBorder="1" applyAlignment="1"/>
    <xf numFmtId="178" fontId="2" fillId="7" borderId="1" xfId="0" applyNumberFormat="1" applyFont="1" applyFill="1" applyBorder="1" applyAlignment="1">
      <alignment horizontal="right"/>
    </xf>
    <xf numFmtId="3" fontId="1" fillId="0" borderId="0" xfId="0" applyFont="1" applyBorder="1">
      <alignment horizontal="left" vertical="center" wrapText="1"/>
    </xf>
    <xf numFmtId="3" fontId="0" fillId="0" borderId="0" xfId="0" applyAlignment="1">
      <alignment horizontal="left" vertical="top" wrapText="1"/>
    </xf>
    <xf numFmtId="3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>
      <alignment horizontal="left" vertical="center" wrapText="1"/>
    </xf>
    <xf numFmtId="3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2" borderId="0" xfId="0" applyFont="1" applyFill="1" applyAlignment="1">
      <alignment horizontal="center"/>
    </xf>
    <xf numFmtId="3" fontId="0" fillId="0" borderId="0" xfId="0" applyAlignment="1">
      <alignment horizontal="left"/>
    </xf>
    <xf numFmtId="3" fontId="1" fillId="0" borderId="1" xfId="0" applyFont="1" applyBorder="1" applyAlignment="1">
      <alignment horizontal="center"/>
    </xf>
    <xf numFmtId="3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" fillId="2" borderId="1" xfId="0" applyFont="1" applyFill="1" applyBorder="1" applyAlignment="1">
      <alignment horizontal="center"/>
    </xf>
    <xf numFmtId="1" fontId="1" fillId="0" borderId="1" xfId="0" applyNumberFormat="1" applyFont="1" applyFill="1" applyBorder="1">
      <alignment horizontal="left" vertical="center" wrapText="1"/>
    </xf>
    <xf numFmtId="164" fontId="1" fillId="0" borderId="1" xfId="0" applyNumberFormat="1" applyFont="1" applyFill="1" applyBorder="1">
      <alignment horizontal="left" vertical="center" wrapText="1"/>
    </xf>
    <xf numFmtId="1" fontId="1" fillId="0" borderId="0" xfId="0" applyNumberFormat="1" applyFont="1" applyProtection="1">
      <alignment horizontal="left" vertical="center" wrapText="1"/>
    </xf>
    <xf numFmtId="1" fontId="1" fillId="0" borderId="0" xfId="0" applyNumberFormat="1" applyFont="1" applyFill="1" applyProtection="1">
      <alignment horizontal="left" vertical="center" wrapText="1"/>
    </xf>
    <xf numFmtId="3" fontId="1" fillId="0" borderId="0" xfId="0" applyFont="1" applyProtection="1">
      <alignment horizontal="left" vertical="center" wrapText="1"/>
    </xf>
    <xf numFmtId="2" fontId="1" fillId="0" borderId="0" xfId="0" applyNumberFormat="1" applyFont="1">
      <alignment horizontal="left" vertical="center" wrapText="1"/>
    </xf>
    <xf numFmtId="165" fontId="1" fillId="0" borderId="0" xfId="0" applyNumberFormat="1" applyFont="1">
      <alignment horizontal="left" vertical="center" wrapText="1"/>
    </xf>
    <xf numFmtId="171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71" fontId="2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5" fontId="2" fillId="0" borderId="0" xfId="0" applyNumberFormat="1" applyFont="1" applyFill="1">
      <alignment horizontal="left" vertical="center" wrapText="1"/>
    </xf>
    <xf numFmtId="165" fontId="0" fillId="0" borderId="0" xfId="0" applyNumberFormat="1" applyFill="1">
      <alignment horizontal="left" vertical="center" wrapText="1"/>
    </xf>
    <xf numFmtId="3" fontId="12" fillId="3" borderId="12" xfId="0" applyFont="1" applyFill="1" applyBorder="1" applyAlignment="1">
      <alignment horizontal="center" vertical="center" wrapText="1"/>
    </xf>
    <xf numFmtId="3" fontId="12" fillId="3" borderId="2" xfId="0" applyFont="1" applyFill="1" applyBorder="1" applyAlignment="1">
      <alignment horizontal="center" vertical="center" wrapText="1"/>
    </xf>
    <xf numFmtId="3" fontId="1" fillId="7" borderId="0" xfId="0" applyFont="1" applyFill="1">
      <alignment horizontal="left" vertical="center" wrapText="1"/>
    </xf>
    <xf numFmtId="3" fontId="1" fillId="0" borderId="0" xfId="0" applyFont="1" applyFill="1" applyBorder="1">
      <alignment horizontal="left" vertical="center" wrapText="1"/>
    </xf>
    <xf numFmtId="3" fontId="2" fillId="0" borderId="0" xfId="0" applyFont="1" applyFill="1" applyBorder="1" applyAlignment="1"/>
    <xf numFmtId="164" fontId="0" fillId="0" borderId="0" xfId="0" applyNumberFormat="1" applyBorder="1">
      <alignment horizontal="left" vertical="center" wrapText="1"/>
    </xf>
    <xf numFmtId="3" fontId="2" fillId="0" borderId="0" xfId="0" applyFont="1" applyFill="1" applyBorder="1" applyAlignment="1">
      <alignment horizontal="center" wrapText="1"/>
    </xf>
    <xf numFmtId="3" fontId="10" fillId="0" borderId="0" xfId="0" applyFont="1" applyFill="1" applyBorder="1" applyAlignment="1"/>
    <xf numFmtId="165" fontId="12" fillId="0" borderId="0" xfId="0" applyNumberFormat="1" applyFont="1" applyFill="1" applyBorder="1">
      <alignment horizontal="left" vertical="center" wrapText="1"/>
    </xf>
    <xf numFmtId="3" fontId="2" fillId="0" borderId="0" xfId="0" applyNumberFormat="1" applyFont="1" applyFill="1" applyBorder="1">
      <alignment horizontal="left" vertical="center" wrapText="1"/>
    </xf>
    <xf numFmtId="165" fontId="12" fillId="0" borderId="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center"/>
    </xf>
    <xf numFmtId="3" fontId="20" fillId="0" borderId="10" xfId="0" applyFont="1" applyFill="1" applyBorder="1">
      <alignment horizontal="left" vertical="center" wrapText="1"/>
    </xf>
    <xf numFmtId="3" fontId="23" fillId="0" borderId="1" xfId="0" applyFont="1" applyBorder="1">
      <alignment horizontal="left" vertical="center" wrapText="1"/>
    </xf>
    <xf numFmtId="3" fontId="1" fillId="9" borderId="1" xfId="0" applyFont="1" applyFill="1" applyBorder="1" applyAlignment="1">
      <alignment horizontal="left" vertical="top" wrapText="1"/>
    </xf>
    <xf numFmtId="3" fontId="1" fillId="9" borderId="1" xfId="0" applyFont="1" applyFill="1" applyBorder="1">
      <alignment horizontal="left" vertical="center" wrapText="1"/>
    </xf>
    <xf numFmtId="3" fontId="1" fillId="0" borderId="1" xfId="0" applyFont="1" applyBorder="1" applyAlignment="1">
      <alignment horizontal="center"/>
    </xf>
    <xf numFmtId="3" fontId="25" fillId="0" borderId="0" xfId="0" applyFont="1">
      <alignment horizontal="left" vertical="center" wrapText="1"/>
    </xf>
    <xf numFmtId="14" fontId="1" fillId="0" borderId="0" xfId="0" applyNumberFormat="1" applyFont="1" applyAlignment="1">
      <alignment horizontal="right"/>
    </xf>
    <xf numFmtId="3" fontId="1" fillId="0" borderId="7" xfId="0" applyFont="1" applyBorder="1">
      <alignment horizontal="left" vertical="center" wrapText="1"/>
    </xf>
    <xf numFmtId="3" fontId="1" fillId="0" borderId="0" xfId="0" applyFont="1" applyAlignment="1">
      <alignment horizontal="left" vertical="top"/>
    </xf>
    <xf numFmtId="3" fontId="0" fillId="0" borderId="0" xfId="0" applyAlignment="1">
      <alignment horizontal="left" vertical="top"/>
    </xf>
    <xf numFmtId="178" fontId="0" fillId="0" borderId="0" xfId="0" applyNumberFormat="1" applyFont="1">
      <alignment horizontal="left" vertical="center" wrapText="1"/>
    </xf>
    <xf numFmtId="3" fontId="25" fillId="7" borderId="0" xfId="0" applyFont="1" applyFill="1">
      <alignment horizontal="left" vertical="center" wrapText="1"/>
    </xf>
    <xf numFmtId="14" fontId="25" fillId="7" borderId="0" xfId="0" applyNumberFormat="1" applyFont="1" applyFill="1">
      <alignment horizontal="left" vertical="center" wrapText="1"/>
    </xf>
    <xf numFmtId="3" fontId="22" fillId="7" borderId="1" xfId="0" applyFont="1" applyFill="1" applyBorder="1">
      <alignment horizontal="left" vertical="center" wrapText="1"/>
    </xf>
    <xf numFmtId="3" fontId="22" fillId="0" borderId="1" xfId="0" applyFont="1" applyBorder="1" applyAlignment="1">
      <alignment horizontal="center"/>
    </xf>
    <xf numFmtId="20" fontId="25" fillId="0" borderId="1" xfId="0" applyNumberFormat="1" applyFont="1" applyBorder="1">
      <alignment horizontal="left" vertical="center" wrapText="1"/>
    </xf>
    <xf numFmtId="3" fontId="25" fillId="0" borderId="1" xfId="0" applyFont="1" applyFill="1" applyBorder="1">
      <alignment horizontal="left" vertical="center" wrapText="1"/>
    </xf>
    <xf numFmtId="3" fontId="25" fillId="0" borderId="1" xfId="0" applyFont="1" applyBorder="1">
      <alignment horizontal="left" vertical="center" wrapText="1"/>
    </xf>
    <xf numFmtId="3" fontId="25" fillId="0" borderId="0" xfId="0" applyFont="1" applyBorder="1">
      <alignment horizontal="left" vertical="center" wrapText="1"/>
    </xf>
    <xf numFmtId="3" fontId="25" fillId="0" borderId="1" xfId="0" applyFont="1" applyBorder="1" applyAlignment="1">
      <alignment horizontal="center" vertical="center"/>
    </xf>
    <xf numFmtId="3" fontId="22" fillId="7" borderId="10" xfId="0" applyFont="1" applyFill="1" applyBorder="1" applyAlignment="1">
      <alignment horizontal="center"/>
    </xf>
    <xf numFmtId="172" fontId="25" fillId="7" borderId="0" xfId="0" applyNumberFormat="1" applyFont="1" applyFill="1">
      <alignment horizontal="left" vertical="center" wrapText="1"/>
    </xf>
    <xf numFmtId="3" fontId="25" fillId="7" borderId="0" xfId="0" applyFont="1" applyFill="1" applyBorder="1" applyAlignment="1">
      <alignment horizontal="left"/>
    </xf>
    <xf numFmtId="3" fontId="22" fillId="7" borderId="1" xfId="0" applyFont="1" applyFill="1" applyBorder="1" applyAlignment="1">
      <alignment horizontal="center"/>
    </xf>
    <xf numFmtId="3" fontId="25" fillId="0" borderId="0" xfId="0" applyFont="1" applyAlignment="1">
      <alignment horizontal="left"/>
    </xf>
    <xf numFmtId="178" fontId="25" fillId="0" borderId="0" xfId="0" applyNumberFormat="1" applyFont="1" applyFill="1" applyBorder="1" applyAlignment="1">
      <alignment horizontal="left"/>
    </xf>
    <xf numFmtId="178" fontId="27" fillId="0" borderId="0" xfId="3" applyFont="1" applyFill="1" applyBorder="1" applyAlignment="1">
      <alignment horizontal="left"/>
    </xf>
    <xf numFmtId="178" fontId="25" fillId="0" borderId="1" xfId="0" applyNumberFormat="1" applyFont="1" applyFill="1" applyBorder="1" applyAlignment="1">
      <alignment horizontal="left"/>
    </xf>
    <xf numFmtId="178" fontId="27" fillId="0" borderId="1" xfId="3" applyFont="1" applyFill="1" applyBorder="1" applyAlignment="1">
      <alignment horizontal="left"/>
    </xf>
    <xf numFmtId="3" fontId="25" fillId="0" borderId="0" xfId="0" applyFont="1" applyAlignment="1">
      <alignment horizontal="left" vertical="top"/>
    </xf>
    <xf numFmtId="14" fontId="25" fillId="0" borderId="0" xfId="0" applyNumberFormat="1" applyFont="1">
      <alignment horizontal="left" vertical="center" wrapText="1"/>
    </xf>
    <xf numFmtId="3" fontId="1" fillId="7" borderId="1" xfId="0" applyFont="1" applyFill="1" applyBorder="1" applyAlignment="1">
      <alignment horizontal="center" wrapText="1"/>
    </xf>
    <xf numFmtId="3" fontId="1" fillId="7" borderId="10" xfId="0" applyFont="1" applyFill="1" applyBorder="1">
      <alignment horizontal="left" vertical="center" wrapText="1"/>
    </xf>
    <xf numFmtId="165" fontId="25" fillId="0" borderId="0" xfId="0" applyNumberFormat="1" applyFont="1">
      <alignment horizontal="left" vertical="center" wrapText="1"/>
    </xf>
    <xf numFmtId="2" fontId="25" fillId="0" borderId="0" xfId="0" applyNumberFormat="1" applyFont="1">
      <alignment horizontal="left" vertical="center" wrapText="1"/>
    </xf>
    <xf numFmtId="3" fontId="23" fillId="0" borderId="0" xfId="0" applyFont="1">
      <alignment horizontal="left" vertical="center" wrapText="1"/>
    </xf>
    <xf numFmtId="3" fontId="2" fillId="0" borderId="1" xfId="0" applyFont="1" applyBorder="1" applyAlignment="1">
      <alignment horizontal="center"/>
    </xf>
    <xf numFmtId="3" fontId="2" fillId="0" borderId="1" xfId="0" applyFont="1" applyFill="1" applyBorder="1">
      <alignment horizontal="left" vertical="center" wrapText="1"/>
    </xf>
    <xf numFmtId="3" fontId="0" fillId="0" borderId="0" xfId="0" applyAlignment="1">
      <alignment horizontal="left"/>
    </xf>
    <xf numFmtId="3" fontId="0" fillId="0" borderId="2" xfId="0" applyNumberFormat="1" applyFill="1" applyBorder="1">
      <alignment horizontal="left" vertical="center" wrapText="1"/>
    </xf>
    <xf numFmtId="3" fontId="2" fillId="0" borderId="1" xfId="0" applyFont="1" applyBorder="1" applyAlignment="1">
      <alignment horizontal="center"/>
    </xf>
    <xf numFmtId="3" fontId="2" fillId="7" borderId="1" xfId="0" applyFont="1" applyFill="1" applyBorder="1" applyAlignment="1">
      <alignment horizontal="center"/>
    </xf>
    <xf numFmtId="14" fontId="1" fillId="0" borderId="0" xfId="0" applyNumberFormat="1" applyFont="1">
      <alignment horizontal="left" vertical="center" wrapText="1"/>
    </xf>
    <xf numFmtId="14" fontId="25" fillId="0" borderId="1" xfId="0" applyNumberFormat="1" applyFont="1" applyBorder="1">
      <alignment horizontal="left" vertical="center" wrapText="1"/>
    </xf>
    <xf numFmtId="3" fontId="1" fillId="6" borderId="1" xfId="0" applyFont="1" applyFill="1" applyBorder="1">
      <alignment horizontal="left" vertical="center" wrapText="1"/>
    </xf>
    <xf numFmtId="3" fontId="22" fillId="0" borderId="1" xfId="0" applyFont="1" applyBorder="1">
      <alignment horizontal="left" vertical="center" wrapText="1"/>
    </xf>
    <xf numFmtId="3" fontId="22" fillId="0" borderId="1" xfId="0" applyFont="1" applyBorder="1" applyAlignment="1">
      <alignment wrapText="1"/>
    </xf>
    <xf numFmtId="3" fontId="25" fillId="7" borderId="1" xfId="0" applyFont="1" applyFill="1" applyBorder="1">
      <alignment horizontal="left" vertical="center" wrapText="1"/>
    </xf>
    <xf numFmtId="3" fontId="1" fillId="0" borderId="13" xfId="0" applyFont="1" applyBorder="1">
      <alignment horizontal="left" vertical="center" wrapText="1"/>
    </xf>
    <xf numFmtId="20" fontId="1" fillId="0" borderId="1" xfId="0" applyNumberFormat="1" applyFont="1" applyBorder="1" applyAlignment="1">
      <alignment horizontal="left"/>
    </xf>
    <xf numFmtId="3" fontId="1" fillId="0" borderId="1" xfId="0" applyFont="1" applyBorder="1" applyAlignment="1">
      <alignment horizontal="left"/>
    </xf>
    <xf numFmtId="3" fontId="28" fillId="0" borderId="1" xfId="0" applyFont="1" applyBorder="1" applyAlignment="1">
      <alignment horizontal="left"/>
    </xf>
    <xf numFmtId="3" fontId="1" fillId="0" borderId="1" xfId="0" applyFont="1" applyBorder="1" applyAlignment="1">
      <alignment vertical="top" wrapText="1"/>
    </xf>
    <xf numFmtId="3" fontId="2" fillId="7" borderId="2" xfId="0" applyFont="1" applyFill="1" applyBorder="1">
      <alignment horizontal="left" vertical="center" wrapText="1"/>
    </xf>
    <xf numFmtId="3" fontId="2" fillId="7" borderId="2" xfId="0" applyFont="1" applyFill="1" applyBorder="1" applyAlignment="1">
      <alignment wrapText="1"/>
    </xf>
    <xf numFmtId="2" fontId="1" fillId="0" borderId="1" xfId="0" applyNumberFormat="1" applyFont="1" applyBorder="1">
      <alignment horizontal="left" vertical="center" wrapText="1"/>
    </xf>
    <xf numFmtId="3" fontId="0" fillId="0" borderId="0" xfId="0" applyAlignment="1">
      <alignment wrapText="1"/>
    </xf>
    <xf numFmtId="164" fontId="0" fillId="17" borderId="1" xfId="0" applyNumberForma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2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/>
    </xf>
    <xf numFmtId="0" fontId="23" fillId="0" borderId="0" xfId="6" applyBorder="1">
      <alignment horizontal="left" vertical="center" wrapText="1"/>
    </xf>
    <xf numFmtId="3" fontId="6" fillId="0" borderId="0" xfId="0" applyFont="1" applyFill="1">
      <alignment horizontal="left" vertical="center" wrapText="1"/>
    </xf>
    <xf numFmtId="3" fontId="6" fillId="0" borderId="0" xfId="0" applyFont="1" applyFill="1" applyBorder="1">
      <alignment horizontal="left" vertical="center" wrapText="1"/>
    </xf>
    <xf numFmtId="164" fontId="23" fillId="0" borderId="1" xfId="0" applyNumberFormat="1" applyFont="1" applyBorder="1" applyAlignment="1">
      <alignment horizontal="center"/>
    </xf>
    <xf numFmtId="3" fontId="2" fillId="17" borderId="1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3" fontId="14" fillId="0" borderId="0" xfId="0" applyFont="1">
      <alignment horizontal="left" vertical="center" wrapText="1"/>
    </xf>
    <xf numFmtId="3" fontId="14" fillId="0" borderId="1" xfId="0" applyFont="1" applyBorder="1" applyAlignment="1">
      <alignment vertical="center"/>
    </xf>
    <xf numFmtId="3" fontId="24" fillId="0" borderId="1" xfId="0" applyFont="1" applyBorder="1" applyAlignment="1">
      <alignment horizontal="center"/>
    </xf>
    <xf numFmtId="3" fontId="23" fillId="0" borderId="0" xfId="0" applyFont="1" applyBorder="1">
      <alignment horizontal="left" vertical="center" wrapText="1"/>
    </xf>
    <xf numFmtId="14" fontId="0" fillId="0" borderId="0" xfId="0" applyNumberFormat="1" applyBorder="1">
      <alignment horizontal="left" vertical="center" wrapText="1"/>
    </xf>
    <xf numFmtId="20" fontId="0" fillId="0" borderId="0" xfId="0" applyNumberFormat="1" applyBorder="1">
      <alignment horizontal="left" vertical="center" wrapText="1"/>
    </xf>
    <xf numFmtId="3" fontId="14" fillId="0" borderId="0" xfId="0" applyFont="1" applyFill="1" applyBorder="1" applyAlignment="1">
      <alignment vertical="top" wrapText="1"/>
    </xf>
    <xf numFmtId="3" fontId="2" fillId="0" borderId="1" xfId="0" applyFont="1" applyBorder="1" applyAlignment="1">
      <alignment horizontal="center"/>
    </xf>
    <xf numFmtId="178" fontId="2" fillId="7" borderId="7" xfId="0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3" fontId="2" fillId="2" borderId="0" xfId="0" applyFont="1" applyFill="1" applyAlignment="1">
      <alignment horizontal="center"/>
    </xf>
    <xf numFmtId="3" fontId="0" fillId="0" borderId="0" xfId="0" applyAlignment="1">
      <alignment horizontal="left"/>
    </xf>
    <xf numFmtId="3" fontId="2" fillId="0" borderId="1" xfId="0" applyFont="1" applyBorder="1" applyAlignment="1">
      <alignment horizontal="center"/>
    </xf>
    <xf numFmtId="2" fontId="2" fillId="0" borderId="0" xfId="0" applyNumberFormat="1" applyFont="1">
      <alignment horizontal="left" vertical="center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1" xfId="0" applyNumberFormat="1" applyFont="1" applyBorder="1">
      <alignment horizontal="left" vertical="center" wrapText="1"/>
    </xf>
    <xf numFmtId="164" fontId="13" fillId="2" borderId="0" xfId="0" applyNumberFormat="1" applyFont="1" applyFill="1" applyBorder="1" applyAlignment="1">
      <alignment horizontal="left" vertical="top" wrapText="1"/>
    </xf>
    <xf numFmtId="178" fontId="1" fillId="0" borderId="0" xfId="0" applyNumberFormat="1" applyFont="1" applyFill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1" fontId="13" fillId="0" borderId="0" xfId="0" applyNumberFormat="1" applyFont="1" applyFill="1" applyBorder="1">
      <alignment horizontal="left" vertical="center" wrapText="1"/>
    </xf>
    <xf numFmtId="165" fontId="13" fillId="2" borderId="7" xfId="0" applyNumberFormat="1" applyFont="1" applyFill="1" applyBorder="1" applyAlignment="1">
      <alignment horizontal="left" vertical="top" wrapText="1"/>
    </xf>
    <xf numFmtId="164" fontId="13" fillId="2" borderId="7" xfId="0" applyNumberFormat="1" applyFont="1" applyFill="1" applyBorder="1" applyAlignment="1">
      <alignment horizontal="left" vertical="top" wrapText="1"/>
    </xf>
    <xf numFmtId="178" fontId="2" fillId="0" borderId="1" xfId="0" applyNumberFormat="1" applyFont="1" applyFill="1" applyBorder="1" applyAlignment="1">
      <alignment horizontal="center"/>
    </xf>
    <xf numFmtId="14" fontId="30" fillId="0" borderId="0" xfId="0" applyNumberFormat="1" applyFont="1">
      <alignment horizontal="left" vertical="center" wrapText="1"/>
    </xf>
    <xf numFmtId="3" fontId="14" fillId="0" borderId="1" xfId="0" applyFont="1" applyBorder="1" applyAlignment="1">
      <alignment horizontal="left"/>
    </xf>
    <xf numFmtId="3" fontId="14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6" fillId="0" borderId="1" xfId="0" applyFont="1" applyFill="1" applyBorder="1" applyAlignment="1">
      <alignment wrapText="1"/>
    </xf>
    <xf numFmtId="1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5" fontId="24" fillId="0" borderId="0" xfId="0" applyNumberFormat="1" applyFont="1">
      <alignment horizontal="left" vertical="center" wrapText="1"/>
    </xf>
    <xf numFmtId="165" fontId="24" fillId="0" borderId="1" xfId="0" applyNumberFormat="1" applyFont="1" applyBorder="1" applyAlignment="1">
      <alignment horizontal="right"/>
    </xf>
    <xf numFmtId="15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>
      <alignment horizontal="left" vertical="center" wrapText="1"/>
    </xf>
    <xf numFmtId="165" fontId="24" fillId="2" borderId="1" xfId="0" applyNumberFormat="1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3" fontId="24" fillId="2" borderId="1" xfId="0" applyFont="1" applyFill="1" applyBorder="1">
      <alignment horizontal="left" vertical="center" wrapText="1"/>
    </xf>
    <xf numFmtId="3" fontId="24" fillId="2" borderId="1" xfId="0" applyFont="1" applyFill="1" applyBorder="1" applyAlignment="1">
      <alignment horizontal="center"/>
    </xf>
    <xf numFmtId="3" fontId="24" fillId="2" borderId="1" xfId="0" applyFont="1" applyFill="1" applyBorder="1" applyAlignment="1">
      <alignment horizontal="right"/>
    </xf>
    <xf numFmtId="3" fontId="24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left" vertical="top" wrapText="1"/>
    </xf>
    <xf numFmtId="3" fontId="24" fillId="0" borderId="1" xfId="0" applyNumberFormat="1" applyFont="1" applyFill="1" applyBorder="1" applyAlignment="1">
      <alignment horizontal="center"/>
    </xf>
    <xf numFmtId="3" fontId="24" fillId="0" borderId="1" xfId="0" applyFont="1" applyBorder="1">
      <alignment horizontal="left" vertical="center" wrapText="1"/>
    </xf>
    <xf numFmtId="164" fontId="24" fillId="2" borderId="2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3" fontId="24" fillId="2" borderId="1" xfId="0" applyFont="1" applyFill="1" applyBorder="1" applyAlignment="1">
      <alignment wrapText="1"/>
    </xf>
    <xf numFmtId="15" fontId="24" fillId="2" borderId="1" xfId="0" applyNumberFormat="1" applyFont="1" applyFill="1" applyBorder="1">
      <alignment horizontal="left" vertical="center" wrapText="1"/>
    </xf>
    <xf numFmtId="164" fontId="24" fillId="0" borderId="4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23" fillId="0" borderId="1" xfId="0" applyFont="1" applyBorder="1" applyAlignment="1">
      <alignment horizontal="left"/>
    </xf>
    <xf numFmtId="165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5" fontId="24" fillId="0" borderId="0" xfId="0" applyNumberFormat="1" applyFont="1" applyFill="1" applyBorder="1" applyAlignment="1">
      <alignment horizontal="left" vertical="top" wrapText="1"/>
    </xf>
    <xf numFmtId="3" fontId="24" fillId="0" borderId="6" xfId="0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center"/>
    </xf>
    <xf numFmtId="164" fontId="24" fillId="0" borderId="4" xfId="0" applyNumberFormat="1" applyFont="1" applyFill="1" applyBorder="1" applyAlignment="1">
      <alignment horizontal="center"/>
    </xf>
    <xf numFmtId="0" fontId="23" fillId="0" borderId="0" xfId="6" applyFill="1" applyBorder="1">
      <alignment horizontal="left" vertical="center" wrapText="1"/>
    </xf>
    <xf numFmtId="3" fontId="0" fillId="0" borderId="0" xfId="0" applyNumberFormat="1" applyFill="1" applyBorder="1">
      <alignment horizontal="left" vertical="center" wrapText="1"/>
    </xf>
    <xf numFmtId="3" fontId="2" fillId="0" borderId="1" xfId="0" applyFont="1" applyBorder="1" applyAlignment="1">
      <alignment horizontal="center"/>
    </xf>
    <xf numFmtId="3" fontId="22" fillId="16" borderId="7" xfId="0" applyFont="1" applyFill="1" applyBorder="1" applyAlignment="1"/>
    <xf numFmtId="3" fontId="22" fillId="16" borderId="13" xfId="0" applyFont="1" applyFill="1" applyBorder="1" applyAlignment="1"/>
    <xf numFmtId="3" fontId="22" fillId="16" borderId="5" xfId="0" applyFont="1" applyFill="1" applyBorder="1" applyAlignment="1"/>
    <xf numFmtId="3" fontId="9" fillId="0" borderId="8" xfId="0" applyFont="1" applyBorder="1" applyAlignment="1">
      <alignment vertical="top" wrapText="1"/>
    </xf>
    <xf numFmtId="3" fontId="2" fillId="2" borderId="1" xfId="0" applyFont="1" applyFill="1" applyBorder="1" applyAlignment="1">
      <alignment horizontal="center"/>
    </xf>
    <xf numFmtId="3" fontId="2" fillId="2" borderId="1" xfId="0" applyFont="1" applyFill="1" applyBorder="1" applyAlignment="1">
      <alignment horizontal="center" wrapText="1"/>
    </xf>
    <xf numFmtId="3" fontId="25" fillId="7" borderId="1" xfId="0" applyFont="1" applyFill="1" applyBorder="1" applyAlignment="1">
      <alignment vertical="top"/>
    </xf>
    <xf numFmtId="14" fontId="22" fillId="7" borderId="1" xfId="0" applyNumberFormat="1" applyFont="1" applyFill="1" applyBorder="1" applyAlignment="1">
      <alignment horizontal="center" vertical="center"/>
    </xf>
    <xf numFmtId="14" fontId="22" fillId="7" borderId="1" xfId="0" applyNumberFormat="1" applyFont="1" applyFill="1" applyBorder="1" applyAlignment="1">
      <alignment vertical="center"/>
    </xf>
    <xf numFmtId="3" fontId="25" fillId="0" borderId="1" xfId="0" applyFont="1" applyBorder="1" applyAlignment="1">
      <alignment horizontal="left"/>
    </xf>
    <xf numFmtId="2" fontId="25" fillId="0" borderId="1" xfId="0" applyNumberFormat="1" applyFont="1" applyBorder="1" applyAlignment="1">
      <alignment horizontal="center"/>
    </xf>
    <xf numFmtId="3" fontId="6" fillId="7" borderId="1" xfId="0" applyFont="1" applyFill="1" applyBorder="1">
      <alignment horizontal="left" vertical="center" wrapText="1"/>
    </xf>
    <xf numFmtId="15" fontId="23" fillId="6" borderId="1" xfId="0" applyNumberFormat="1" applyFont="1" applyFill="1" applyBorder="1">
      <alignment horizontal="left" vertical="center" wrapText="1"/>
    </xf>
    <xf numFmtId="178" fontId="25" fillId="0" borderId="1" xfId="0" applyNumberFormat="1" applyFont="1" applyBorder="1">
      <alignment horizontal="left" vertical="center" wrapText="1"/>
    </xf>
    <xf numFmtId="178" fontId="22" fillId="0" borderId="1" xfId="0" applyNumberFormat="1" applyFont="1" applyBorder="1">
      <alignment horizontal="left" vertical="center" wrapText="1"/>
    </xf>
    <xf numFmtId="178" fontId="22" fillId="0" borderId="1" xfId="0" applyNumberFormat="1" applyFont="1" applyBorder="1" applyAlignment="1">
      <alignment wrapText="1"/>
    </xf>
    <xf numFmtId="178" fontId="0" fillId="0" borderId="1" xfId="0" applyNumberFormat="1" applyBorder="1">
      <alignment horizontal="left" vertical="center" wrapText="1"/>
    </xf>
    <xf numFmtId="178" fontId="25" fillId="0" borderId="1" xfId="0" applyNumberFormat="1" applyFont="1" applyFill="1" applyBorder="1">
      <alignment horizontal="left" vertical="center" wrapText="1"/>
    </xf>
    <xf numFmtId="178" fontId="23" fillId="0" borderId="1" xfId="0" applyNumberFormat="1" applyFont="1" applyBorder="1" applyAlignment="1">
      <alignment horizontal="center"/>
    </xf>
    <xf numFmtId="15" fontId="23" fillId="9" borderId="1" xfId="0" applyNumberFormat="1" applyFont="1" applyFill="1" applyBorder="1">
      <alignment horizontal="left" vertical="center" wrapText="1"/>
    </xf>
    <xf numFmtId="3" fontId="24" fillId="9" borderId="1" xfId="0" applyFont="1" applyFill="1" applyBorder="1" applyAlignment="1"/>
    <xf numFmtId="3" fontId="24" fillId="9" borderId="13" xfId="0" applyFont="1" applyFill="1" applyBorder="1" applyAlignment="1"/>
    <xf numFmtId="3" fontId="24" fillId="9" borderId="5" xfId="0" applyFont="1" applyFill="1" applyBorder="1" applyAlignment="1"/>
    <xf numFmtId="1" fontId="25" fillId="0" borderId="1" xfId="0" applyNumberFormat="1" applyFont="1" applyBorder="1">
      <alignment horizontal="left" vertical="center" wrapText="1"/>
    </xf>
    <xf numFmtId="2" fontId="16" fillId="0" borderId="1" xfId="0" applyNumberFormat="1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 wrapText="1"/>
    </xf>
    <xf numFmtId="3" fontId="2" fillId="7" borderId="1" xfId="0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left"/>
    </xf>
    <xf numFmtId="178" fontId="1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/>
    </xf>
    <xf numFmtId="0" fontId="23" fillId="0" borderId="1" xfId="6">
      <alignment horizontal="left" vertical="center" wrapText="1"/>
    </xf>
    <xf numFmtId="178" fontId="1" fillId="0" borderId="0" xfId="0" applyNumberFormat="1" applyFont="1" applyAlignment="1"/>
    <xf numFmtId="178" fontId="17" fillId="0" borderId="0" xfId="3" applyNumberFormat="1" applyFont="1" applyFill="1" applyBorder="1" applyAlignment="1">
      <alignment horizontal="left"/>
    </xf>
    <xf numFmtId="164" fontId="1" fillId="0" borderId="0" xfId="0" applyNumberFormat="1" applyFont="1" applyAlignment="1"/>
    <xf numFmtId="178" fontId="1" fillId="0" borderId="1" xfId="0" applyNumberFormat="1" applyFont="1" applyBorder="1" applyAlignment="1"/>
    <xf numFmtId="178" fontId="1" fillId="7" borderId="0" xfId="0" applyNumberFormat="1" applyFont="1" applyFill="1" applyAlignment="1"/>
    <xf numFmtId="3" fontId="1" fillId="0" borderId="7" xfId="0" applyFont="1" applyBorder="1" applyAlignment="1">
      <alignment horizontal="left" vertical="center"/>
    </xf>
    <xf numFmtId="3" fontId="0" fillId="0" borderId="7" xfId="0" applyBorder="1" applyAlignment="1">
      <alignment horizontal="left" vertical="center"/>
    </xf>
    <xf numFmtId="178" fontId="17" fillId="0" borderId="7" xfId="3" applyFont="1" applyFill="1" applyBorder="1" applyAlignment="1">
      <alignment horizontal="left"/>
    </xf>
    <xf numFmtId="3" fontId="1" fillId="7" borderId="7" xfId="0" applyFont="1" applyFill="1" applyBorder="1" applyAlignment="1">
      <alignment horizontal="left" vertical="center"/>
    </xf>
    <xf numFmtId="3" fontId="0" fillId="7" borderId="7" xfId="0" applyFill="1" applyBorder="1" applyAlignment="1">
      <alignment horizontal="left" vertical="center"/>
    </xf>
    <xf numFmtId="178" fontId="17" fillId="7" borderId="7" xfId="3" applyFont="1" applyFill="1" applyBorder="1" applyAlignment="1">
      <alignment horizontal="left"/>
    </xf>
    <xf numFmtId="178" fontId="3" fillId="0" borderId="7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left"/>
    </xf>
    <xf numFmtId="178" fontId="2" fillId="7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left"/>
    </xf>
    <xf numFmtId="3" fontId="1" fillId="7" borderId="1" xfId="0" applyFont="1" applyFill="1" applyBorder="1" applyAlignment="1">
      <alignment horizontal="left"/>
    </xf>
    <xf numFmtId="3" fontId="2" fillId="7" borderId="1" xfId="0" applyNumberFormat="1" applyFont="1" applyFill="1" applyBorder="1" applyAlignment="1">
      <alignment horizontal="center" vertical="center"/>
    </xf>
    <xf numFmtId="3" fontId="23" fillId="0" borderId="1" xfId="0" applyFont="1" applyBorder="1" applyAlignment="1">
      <alignment horizontal="center" vertical="center"/>
    </xf>
    <xf numFmtId="3" fontId="23" fillId="0" borderId="1" xfId="0" applyFont="1" applyBorder="1" applyAlignment="1">
      <alignment horizontal="left" vertical="center"/>
    </xf>
    <xf numFmtId="178" fontId="14" fillId="0" borderId="1" xfId="0" applyNumberFormat="1" applyFont="1" applyBorder="1" applyAlignment="1">
      <alignment horizontal="left"/>
    </xf>
    <xf numFmtId="178" fontId="14" fillId="0" borderId="1" xfId="0" applyNumberFormat="1" applyFont="1" applyFill="1" applyBorder="1" applyAlignment="1">
      <alignment horizontal="left"/>
    </xf>
    <xf numFmtId="3" fontId="14" fillId="0" borderId="1" xfId="0" applyFont="1" applyBorder="1" applyAlignment="1">
      <alignment horizontal="left" vertical="center"/>
    </xf>
    <xf numFmtId="3" fontId="14" fillId="0" borderId="5" xfId="0" applyFont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/>
    </xf>
    <xf numFmtId="14" fontId="14" fillId="0" borderId="0" xfId="0" applyNumberFormat="1" applyFont="1">
      <alignment horizontal="left" vertical="center" wrapText="1"/>
    </xf>
    <xf numFmtId="3" fontId="31" fillId="0" borderId="16" xfId="0" applyFont="1" applyBorder="1" applyAlignment="1">
      <alignment horizontal="center" vertical="center"/>
    </xf>
    <xf numFmtId="3" fontId="32" fillId="0" borderId="18" xfId="0" applyFont="1" applyBorder="1" applyAlignment="1">
      <alignment horizontal="center" vertical="center" wrapText="1"/>
    </xf>
    <xf numFmtId="3" fontId="32" fillId="0" borderId="19" xfId="0" applyFont="1" applyBorder="1" applyAlignment="1">
      <alignment horizontal="center" vertical="center" wrapText="1"/>
    </xf>
    <xf numFmtId="3" fontId="32" fillId="0" borderId="16" xfId="0" applyFont="1" applyBorder="1" applyAlignment="1">
      <alignment horizontal="center" vertical="center" wrapText="1"/>
    </xf>
    <xf numFmtId="3" fontId="31" fillId="0" borderId="16" xfId="0" applyFont="1" applyBorder="1" applyAlignment="1">
      <alignment horizontal="center" vertical="center" wrapText="1"/>
    </xf>
    <xf numFmtId="3" fontId="0" fillId="0" borderId="20" xfId="0" applyBorder="1">
      <alignment horizontal="left" vertical="center" wrapText="1"/>
    </xf>
    <xf numFmtId="3" fontId="23" fillId="0" borderId="1" xfId="0" applyFont="1" applyBorder="1" applyAlignment="1">
      <alignment vertical="top" wrapText="1"/>
    </xf>
    <xf numFmtId="3" fontId="23" fillId="0" borderId="7" xfId="0" applyFont="1" applyBorder="1" applyAlignment="1">
      <alignment vertical="top" wrapText="1"/>
    </xf>
    <xf numFmtId="3" fontId="23" fillId="0" borderId="1" xfId="0" applyFont="1" applyFill="1" applyBorder="1" applyAlignment="1">
      <alignment vertical="top" wrapText="1"/>
    </xf>
    <xf numFmtId="14" fontId="23" fillId="7" borderId="1" xfId="0" applyNumberFormat="1" applyFont="1" applyFill="1" applyBorder="1" applyAlignment="1">
      <alignment vertical="top" wrapText="1"/>
    </xf>
    <xf numFmtId="9" fontId="23" fillId="0" borderId="1" xfId="5" applyFont="1" applyFill="1" applyBorder="1" applyAlignment="1">
      <alignment horizontal="center" vertical="center"/>
    </xf>
    <xf numFmtId="9" fontId="23" fillId="0" borderId="1" xfId="5" applyFont="1" applyBorder="1" applyAlignment="1">
      <alignment horizontal="center" vertical="center"/>
    </xf>
    <xf numFmtId="20" fontId="23" fillId="0" borderId="7" xfId="0" applyNumberFormat="1" applyFont="1" applyBorder="1" applyAlignment="1">
      <alignment horizontal="center" vertical="top" wrapText="1"/>
    </xf>
    <xf numFmtId="20" fontId="23" fillId="0" borderId="1" xfId="0" applyNumberFormat="1" applyFont="1" applyBorder="1" applyAlignment="1">
      <alignment horizontal="center" vertical="top" wrapText="1"/>
    </xf>
    <xf numFmtId="20" fontId="23" fillId="0" borderId="1" xfId="0" applyNumberFormat="1" applyFont="1" applyBorder="1" applyAlignment="1">
      <alignment horizontal="center" vertical="center"/>
    </xf>
    <xf numFmtId="2" fontId="23" fillId="0" borderId="7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165" fontId="23" fillId="0" borderId="7" xfId="0" applyNumberFormat="1" applyFont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165" fontId="23" fillId="0" borderId="1" xfId="0" applyNumberFormat="1" applyFont="1" applyFill="1" applyBorder="1" applyAlignment="1">
      <alignment horizontal="center" vertical="top" wrapText="1"/>
    </xf>
    <xf numFmtId="178" fontId="25" fillId="0" borderId="1" xfId="0" applyNumberFormat="1" applyFont="1" applyFill="1" applyBorder="1" applyAlignment="1"/>
    <xf numFmtId="3" fontId="25" fillId="0" borderId="1" xfId="0" applyFont="1" applyBorder="1" applyAlignment="1">
      <alignment vertical="center"/>
    </xf>
    <xf numFmtId="3" fontId="25" fillId="0" borderId="1" xfId="0" applyFont="1" applyFill="1" applyBorder="1" applyAlignment="1">
      <alignment horizontal="left"/>
    </xf>
    <xf numFmtId="3" fontId="25" fillId="0" borderId="1" xfId="0" applyFont="1" applyBorder="1" applyAlignment="1">
      <alignment horizontal="left" vertical="center"/>
    </xf>
    <xf numFmtId="1" fontId="24" fillId="7" borderId="1" xfId="1" applyNumberFormat="1" applyFont="1" applyFill="1" applyBorder="1" applyAlignment="1">
      <alignment horizontal="center"/>
    </xf>
    <xf numFmtId="177" fontId="23" fillId="0" borderId="0" xfId="0" applyNumberFormat="1" applyFont="1" applyFill="1" applyBorder="1">
      <alignment horizontal="left" vertical="center" wrapText="1"/>
    </xf>
    <xf numFmtId="3" fontId="22" fillId="0" borderId="1" xfId="0" applyFont="1" applyFill="1" applyBorder="1" applyAlignment="1">
      <alignment horizontal="left" vertical="center"/>
    </xf>
    <xf numFmtId="3" fontId="22" fillId="7" borderId="1" xfId="0" applyFont="1" applyFill="1" applyBorder="1" applyAlignment="1">
      <alignment horizontal="left" vertical="center"/>
    </xf>
    <xf numFmtId="3" fontId="24" fillId="7" borderId="1" xfId="0" applyFont="1" applyFill="1" applyBorder="1" applyAlignment="1">
      <alignment horizontal="center" vertical="center"/>
    </xf>
    <xf numFmtId="3" fontId="2" fillId="0" borderId="1" xfId="0" applyFont="1" applyBorder="1" applyAlignment="1">
      <alignment horizontal="center"/>
    </xf>
    <xf numFmtId="1" fontId="25" fillId="0" borderId="1" xfId="1" applyNumberFormat="1" applyFont="1" applyBorder="1" applyAlignment="1"/>
    <xf numFmtId="3" fontId="22" fillId="16" borderId="5" xfId="0" applyFont="1" applyFill="1" applyBorder="1" applyAlignment="1">
      <alignment horizontal="center"/>
    </xf>
    <xf numFmtId="3" fontId="25" fillId="0" borderId="14" xfId="0" applyFont="1" applyBorder="1">
      <alignment horizontal="left" vertical="center" wrapText="1"/>
    </xf>
    <xf numFmtId="3" fontId="0" fillId="0" borderId="5" xfId="0" applyBorder="1">
      <alignment horizontal="left" vertical="center" wrapText="1"/>
    </xf>
    <xf numFmtId="178" fontId="22" fillId="16" borderId="1" xfId="0" applyNumberFormat="1" applyFont="1" applyFill="1" applyBorder="1" applyAlignment="1">
      <alignment horizontal="center"/>
    </xf>
    <xf numFmtId="1" fontId="23" fillId="0" borderId="1" xfId="0" applyNumberFormat="1" applyFont="1" applyBorder="1">
      <alignment horizontal="left" vertical="center" wrapText="1"/>
    </xf>
    <xf numFmtId="3" fontId="14" fillId="0" borderId="1" xfId="0" applyFont="1" applyFill="1" applyBorder="1" applyAlignment="1">
      <alignment horizontal="left" vertical="center"/>
    </xf>
    <xf numFmtId="178" fontId="17" fillId="0" borderId="0" xfId="3" applyNumberFormat="1" applyFont="1" applyFill="1" applyBorder="1" applyAlignment="1">
      <alignment horizontal="center" vertical="center"/>
    </xf>
    <xf numFmtId="178" fontId="2" fillId="7" borderId="1" xfId="0" applyNumberFormat="1" applyFont="1" applyFill="1" applyBorder="1">
      <alignment horizontal="left" vertical="center" wrapText="1"/>
    </xf>
    <xf numFmtId="178" fontId="2" fillId="7" borderId="1" xfId="0" applyNumberFormat="1" applyFont="1" applyFill="1" applyBorder="1" applyAlignment="1">
      <alignment horizontal="right"/>
    </xf>
    <xf numFmtId="178" fontId="2" fillId="7" borderId="1" xfId="0" applyNumberFormat="1" applyFont="1" applyFill="1" applyBorder="1" applyAlignment="1">
      <alignment horizontal="left"/>
    </xf>
    <xf numFmtId="3" fontId="33" fillId="0" borderId="0" xfId="0" applyFont="1" applyAlignment="1">
      <alignment horizontal="center" vertical="center"/>
    </xf>
    <xf numFmtId="178" fontId="32" fillId="0" borderId="16" xfId="0" applyNumberFormat="1" applyFont="1" applyBorder="1" applyAlignment="1">
      <alignment horizontal="center" vertical="center" wrapText="1"/>
    </xf>
    <xf numFmtId="3" fontId="0" fillId="11" borderId="0" xfId="0" applyFill="1">
      <alignment horizontal="left" vertical="center" wrapText="1"/>
    </xf>
    <xf numFmtId="164" fontId="1" fillId="0" borderId="1" xfId="0" applyNumberFormat="1" applyFont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3" fontId="32" fillId="0" borderId="18" xfId="0" applyFont="1" applyBorder="1" applyAlignment="1">
      <alignment horizontal="center" vertical="center" wrapText="1"/>
    </xf>
    <xf numFmtId="3" fontId="32" fillId="0" borderId="19" xfId="0" applyFont="1" applyBorder="1" applyAlignment="1">
      <alignment horizontal="center" vertical="center" wrapText="1"/>
    </xf>
    <xf numFmtId="3" fontId="25" fillId="20" borderId="1" xfId="0" applyFont="1" applyFill="1" applyBorder="1">
      <alignment horizontal="left" vertical="center" wrapText="1"/>
    </xf>
    <xf numFmtId="178" fontId="23" fillId="0" borderId="1" xfId="0" applyNumberFormat="1" applyFont="1" applyBorder="1" applyAlignment="1"/>
    <xf numFmtId="3" fontId="29" fillId="9" borderId="7" xfId="0" applyFont="1" applyFill="1" applyBorder="1" applyAlignment="1">
      <alignment horizontal="center"/>
    </xf>
    <xf numFmtId="3" fontId="29" fillId="9" borderId="13" xfId="0" applyFont="1" applyFill="1" applyBorder="1" applyAlignment="1">
      <alignment horizontal="center"/>
    </xf>
    <xf numFmtId="3" fontId="29" fillId="0" borderId="1" xfId="0" applyFont="1" applyBorder="1" applyAlignment="1">
      <alignment horizontal="center"/>
    </xf>
    <xf numFmtId="3" fontId="14" fillId="15" borderId="1" xfId="0" applyFont="1" applyFill="1" applyBorder="1" applyAlignment="1">
      <alignment horizontal="left"/>
    </xf>
    <xf numFmtId="3" fontId="14" fillId="15" borderId="1" xfId="0" applyFont="1" applyFill="1" applyBorder="1" applyAlignment="1">
      <alignment horizontal="left" vertical="center"/>
    </xf>
    <xf numFmtId="178" fontId="23" fillId="15" borderId="1" xfId="0" applyNumberFormat="1" applyFont="1" applyFill="1" applyBorder="1" applyAlignment="1"/>
    <xf numFmtId="3" fontId="14" fillId="21" borderId="1" xfId="0" applyFont="1" applyFill="1" applyBorder="1" applyAlignment="1">
      <alignment horizontal="left" vertical="center"/>
    </xf>
    <xf numFmtId="3" fontId="36" fillId="0" borderId="11" xfId="0" applyFont="1" applyBorder="1" applyAlignment="1"/>
    <xf numFmtId="3" fontId="14" fillId="0" borderId="2" xfId="0" applyFont="1" applyBorder="1" applyAlignment="1">
      <alignment horizontal="left" vertical="center"/>
    </xf>
    <xf numFmtId="17" fontId="14" fillId="9" borderId="1" xfId="0" applyNumberFormat="1" applyFont="1" applyFill="1" applyBorder="1">
      <alignment horizontal="left" vertical="center" wrapText="1"/>
    </xf>
    <xf numFmtId="3" fontId="14" fillId="0" borderId="1" xfId="0" applyFont="1" applyFill="1" applyBorder="1">
      <alignment horizontal="left" vertical="center" wrapText="1"/>
    </xf>
    <xf numFmtId="15" fontId="14" fillId="0" borderId="1" xfId="0" applyNumberFormat="1" applyFont="1" applyFill="1" applyBorder="1">
      <alignment horizontal="left" vertical="center" wrapText="1"/>
    </xf>
    <xf numFmtId="3" fontId="29" fillId="0" borderId="1" xfId="0" applyFont="1" applyFill="1" applyBorder="1" applyAlignment="1"/>
    <xf numFmtId="14" fontId="2" fillId="0" borderId="0" xfId="0" applyNumberFormat="1" applyFont="1" applyAlignment="1"/>
    <xf numFmtId="165" fontId="2" fillId="0" borderId="0" xfId="0" applyNumberFormat="1" applyFont="1" applyAlignment="1"/>
    <xf numFmtId="178" fontId="1" fillId="0" borderId="0" xfId="0" applyNumberFormat="1" applyFont="1" applyFill="1" applyAlignment="1"/>
    <xf numFmtId="178" fontId="0" fillId="0" borderId="0" xfId="0" applyNumberFormat="1" applyFill="1" applyBorder="1" applyAlignment="1">
      <alignment horizontal="left"/>
    </xf>
    <xf numFmtId="1" fontId="1" fillId="0" borderId="0" xfId="0" applyNumberFormat="1" applyFont="1" applyAlignment="1"/>
    <xf numFmtId="14" fontId="1" fillId="0" borderId="0" xfId="0" applyNumberFormat="1" applyFont="1" applyAlignment="1"/>
    <xf numFmtId="1" fontId="0" fillId="0" borderId="0" xfId="0" applyNumberFormat="1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3" fontId="2" fillId="2" borderId="0" xfId="0" applyFont="1" applyFill="1" applyAlignment="1">
      <alignment horizontal="center"/>
    </xf>
    <xf numFmtId="3" fontId="25" fillId="0" borderId="1" xfId="0" applyFont="1" applyBorder="1" applyAlignment="1">
      <alignment horizontal="center"/>
    </xf>
    <xf numFmtId="3" fontId="22" fillId="7" borderId="1" xfId="0" applyFont="1" applyFill="1" applyBorder="1" applyAlignment="1">
      <alignment horizontal="center"/>
    </xf>
    <xf numFmtId="1" fontId="0" fillId="0" borderId="0" xfId="0" applyNumberFormat="1" applyBorder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23" fillId="0" borderId="1" xfId="6" applyFill="1">
      <alignment horizontal="left" vertical="center" wrapText="1"/>
    </xf>
    <xf numFmtId="164" fontId="23" fillId="0" borderId="1" xfId="0" applyNumberFormat="1" applyFont="1" applyFill="1" applyBorder="1" applyAlignment="1">
      <alignment horizontal="center"/>
    </xf>
    <xf numFmtId="177" fontId="23" fillId="0" borderId="0" xfId="0" applyNumberFormat="1" applyFont="1">
      <alignment horizontal="left" vertical="center" wrapText="1"/>
    </xf>
    <xf numFmtId="1" fontId="23" fillId="0" borderId="1" xfId="0" applyNumberFormat="1" applyFont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6" fillId="0" borderId="0" xfId="0" applyFont="1" applyFill="1" applyBorder="1" applyAlignment="1">
      <alignment horizontal="left" vertical="center"/>
    </xf>
    <xf numFmtId="3" fontId="1" fillId="0" borderId="1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4" fontId="22" fillId="7" borderId="0" xfId="0" applyNumberFormat="1" applyFont="1" applyFill="1" applyBorder="1" applyAlignment="1">
      <alignment vertical="center"/>
    </xf>
    <xf numFmtId="2" fontId="25" fillId="0" borderId="0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>
      <alignment horizontal="left" vertical="center" wrapText="1"/>
    </xf>
    <xf numFmtId="2" fontId="25" fillId="0" borderId="10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" fontId="1" fillId="7" borderId="1" xfId="0" applyNumberFormat="1" applyFont="1" applyFill="1" applyBorder="1" applyAlignment="1">
      <alignment horizontal="center" vertical="center"/>
    </xf>
    <xf numFmtId="3" fontId="37" fillId="0" borderId="0" xfId="0" applyFont="1">
      <alignment horizontal="left" vertical="center" wrapText="1"/>
    </xf>
    <xf numFmtId="14" fontId="37" fillId="0" borderId="1" xfId="0" applyNumberFormat="1" applyFont="1" applyBorder="1">
      <alignment horizontal="left" vertical="center" wrapText="1"/>
    </xf>
    <xf numFmtId="3" fontId="37" fillId="0" borderId="0" xfId="0" applyFont="1" applyAlignment="1">
      <alignment horizontal="left" vertical="top"/>
    </xf>
    <xf numFmtId="3" fontId="37" fillId="0" borderId="0" xfId="0" applyFont="1" applyAlignment="1">
      <alignment horizontal="center"/>
    </xf>
    <xf numFmtId="3" fontId="37" fillId="0" borderId="0" xfId="0" applyFont="1" applyAlignment="1">
      <alignment horizontal="left" vertical="top" wrapText="1"/>
    </xf>
    <xf numFmtId="2" fontId="37" fillId="0" borderId="1" xfId="0" applyNumberFormat="1" applyFont="1" applyBorder="1" applyAlignment="1">
      <alignment horizontal="center"/>
    </xf>
    <xf numFmtId="2" fontId="37" fillId="0" borderId="0" xfId="0" applyNumberFormat="1" applyFont="1">
      <alignment horizontal="left" vertical="center" wrapText="1"/>
    </xf>
    <xf numFmtId="2" fontId="37" fillId="0" borderId="1" xfId="0" applyNumberFormat="1" applyFont="1" applyFill="1" applyBorder="1" applyAlignment="1">
      <alignment horizontal="center" vertical="center"/>
    </xf>
    <xf numFmtId="3" fontId="38" fillId="0" borderId="0" xfId="0" applyFont="1" applyBorder="1" applyAlignment="1">
      <alignment horizontal="center" vertical="center"/>
    </xf>
    <xf numFmtId="3" fontId="37" fillId="0" borderId="0" xfId="0" applyFont="1" applyBorder="1" applyAlignment="1">
      <alignment horizontal="center" vertical="top"/>
    </xf>
    <xf numFmtId="3" fontId="37" fillId="0" borderId="0" xfId="0" applyFont="1" applyBorder="1" applyAlignment="1">
      <alignment horizontal="center" vertical="top" wrapText="1"/>
    </xf>
    <xf numFmtId="14" fontId="37" fillId="0" borderId="0" xfId="0" applyNumberFormat="1" applyFont="1" applyBorder="1">
      <alignment horizontal="left" vertical="center" wrapText="1"/>
    </xf>
    <xf numFmtId="165" fontId="37" fillId="0" borderId="0" xfId="0" applyNumberFormat="1" applyFont="1" applyBorder="1" applyAlignment="1">
      <alignment horizontal="center"/>
    </xf>
    <xf numFmtId="9" fontId="37" fillId="0" borderId="0" xfId="5" applyFont="1" applyBorder="1" applyAlignment="1">
      <alignment horizontal="center"/>
    </xf>
    <xf numFmtId="3" fontId="37" fillId="0" borderId="0" xfId="0" applyFont="1" applyBorder="1">
      <alignment horizontal="left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3" fontId="37" fillId="7" borderId="1" xfId="0" applyFont="1" applyFill="1" applyBorder="1" applyAlignment="1">
      <alignment horizontal="center" vertical="center"/>
    </xf>
    <xf numFmtId="3" fontId="37" fillId="7" borderId="1" xfId="0" applyFont="1" applyFill="1" applyBorder="1" applyAlignment="1">
      <alignment horizontal="center" vertical="center" wrapText="1"/>
    </xf>
    <xf numFmtId="178" fontId="1" fillId="7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vertical="center"/>
    </xf>
    <xf numFmtId="3" fontId="1" fillId="7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/>
    <xf numFmtId="164" fontId="1" fillId="0" borderId="10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3" fontId="25" fillId="0" borderId="1" xfId="0" applyFont="1" applyBorder="1" applyAlignment="1">
      <alignment horizontal="center"/>
    </xf>
    <xf numFmtId="3" fontId="23" fillId="7" borderId="1" xfId="0" applyFont="1" applyFill="1" applyBorder="1">
      <alignment horizontal="left" vertical="center" wrapText="1"/>
    </xf>
    <xf numFmtId="3" fontId="23" fillId="7" borderId="1" xfId="0" applyFont="1" applyFill="1" applyBorder="1" applyAlignment="1">
      <alignment wrapText="1"/>
    </xf>
    <xf numFmtId="3" fontId="0" fillId="0" borderId="1" xfId="0" applyFill="1" applyBorder="1">
      <alignment horizontal="left" vertical="center" wrapText="1"/>
    </xf>
    <xf numFmtId="178" fontId="25" fillId="0" borderId="1" xfId="0" applyNumberFormat="1" applyFont="1" applyBorder="1">
      <alignment horizontal="left" vertical="center" wrapText="1"/>
    </xf>
    <xf numFmtId="178" fontId="14" fillId="0" borderId="1" xfId="0" applyNumberFormat="1" applyFont="1" applyBorder="1" applyAlignment="1">
      <alignment horizontal="left" vertical="center"/>
    </xf>
    <xf numFmtId="3" fontId="25" fillId="0" borderId="5" xfId="0" applyFont="1" applyBorder="1" applyAlignment="1">
      <alignment horizontal="center"/>
    </xf>
    <xf numFmtId="3" fontId="2" fillId="0" borderId="0" xfId="0" applyFont="1" applyFill="1" applyBorder="1" applyAlignment="1">
      <alignment horizontal="center"/>
    </xf>
    <xf numFmtId="3" fontId="2" fillId="0" borderId="0" xfId="0" applyFont="1" applyFill="1" applyBorder="1" applyAlignment="1"/>
    <xf numFmtId="3" fontId="1" fillId="0" borderId="0" xfId="0" applyFont="1" applyFill="1" applyBorder="1" applyAlignment="1">
      <alignment horizontal="center"/>
    </xf>
    <xf numFmtId="0" fontId="23" fillId="0" borderId="1" xfId="6" applyBorder="1">
      <alignment horizontal="left" vertical="center" wrapText="1"/>
    </xf>
    <xf numFmtId="14" fontId="1" fillId="0" borderId="0" xfId="0" applyNumberFormat="1" applyFont="1" applyFill="1" applyBorder="1">
      <alignment horizontal="left" vertical="center" wrapText="1"/>
    </xf>
    <xf numFmtId="3" fontId="1" fillId="0" borderId="0" xfId="0" applyFont="1" applyFill="1" applyBorder="1" applyAlignment="1">
      <alignment vertical="center"/>
    </xf>
    <xf numFmtId="178" fontId="0" fillId="0" borderId="1" xfId="0" applyNumberFormat="1" applyFill="1" applyBorder="1">
      <alignment horizontal="left" vertical="center" wrapText="1"/>
    </xf>
    <xf numFmtId="1" fontId="22" fillId="0" borderId="1" xfId="0" applyNumberFormat="1" applyFont="1" applyFill="1" applyBorder="1">
      <alignment horizontal="left" vertical="center" wrapText="1"/>
    </xf>
    <xf numFmtId="3" fontId="2" fillId="2" borderId="10" xfId="0" applyFont="1" applyFill="1" applyBorder="1">
      <alignment horizontal="left" vertical="center" wrapText="1"/>
    </xf>
    <xf numFmtId="3" fontId="22" fillId="7" borderId="1" xfId="0" applyFont="1" applyFill="1" applyBorder="1" applyAlignment="1">
      <alignment horizontal="center"/>
    </xf>
    <xf numFmtId="3" fontId="14" fillId="11" borderId="14" xfId="0" applyFont="1" applyFill="1" applyBorder="1" applyAlignment="1">
      <alignment horizontal="left" vertical="center"/>
    </xf>
    <xf numFmtId="3" fontId="25" fillId="0" borderId="0" xfId="0" applyFont="1" applyAlignment="1">
      <alignment horizontal="left" vertical="center"/>
    </xf>
    <xf numFmtId="3" fontId="25" fillId="0" borderId="5" xfId="0" applyFont="1" applyFill="1" applyBorder="1" applyAlignment="1">
      <alignment horizontal="center"/>
    </xf>
    <xf numFmtId="3" fontId="2" fillId="7" borderId="0" xfId="0" applyFont="1" applyFill="1" applyBorder="1" applyAlignment="1">
      <alignment horizontal="right" vertical="center"/>
    </xf>
    <xf numFmtId="3" fontId="25" fillId="0" borderId="0" xfId="0" applyFont="1" applyBorder="1" applyAlignment="1">
      <alignment horizontal="left" vertical="center"/>
    </xf>
    <xf numFmtId="14" fontId="25" fillId="7" borderId="5" xfId="0" applyNumberFormat="1" applyFont="1" applyFill="1" applyBorder="1">
      <alignment horizontal="left" vertical="center" wrapText="1"/>
    </xf>
    <xf numFmtId="3" fontId="22" fillId="7" borderId="7" xfId="0" applyFont="1" applyFill="1" applyBorder="1">
      <alignment horizontal="left" vertical="center" wrapText="1"/>
    </xf>
    <xf numFmtId="3" fontId="22" fillId="0" borderId="11" xfId="0" applyFont="1" applyFill="1" applyBorder="1" applyAlignment="1">
      <alignment horizontal="center"/>
    </xf>
    <xf numFmtId="3" fontId="44" fillId="0" borderId="13" xfId="0" applyFont="1" applyBorder="1">
      <alignment horizontal="left" vertical="center" wrapText="1"/>
    </xf>
    <xf numFmtId="178" fontId="8" fillId="0" borderId="1" xfId="0" applyNumberFormat="1" applyFont="1" applyBorder="1">
      <alignment horizontal="left" vertical="center" wrapText="1"/>
    </xf>
    <xf numFmtId="178" fontId="0" fillId="0" borderId="1" xfId="0" applyNumberFormat="1" applyBorder="1">
      <alignment horizontal="left" vertical="center" wrapText="1"/>
    </xf>
    <xf numFmtId="3" fontId="43" fillId="7" borderId="2" xfId="0" applyFont="1" applyFill="1" applyBorder="1">
      <alignment horizontal="left" vertical="center" wrapText="1"/>
    </xf>
    <xf numFmtId="3" fontId="43" fillId="7" borderId="2" xfId="0" applyFont="1" applyFill="1" applyBorder="1" applyAlignment="1">
      <alignment wrapText="1"/>
    </xf>
    <xf numFmtId="1" fontId="6" fillId="7" borderId="1" xfId="0" applyNumberFormat="1" applyFont="1" applyFill="1" applyBorder="1">
      <alignment horizontal="left" vertical="center" wrapText="1"/>
    </xf>
    <xf numFmtId="3" fontId="25" fillId="0" borderId="5" xfId="0" applyFont="1" applyBorder="1" applyAlignment="1">
      <alignment horizontal="center"/>
    </xf>
    <xf numFmtId="3" fontId="10" fillId="7" borderId="0" xfId="0" applyFont="1" applyFill="1">
      <alignment horizontal="left" vertical="center" wrapText="1"/>
    </xf>
    <xf numFmtId="3" fontId="12" fillId="7" borderId="0" xfId="0" applyFont="1" applyFill="1">
      <alignment horizontal="left" vertical="center" wrapText="1"/>
    </xf>
    <xf numFmtId="3" fontId="12" fillId="7" borderId="0" xfId="0" applyFont="1" applyFill="1" applyBorder="1">
      <alignment horizontal="left" vertical="center" wrapText="1"/>
    </xf>
    <xf numFmtId="164" fontId="10" fillId="7" borderId="0" xfId="0" applyNumberFormat="1" applyFont="1" applyFill="1">
      <alignment horizontal="left" vertical="center" wrapText="1"/>
    </xf>
    <xf numFmtId="3" fontId="23" fillId="0" borderId="1" xfId="0" applyFont="1" applyBorder="1" applyAlignment="1">
      <alignment vertical="center" wrapText="1"/>
    </xf>
    <xf numFmtId="3" fontId="23" fillId="0" borderId="1" xfId="0" applyFont="1" applyBorder="1" applyAlignment="1"/>
    <xf numFmtId="3" fontId="23" fillId="0" borderId="1" xfId="0" applyFont="1" applyBorder="1" applyAlignment="1">
      <alignment vertical="center"/>
    </xf>
    <xf numFmtId="3" fontId="45" fillId="0" borderId="1" xfId="0" applyFont="1" applyBorder="1">
      <alignment horizontal="left" vertical="center" wrapText="1"/>
    </xf>
    <xf numFmtId="0" fontId="23" fillId="0" borderId="0" xfId="6" applyBorder="1">
      <alignment horizontal="left" vertical="center" wrapText="1"/>
    </xf>
    <xf numFmtId="171" fontId="2" fillId="0" borderId="1" xfId="0" applyNumberFormat="1" applyFont="1" applyBorder="1">
      <alignment horizontal="left" vertical="center" wrapText="1"/>
    </xf>
    <xf numFmtId="3" fontId="6" fillId="7" borderId="2" xfId="0" applyFont="1" applyFill="1" applyBorder="1">
      <alignment horizontal="left" vertical="center" wrapText="1"/>
    </xf>
    <xf numFmtId="3" fontId="0" fillId="0" borderId="1" xfId="0" applyBorder="1" applyAlignment="1">
      <alignment vertical="top" wrapText="1"/>
    </xf>
    <xf numFmtId="3" fontId="40" fillId="0" borderId="1" xfId="0" applyFont="1" applyBorder="1">
      <alignment horizontal="left" vertical="center" wrapText="1"/>
    </xf>
    <xf numFmtId="3" fontId="40" fillId="0" borderId="1" xfId="0" applyFont="1" applyFill="1" applyBorder="1" applyAlignment="1"/>
    <xf numFmtId="171" fontId="40" fillId="0" borderId="1" xfId="0" applyNumberFormat="1" applyFont="1" applyBorder="1" applyAlignment="1">
      <alignment horizontal="left" vertical="center" wrapText="1"/>
    </xf>
    <xf numFmtId="4" fontId="40" fillId="0" borderId="1" xfId="0" applyNumberFormat="1" applyFont="1" applyBorder="1" applyAlignment="1">
      <alignment horizontal="left" vertical="center" wrapText="1"/>
    </xf>
    <xf numFmtId="179" fontId="40" fillId="0" borderId="1" xfId="0" applyNumberFormat="1" applyFont="1" applyBorder="1" applyAlignment="1">
      <alignment horizontal="left" vertical="center" wrapText="1"/>
    </xf>
    <xf numFmtId="171" fontId="42" fillId="0" borderId="1" xfId="0" applyNumberFormat="1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left"/>
    </xf>
    <xf numFmtId="0" fontId="23" fillId="0" borderId="1" xfId="6">
      <alignment horizontal="left" vertical="center" wrapText="1"/>
    </xf>
    <xf numFmtId="0" fontId="1" fillId="0" borderId="0" xfId="0" applyNumberFormat="1" applyFon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0" fontId="0" fillId="0" borderId="0" xfId="0" applyNumberFormat="1" applyFill="1" applyBorder="1" applyAlignment="1">
      <alignment horizontal="left"/>
    </xf>
    <xf numFmtId="0" fontId="17" fillId="0" borderId="0" xfId="3" applyNumberFormat="1" applyFont="1" applyFill="1" applyBorder="1" applyAlignment="1">
      <alignment horizontal="left"/>
    </xf>
    <xf numFmtId="0" fontId="17" fillId="0" borderId="0" xfId="3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7" fillId="0" borderId="0" xfId="4" applyNumberFormat="1" applyFont="1" applyFill="1" applyBorder="1" applyAlignment="1">
      <alignment horizontal="left"/>
    </xf>
    <xf numFmtId="0" fontId="0" fillId="0" borderId="0" xfId="0" applyNumberFormat="1" applyFill="1" applyAlignment="1"/>
    <xf numFmtId="0" fontId="25" fillId="0" borderId="1" xfId="0" applyNumberFormat="1" applyFont="1" applyBorder="1">
      <alignment horizontal="left" vertical="center" wrapText="1"/>
    </xf>
    <xf numFmtId="0" fontId="25" fillId="0" borderId="7" xfId="0" applyNumberFormat="1" applyFont="1" applyBorder="1">
      <alignment horizontal="left" vertical="center" wrapText="1"/>
    </xf>
    <xf numFmtId="4" fontId="0" fillId="0" borderId="1" xfId="0" applyNumberFormat="1" applyBorder="1">
      <alignment horizontal="left" vertical="center" wrapText="1"/>
    </xf>
    <xf numFmtId="171" fontId="0" fillId="0" borderId="1" xfId="0" applyNumberFormat="1" applyBorder="1">
      <alignment horizontal="left" vertical="center" wrapText="1"/>
    </xf>
    <xf numFmtId="0" fontId="0" fillId="7" borderId="1" xfId="0" applyNumberFormat="1" applyFill="1" applyBorder="1" applyAlignment="1"/>
    <xf numFmtId="0" fontId="0" fillId="0" borderId="1" xfId="0" applyNumberFormat="1" applyBorder="1" applyAlignment="1"/>
    <xf numFmtId="3" fontId="0" fillId="0" borderId="14" xfId="0" applyFill="1" applyBorder="1">
      <alignment horizontal="left" vertical="center" wrapText="1"/>
    </xf>
    <xf numFmtId="3" fontId="0" fillId="0" borderId="7" xfId="0" applyBorder="1">
      <alignment horizontal="left" vertical="center" wrapText="1"/>
    </xf>
    <xf numFmtId="0" fontId="0" fillId="0" borderId="0" xfId="0" applyNumberFormat="1" applyAlignment="1"/>
    <xf numFmtId="0" fontId="0" fillId="0" borderId="0" xfId="0" applyNumberFormat="1" applyBorder="1" applyAlignment="1"/>
    <xf numFmtId="0" fontId="1" fillId="0" borderId="0" xfId="0" applyNumberFormat="1" applyFont="1" applyBorder="1" applyAlignment="1"/>
    <xf numFmtId="0" fontId="1" fillId="0" borderId="1" xfId="0" applyNumberFormat="1" applyFont="1" applyBorder="1" applyAlignment="1"/>
    <xf numFmtId="0" fontId="1" fillId="0" borderId="1" xfId="0" applyNumberFormat="1" applyFont="1" applyFill="1" applyBorder="1" applyAlignment="1"/>
    <xf numFmtId="0" fontId="0" fillId="0" borderId="7" xfId="0" applyNumberFormat="1" applyBorder="1" applyAlignment="1"/>
    <xf numFmtId="0" fontId="0" fillId="0" borderId="1" xfId="0" applyNumberFormat="1" applyFill="1" applyBorder="1" applyAlignment="1"/>
    <xf numFmtId="0" fontId="0" fillId="0" borderId="1" xfId="0" applyNumberForma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71" fontId="1" fillId="6" borderId="1" xfId="0" applyNumberFormat="1" applyFont="1" applyFill="1" applyBorder="1">
      <alignment horizontal="left" vertical="center" wrapText="1"/>
    </xf>
    <xf numFmtId="171" fontId="1" fillId="0" borderId="1" xfId="0" applyNumberFormat="1" applyFont="1" applyBorder="1">
      <alignment horizontal="left" vertical="center" wrapText="1"/>
    </xf>
    <xf numFmtId="175" fontId="1" fillId="0" borderId="1" xfId="0" applyNumberFormat="1" applyFont="1" applyBorder="1">
      <alignment horizontal="left" vertical="center" wrapText="1"/>
    </xf>
    <xf numFmtId="4" fontId="1" fillId="6" borderId="1" xfId="0" applyNumberFormat="1" applyFont="1" applyFill="1" applyBorder="1">
      <alignment horizontal="left" vertical="center" wrapText="1"/>
    </xf>
    <xf numFmtId="4" fontId="1" fillId="0" borderId="1" xfId="0" applyNumberFormat="1" applyFont="1" applyBorder="1">
      <alignment horizontal="left" vertical="center" wrapText="1"/>
    </xf>
    <xf numFmtId="179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171" fontId="1" fillId="0" borderId="1" xfId="0" applyNumberFormat="1" applyFont="1" applyBorder="1" applyAlignment="1">
      <alignment vertical="center" wrapText="1"/>
    </xf>
    <xf numFmtId="181" fontId="1" fillId="0" borderId="1" xfId="0" applyNumberFormat="1" applyFont="1" applyBorder="1" applyAlignment="1">
      <alignment vertical="center" wrapText="1"/>
    </xf>
    <xf numFmtId="181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1" fillId="0" borderId="1" xfId="0" applyNumberFormat="1" applyFont="1" applyFill="1" applyBorder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3" fontId="24" fillId="0" borderId="1" xfId="0" applyFon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171" fontId="1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/>
    </xf>
    <xf numFmtId="9" fontId="0" fillId="0" borderId="1" xfId="5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/>
    <xf numFmtId="2" fontId="0" fillId="0" borderId="1" xfId="0" applyNumberFormat="1" applyBorder="1" applyAlignment="1">
      <alignment horizontal="center" vertical="center"/>
    </xf>
    <xf numFmtId="4" fontId="0" fillId="0" borderId="0" xfId="0" applyNumberFormat="1">
      <alignment horizontal="left" vertical="center" wrapText="1"/>
    </xf>
    <xf numFmtId="0" fontId="1" fillId="0" borderId="1" xfId="0" applyNumberFormat="1" applyFont="1" applyBorder="1" applyAlignment="1">
      <alignment horizontal="center"/>
    </xf>
    <xf numFmtId="0" fontId="1" fillId="7" borderId="1" xfId="0" applyNumberFormat="1" applyFont="1" applyFill="1" applyBorder="1" applyAlignment="1"/>
    <xf numFmtId="164" fontId="0" fillId="0" borderId="1" xfId="0" applyNumberFormat="1" applyBorder="1" applyAlignment="1"/>
    <xf numFmtId="2" fontId="0" fillId="0" borderId="1" xfId="5" applyNumberFormat="1" applyFont="1" applyBorder="1"/>
    <xf numFmtId="0" fontId="0" fillId="7" borderId="7" xfId="0" applyNumberFormat="1" applyFill="1" applyBorder="1" applyAlignment="1"/>
    <xf numFmtId="181" fontId="0" fillId="0" borderId="0" xfId="0" applyNumberForma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6" applyFont="1" applyBorder="1">
      <alignment horizontal="left" vertical="center" wrapText="1"/>
    </xf>
    <xf numFmtId="0" fontId="23" fillId="0" borderId="1" xfId="6">
      <alignment horizontal="left" vertical="center" wrapText="1"/>
    </xf>
    <xf numFmtId="3" fontId="6" fillId="7" borderId="1" xfId="0" applyFont="1" applyFill="1" applyBorder="1" applyAlignment="1">
      <alignment horizontal="center" vertical="center" wrapText="1"/>
    </xf>
    <xf numFmtId="3" fontId="0" fillId="0" borderId="0" xfId="0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3" fontId="46" fillId="0" borderId="0" xfId="0" applyFont="1">
      <alignment horizontal="left" vertical="center" wrapText="1"/>
    </xf>
    <xf numFmtId="3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0" fillId="0" borderId="0" xfId="0">
      <alignment horizontal="left" vertical="center" wrapText="1"/>
    </xf>
    <xf numFmtId="178" fontId="1" fillId="0" borderId="7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left" vertical="center"/>
    </xf>
    <xf numFmtId="14" fontId="37" fillId="0" borderId="1" xfId="0" applyNumberFormat="1" applyFont="1" applyFill="1" applyBorder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82" fontId="1" fillId="0" borderId="0" xfId="0" applyNumberFormat="1" applyFont="1" applyAlignment="1"/>
    <xf numFmtId="178" fontId="6" fillId="7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/>
    <xf numFmtId="178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Font="1" applyFill="1" applyBorder="1" applyAlignment="1">
      <alignment horizontal="left" vertical="center"/>
    </xf>
    <xf numFmtId="3" fontId="0" fillId="0" borderId="0" xfId="0" applyFill="1" applyBorder="1" applyAlignment="1">
      <alignment horizontal="left" vertical="center"/>
    </xf>
    <xf numFmtId="3" fontId="0" fillId="0" borderId="0" xfId="0">
      <alignment horizontal="left" vertical="center" wrapText="1"/>
    </xf>
    <xf numFmtId="178" fontId="2" fillId="7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wrapText="1"/>
    </xf>
    <xf numFmtId="171" fontId="0" fillId="0" borderId="1" xfId="0" applyNumberFormat="1" applyBorder="1" applyAlignment="1">
      <alignment horizont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vertical="top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71" fontId="10" fillId="8" borderId="1" xfId="0" applyNumberFormat="1" applyFont="1" applyFill="1" applyBorder="1" applyAlignment="1">
      <alignment horizontal="center"/>
    </xf>
    <xf numFmtId="171" fontId="10" fillId="8" borderId="1" xfId="0" applyNumberFormat="1" applyFont="1" applyFill="1" applyBorder="1" applyAlignment="1">
      <alignment horizontal="left" wrapText="1"/>
    </xf>
    <xf numFmtId="0" fontId="0" fillId="0" borderId="0" xfId="0" applyNumberFormat="1">
      <alignment horizontal="left" vertical="center" wrapText="1"/>
    </xf>
    <xf numFmtId="0" fontId="23" fillId="0" borderId="10" xfId="6" applyFill="1" applyBorder="1">
      <alignment horizontal="left" vertical="center" wrapText="1"/>
    </xf>
    <xf numFmtId="15" fontId="12" fillId="4" borderId="1" xfId="0" applyNumberFormat="1" applyFont="1" applyFill="1" applyBorder="1" applyAlignment="1">
      <alignment wrapText="1"/>
    </xf>
    <xf numFmtId="15" fontId="12" fillId="4" borderId="1" xfId="0" applyNumberFormat="1" applyFont="1" applyFill="1" applyBorder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>
      <alignment horizontal="left" vertical="center" wrapText="1"/>
    </xf>
    <xf numFmtId="178" fontId="34" fillId="0" borderId="0" xfId="3" applyNumberFormat="1" applyFont="1" applyFill="1" applyBorder="1" applyAlignment="1">
      <alignment horizontal="left"/>
    </xf>
    <xf numFmtId="3" fontId="6" fillId="0" borderId="0" xfId="0" applyNumberFormat="1" applyFont="1" applyFill="1" applyBorder="1">
      <alignment horizontal="left" vertical="center" wrapText="1"/>
    </xf>
    <xf numFmtId="14" fontId="6" fillId="0" borderId="0" xfId="0" applyNumberFormat="1" applyFont="1" applyFill="1" applyBorder="1">
      <alignment horizontal="left" vertical="center" wrapText="1"/>
    </xf>
    <xf numFmtId="14" fontId="0" fillId="0" borderId="0" xfId="0" applyNumberFormat="1" applyFill="1" applyBorder="1">
      <alignment horizontal="left" vertical="center" wrapText="1"/>
    </xf>
    <xf numFmtId="169" fontId="0" fillId="0" borderId="0" xfId="1" applyNumberFormat="1" applyFont="1" applyFill="1" applyBorder="1"/>
    <xf numFmtId="15" fontId="10" fillId="0" borderId="0" xfId="0" applyNumberFormat="1" applyFont="1" applyFill="1" applyBorder="1">
      <alignment horizontal="left" vertical="center" wrapText="1"/>
    </xf>
    <xf numFmtId="164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3" fontId="10" fillId="0" borderId="0" xfId="0" applyFont="1" applyFill="1" applyBorder="1">
      <alignment horizontal="left" vertical="center" wrapText="1"/>
    </xf>
    <xf numFmtId="9" fontId="2" fillId="0" borderId="0" xfId="5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/>
    <xf numFmtId="15" fontId="10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/>
    </xf>
    <xf numFmtId="3" fontId="24" fillId="0" borderId="0" xfId="0" applyFont="1" applyFill="1" applyBorder="1">
      <alignment horizontal="left" vertical="center" wrapText="1"/>
    </xf>
    <xf numFmtId="3" fontId="13" fillId="0" borderId="0" xfId="0" applyFont="1" applyFill="1" applyBorder="1">
      <alignment horizontal="left" vertical="center" wrapText="1"/>
    </xf>
    <xf numFmtId="3" fontId="9" fillId="0" borderId="0" xfId="0" applyFont="1">
      <alignment horizontal="left" vertical="center" wrapText="1"/>
    </xf>
    <xf numFmtId="164" fontId="0" fillId="0" borderId="0" xfId="0" applyNumberFormat="1" applyFill="1" applyBorder="1">
      <alignment horizontal="left" vertical="center" wrapText="1"/>
    </xf>
    <xf numFmtId="171" fontId="2" fillId="0" borderId="1" xfId="0" applyNumberFormat="1" applyFont="1" applyBorder="1" applyAlignment="1">
      <alignment horizontal="center" vertical="center"/>
    </xf>
    <xf numFmtId="2" fontId="47" fillId="0" borderId="1" xfId="0" applyNumberFormat="1" applyFont="1" applyBorder="1" applyAlignment="1">
      <alignment horizontal="center"/>
    </xf>
    <xf numFmtId="2" fontId="47" fillId="0" borderId="1" xfId="0" applyNumberFormat="1" applyFont="1" applyBorder="1">
      <alignment horizontal="left" vertical="center" wrapText="1"/>
    </xf>
    <xf numFmtId="2" fontId="6" fillId="0" borderId="1" xfId="0" applyNumberFormat="1" applyFont="1" applyBorder="1">
      <alignment horizontal="left" vertical="center" wrapText="1"/>
    </xf>
    <xf numFmtId="164" fontId="25" fillId="0" borderId="1" xfId="0" applyNumberFormat="1" applyFont="1" applyBorder="1">
      <alignment horizontal="left" vertical="center" wrapText="1"/>
    </xf>
    <xf numFmtId="3" fontId="9" fillId="0" borderId="8" xfId="0" applyFont="1" applyBorder="1" applyAlignment="1">
      <alignment vertical="top" wrapText="1"/>
    </xf>
    <xf numFmtId="3" fontId="0" fillId="0" borderId="0" xfId="0">
      <alignment horizontal="left" vertical="center" wrapText="1"/>
    </xf>
    <xf numFmtId="171" fontId="25" fillId="0" borderId="1" xfId="0" applyNumberFormat="1" applyFont="1" applyBorder="1" applyAlignment="1">
      <alignment horizontal="center"/>
    </xf>
    <xf numFmtId="171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>
      <alignment horizontal="left" vertical="center" wrapText="1"/>
    </xf>
    <xf numFmtId="4" fontId="25" fillId="0" borderId="1" xfId="0" applyNumberFormat="1" applyFont="1" applyBorder="1">
      <alignment horizontal="left" vertical="center" wrapText="1"/>
    </xf>
    <xf numFmtId="171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/>
    </xf>
    <xf numFmtId="0" fontId="17" fillId="0" borderId="1" xfId="3" applyNumberFormat="1" applyFont="1" applyFill="1" applyBorder="1" applyAlignment="1">
      <alignment horizontal="left"/>
    </xf>
    <xf numFmtId="3" fontId="25" fillId="0" borderId="1" xfId="0" applyFont="1" applyBorder="1" applyAlignment="1">
      <alignment horizontal="center" vertical="center" wrapText="1"/>
    </xf>
    <xf numFmtId="3" fontId="1" fillId="0" borderId="1" xfId="0" applyFont="1" applyBorder="1" applyAlignment="1">
      <alignment horizontal="center" vertical="center" wrapText="1"/>
    </xf>
    <xf numFmtId="3" fontId="40" fillId="7" borderId="1" xfId="0" applyFont="1" applyFill="1" applyBorder="1">
      <alignment horizontal="left" vertical="center" wrapText="1"/>
    </xf>
    <xf numFmtId="3" fontId="48" fillId="15" borderId="1" xfId="0" applyFont="1" applyFill="1" applyBorder="1" applyAlignment="1">
      <alignment horizontal="center" wrapText="1"/>
    </xf>
    <xf numFmtId="0" fontId="1" fillId="7" borderId="1" xfId="0" applyNumberFormat="1" applyFont="1" applyFill="1" applyBorder="1" applyAlignment="1">
      <alignment horizontal="center"/>
    </xf>
    <xf numFmtId="3" fontId="37" fillId="0" borderId="7" xfId="0" applyFont="1" applyBorder="1" applyAlignment="1">
      <alignment horizontal="left" vertical="center"/>
    </xf>
    <xf numFmtId="3" fontId="37" fillId="0" borderId="7" xfId="0" applyFont="1" applyBorder="1" applyAlignment="1">
      <alignment horizontal="left" vertical="center" wrapText="1"/>
    </xf>
    <xf numFmtId="3" fontId="37" fillId="0" borderId="7" xfId="0" applyFont="1" applyBorder="1" applyAlignment="1">
      <alignment horizontal="left"/>
    </xf>
    <xf numFmtId="3" fontId="37" fillId="0" borderId="1" xfId="0" applyFont="1" applyBorder="1" applyAlignment="1">
      <alignment horizontal="left" vertical="center"/>
    </xf>
    <xf numFmtId="3" fontId="37" fillId="0" borderId="1" xfId="0" applyFont="1" applyBorder="1" applyAlignment="1">
      <alignment vertical="center"/>
    </xf>
    <xf numFmtId="3" fontId="37" fillId="0" borderId="1" xfId="0" applyFont="1" applyBorder="1" applyAlignment="1">
      <alignment horizontal="left"/>
    </xf>
    <xf numFmtId="3" fontId="38" fillId="7" borderId="7" xfId="0" applyFont="1" applyFill="1" applyBorder="1" applyAlignment="1">
      <alignment vertical="center"/>
    </xf>
    <xf numFmtId="0" fontId="0" fillId="0" borderId="1" xfId="6" applyFont="1">
      <alignment horizontal="left" vertical="center" wrapText="1"/>
    </xf>
    <xf numFmtId="3" fontId="6" fillId="0" borderId="0" xfId="0" applyFont="1" applyFill="1" applyBorder="1" applyAlignment="1">
      <alignment wrapText="1"/>
    </xf>
    <xf numFmtId="3" fontId="1" fillId="0" borderId="0" xfId="0" applyFont="1" applyFill="1" applyBorder="1" applyAlignment="1">
      <alignment wrapText="1"/>
    </xf>
    <xf numFmtId="3" fontId="9" fillId="0" borderId="0" xfId="0" applyFont="1" applyFill="1" applyBorder="1" applyAlignment="1">
      <alignment wrapText="1"/>
    </xf>
    <xf numFmtId="3" fontId="9" fillId="0" borderId="0" xfId="0" applyFont="1" applyFill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center"/>
    </xf>
    <xf numFmtId="3" fontId="10" fillId="2" borderId="1" xfId="0" applyFont="1" applyFill="1" applyBorder="1" applyAlignment="1">
      <alignment horizontal="center" vertical="center" wrapText="1"/>
    </xf>
    <xf numFmtId="3" fontId="10" fillId="2" borderId="1" xfId="0" applyFont="1" applyFill="1" applyBorder="1" applyAlignment="1">
      <alignment horizontal="center" vertical="center"/>
    </xf>
    <xf numFmtId="3" fontId="10" fillId="17" borderId="1" xfId="0" applyFont="1" applyFill="1" applyBorder="1" applyAlignment="1">
      <alignment vertical="center" wrapText="1"/>
    </xf>
    <xf numFmtId="3" fontId="49" fillId="18" borderId="1" xfId="0" applyFont="1" applyFill="1" applyBorder="1" applyAlignment="1">
      <alignment vertical="top" wrapText="1"/>
    </xf>
    <xf numFmtId="3" fontId="49" fillId="18" borderId="1" xfId="0" applyFont="1" applyFill="1" applyBorder="1" applyAlignment="1">
      <alignment horizontal="center" vertical="top" wrapText="1"/>
    </xf>
    <xf numFmtId="3" fontId="40" fillId="0" borderId="0" xfId="0" applyFont="1">
      <alignment horizontal="left" vertical="center" wrapText="1"/>
    </xf>
    <xf numFmtId="3" fontId="50" fillId="0" borderId="1" xfId="0" applyFont="1" applyBorder="1" applyAlignment="1">
      <alignment horizontal="left" vertical="top" wrapText="1"/>
    </xf>
    <xf numFmtId="3" fontId="50" fillId="0" borderId="1" xfId="0" applyFont="1" applyBorder="1" applyAlignment="1">
      <alignment horizontal="center" vertical="top" wrapText="1"/>
    </xf>
    <xf numFmtId="3" fontId="49" fillId="0" borderId="1" xfId="0" applyFont="1" applyBorder="1" applyAlignment="1">
      <alignment horizontal="center" vertical="top" wrapText="1"/>
    </xf>
    <xf numFmtId="3" fontId="50" fillId="0" borderId="1" xfId="0" applyFont="1" applyBorder="1" applyAlignment="1">
      <alignment vertical="top" wrapText="1"/>
    </xf>
    <xf numFmtId="3" fontId="40" fillId="0" borderId="1" xfId="0" applyFont="1" applyBorder="1" applyAlignment="1">
      <alignment horizontal="left"/>
    </xf>
    <xf numFmtId="3" fontId="40" fillId="0" borderId="1" xfId="0" applyFont="1" applyBorder="1" applyAlignment="1">
      <alignment horizontal="center"/>
    </xf>
    <xf numFmtId="3" fontId="40" fillId="7" borderId="1" xfId="0" applyFont="1" applyFill="1" applyBorder="1" applyAlignment="1">
      <alignment vertical="top" wrapText="1"/>
    </xf>
    <xf numFmtId="3" fontId="40" fillId="0" borderId="1" xfId="0" applyFont="1" applyBorder="1" applyAlignment="1">
      <alignment horizontal="left" vertical="top" wrapText="1"/>
    </xf>
    <xf numFmtId="3" fontId="40" fillId="0" borderId="1" xfId="0" applyFont="1" applyBorder="1" applyAlignment="1">
      <alignment horizontal="left" vertical="center"/>
    </xf>
    <xf numFmtId="178" fontId="51" fillId="0" borderId="1" xfId="3" applyFont="1" applyFill="1" applyBorder="1" applyAlignment="1">
      <alignment horizontal="left"/>
    </xf>
    <xf numFmtId="3" fontId="40" fillId="0" borderId="1" xfId="0" applyFont="1" applyBorder="1" applyAlignment="1">
      <alignment horizontal="left" vertical="center" wrapText="1"/>
    </xf>
    <xf numFmtId="3" fontId="40" fillId="0" borderId="1" xfId="0" applyFont="1" applyBorder="1" applyAlignment="1">
      <alignment horizontal="left" vertical="top"/>
    </xf>
    <xf numFmtId="3" fontId="40" fillId="0" borderId="1" xfId="0" applyFont="1" applyFill="1" applyBorder="1" applyAlignment="1">
      <alignment horizontal="left" vertical="top" wrapText="1"/>
    </xf>
    <xf numFmtId="3" fontId="40" fillId="0" borderId="0" xfId="0" applyFont="1" applyAlignment="1">
      <alignment horizontal="left" vertical="center"/>
    </xf>
    <xf numFmtId="3" fontId="52" fillId="19" borderId="16" xfId="0" applyFont="1" applyFill="1" applyBorder="1" applyAlignment="1">
      <alignment horizontal="left" vertical="top" wrapText="1"/>
    </xf>
    <xf numFmtId="3" fontId="52" fillId="19" borderId="16" xfId="0" applyFont="1" applyFill="1" applyBorder="1" applyAlignment="1">
      <alignment horizontal="center" vertical="top" wrapText="1"/>
    </xf>
    <xf numFmtId="3" fontId="52" fillId="19" borderId="1" xfId="0" applyFont="1" applyFill="1" applyBorder="1" applyAlignment="1">
      <alignment horizontal="left" vertical="top" wrapText="1"/>
    </xf>
    <xf numFmtId="3" fontId="52" fillId="19" borderId="1" xfId="0" applyFont="1" applyFill="1" applyBorder="1" applyAlignment="1">
      <alignment horizontal="center" vertical="top" wrapText="1"/>
    </xf>
    <xf numFmtId="3" fontId="49" fillId="18" borderId="1" xfId="0" applyFont="1" applyFill="1" applyBorder="1" applyAlignment="1">
      <alignment wrapText="1"/>
    </xf>
    <xf numFmtId="3" fontId="51" fillId="19" borderId="16" xfId="0" applyFont="1" applyFill="1" applyBorder="1" applyAlignment="1">
      <alignment horizontal="left" vertical="top" wrapText="1"/>
    </xf>
    <xf numFmtId="3" fontId="51" fillId="19" borderId="16" xfId="0" applyFont="1" applyFill="1" applyBorder="1" applyAlignment="1">
      <alignment horizontal="center" vertical="top" wrapText="1"/>
    </xf>
    <xf numFmtId="3" fontId="51" fillId="19" borderId="16" xfId="0" applyFont="1" applyFill="1" applyBorder="1" applyAlignment="1">
      <alignment horizontal="center" vertical="center" wrapText="1"/>
    </xf>
    <xf numFmtId="3" fontId="51" fillId="19" borderId="1" xfId="0" applyFont="1" applyFill="1" applyBorder="1" applyAlignment="1">
      <alignment horizontal="left" vertical="top" wrapText="1"/>
    </xf>
    <xf numFmtId="174" fontId="51" fillId="19" borderId="1" xfId="0" applyNumberFormat="1" applyFont="1" applyFill="1" applyBorder="1" applyAlignment="1">
      <alignment horizontal="center" vertical="top" wrapText="1"/>
    </xf>
    <xf numFmtId="3" fontId="51" fillId="19" borderId="1" xfId="0" applyFont="1" applyFill="1" applyBorder="1" applyAlignment="1">
      <alignment horizontal="center" vertical="top" wrapText="1"/>
    </xf>
    <xf numFmtId="3" fontId="50" fillId="0" borderId="1" xfId="0" applyFont="1" applyBorder="1" applyAlignment="1">
      <alignment wrapText="1"/>
    </xf>
    <xf numFmtId="3" fontId="51" fillId="19" borderId="18" xfId="0" applyFont="1" applyFill="1" applyBorder="1" applyAlignment="1">
      <alignment horizontal="center" vertical="top" wrapText="1"/>
    </xf>
    <xf numFmtId="3" fontId="51" fillId="19" borderId="18" xfId="0" applyFont="1" applyFill="1" applyBorder="1" applyAlignment="1">
      <alignment horizontal="left" vertical="top" wrapText="1"/>
    </xf>
    <xf numFmtId="3" fontId="51" fillId="19" borderId="17" xfId="0" applyFont="1" applyFill="1" applyBorder="1" applyAlignment="1">
      <alignment horizontal="left" vertical="top" wrapText="1"/>
    </xf>
    <xf numFmtId="173" fontId="51" fillId="19" borderId="1" xfId="0" applyNumberFormat="1" applyFont="1" applyFill="1" applyBorder="1" applyAlignment="1">
      <alignment horizontal="center" vertical="top" wrapText="1"/>
    </xf>
    <xf numFmtId="3" fontId="50" fillId="0" borderId="1" xfId="0" applyFont="1" applyFill="1" applyBorder="1" applyAlignment="1">
      <alignment wrapText="1"/>
    </xf>
    <xf numFmtId="3" fontId="51" fillId="19" borderId="0" xfId="0" applyFont="1" applyFill="1" applyAlignment="1">
      <alignment horizontal="left" vertical="top"/>
    </xf>
    <xf numFmtId="0" fontId="40" fillId="0" borderId="1" xfId="0" applyNumberFormat="1" applyFont="1" applyBorder="1" applyAlignment="1"/>
    <xf numFmtId="1" fontId="50" fillId="0" borderId="1" xfId="0" applyNumberFormat="1" applyFont="1" applyBorder="1" applyAlignment="1">
      <alignment wrapText="1"/>
    </xf>
    <xf numFmtId="1" fontId="40" fillId="0" borderId="1" xfId="0" applyNumberFormat="1" applyFont="1" applyBorder="1">
      <alignment horizontal="left" vertical="center" wrapText="1"/>
    </xf>
    <xf numFmtId="4" fontId="40" fillId="0" borderId="1" xfId="0" applyNumberFormat="1" applyFont="1" applyBorder="1">
      <alignment horizontal="left" vertical="center" wrapText="1"/>
    </xf>
    <xf numFmtId="0" fontId="40" fillId="7" borderId="1" xfId="0" applyNumberFormat="1" applyFont="1" applyFill="1" applyBorder="1" applyAlignment="1"/>
    <xf numFmtId="3" fontId="40" fillId="19" borderId="16" xfId="0" applyFont="1" applyFill="1" applyBorder="1" applyAlignment="1">
      <alignment horizontal="left" vertical="top" wrapText="1"/>
    </xf>
    <xf numFmtId="171" fontId="40" fillId="0" borderId="1" xfId="0" applyNumberFormat="1" applyFont="1" applyBorder="1">
      <alignment horizontal="left" vertical="center" wrapText="1"/>
    </xf>
    <xf numFmtId="3" fontId="40" fillId="0" borderId="1" xfId="0" applyNumberFormat="1" applyFont="1" applyBorder="1">
      <alignment horizontal="left" vertical="center" wrapText="1"/>
    </xf>
    <xf numFmtId="3" fontId="51" fillId="19" borderId="8" xfId="0" applyFont="1" applyFill="1" applyBorder="1" applyAlignment="1">
      <alignment horizontal="left" vertical="top" wrapText="1"/>
    </xf>
    <xf numFmtId="3" fontId="51" fillId="19" borderId="25" xfId="0" applyFont="1" applyFill="1" applyBorder="1" applyAlignment="1">
      <alignment horizontal="left" vertical="top" wrapText="1"/>
    </xf>
    <xf numFmtId="3" fontId="50" fillId="0" borderId="8" xfId="0" applyFont="1" applyBorder="1" applyAlignment="1">
      <alignment wrapText="1"/>
    </xf>
    <xf numFmtId="3" fontId="40" fillId="0" borderId="8" xfId="0" applyFont="1" applyBorder="1">
      <alignment horizontal="left" vertical="center" wrapText="1"/>
    </xf>
    <xf numFmtId="3" fontId="50" fillId="0" borderId="1" xfId="0" applyFont="1" applyFill="1" applyBorder="1" applyAlignment="1">
      <alignment vertical="top" wrapText="1"/>
    </xf>
    <xf numFmtId="3" fontId="52" fillId="19" borderId="0" xfId="0" applyFont="1" applyFill="1" applyAlignment="1">
      <alignment horizontal="left" vertical="top"/>
    </xf>
    <xf numFmtId="3" fontId="40" fillId="0" borderId="0" xfId="0" applyFont="1" applyAlignment="1">
      <alignment vertical="top" wrapText="1"/>
    </xf>
    <xf numFmtId="172" fontId="51" fillId="19" borderId="16" xfId="0" applyNumberFormat="1" applyFont="1" applyFill="1" applyBorder="1" applyAlignment="1">
      <alignment horizontal="left" vertical="center" wrapText="1"/>
    </xf>
    <xf numFmtId="3" fontId="51" fillId="19" borderId="16" xfId="0" applyFont="1" applyFill="1" applyBorder="1" applyAlignment="1">
      <alignment horizontal="left" vertical="center" wrapText="1"/>
    </xf>
    <xf numFmtId="172" fontId="51" fillId="19" borderId="16" xfId="0" applyNumberFormat="1" applyFont="1" applyFill="1" applyBorder="1" applyAlignment="1">
      <alignment horizontal="left" vertical="top" wrapText="1"/>
    </xf>
    <xf numFmtId="3" fontId="22" fillId="16" borderId="13" xfId="0" applyFont="1" applyFill="1" applyBorder="1" applyAlignment="1">
      <alignment horizontal="center"/>
    </xf>
    <xf numFmtId="0" fontId="37" fillId="0" borderId="0" xfId="0" applyNumberFormat="1" applyFont="1">
      <alignment horizontal="left" vertical="center" wrapText="1"/>
    </xf>
    <xf numFmtId="171" fontId="37" fillId="0" borderId="0" xfId="0" applyNumberFormat="1" applyFont="1">
      <alignment horizontal="left" vertical="center" wrapText="1"/>
    </xf>
    <xf numFmtId="4" fontId="37" fillId="0" borderId="0" xfId="0" applyNumberFormat="1" applyFont="1">
      <alignment horizontal="left" vertical="center" wrapText="1"/>
    </xf>
    <xf numFmtId="3" fontId="22" fillId="20" borderId="7" xfId="0" applyFont="1" applyFill="1" applyBorder="1" applyAlignment="1"/>
    <xf numFmtId="3" fontId="22" fillId="20" borderId="13" xfId="0" applyFont="1" applyFill="1" applyBorder="1" applyAlignment="1"/>
    <xf numFmtId="3" fontId="1" fillId="0" borderId="5" xfId="0" applyFont="1" applyBorder="1" applyAlignment="1">
      <alignment horizontal="center" vertical="top" wrapText="1"/>
    </xf>
    <xf numFmtId="3" fontId="29" fillId="0" borderId="1" xfId="0" applyNumberFormat="1" applyFont="1" applyBorder="1" applyAlignment="1">
      <alignment horizontal="center" vertical="center" wrapText="1"/>
    </xf>
    <xf numFmtId="3" fontId="1" fillId="0" borderId="11" xfId="0" applyFont="1" applyBorder="1">
      <alignment horizontal="left" vertical="center" wrapText="1"/>
    </xf>
    <xf numFmtId="3" fontId="14" fillId="0" borderId="1" xfId="0" applyFont="1" applyBorder="1" applyAlignment="1">
      <alignment horizontal="left" vertical="center" wrapText="1"/>
    </xf>
    <xf numFmtId="3" fontId="1" fillId="9" borderId="2" xfId="0" applyFont="1" applyFill="1" applyBorder="1" applyAlignment="1">
      <alignment horizontal="left" vertical="top" wrapText="1"/>
    </xf>
    <xf numFmtId="3" fontId="1" fillId="0" borderId="6" xfId="0" applyFont="1" applyBorder="1" applyAlignment="1">
      <alignment horizontal="center" vertical="top" wrapText="1"/>
    </xf>
    <xf numFmtId="3" fontId="1" fillId="0" borderId="15" xfId="0" applyFont="1" applyBorder="1" applyAlignment="1">
      <alignment horizontal="center" vertical="top" wrapText="1"/>
    </xf>
    <xf numFmtId="3" fontId="1" fillId="0" borderId="13" xfId="0" applyFont="1" applyBorder="1" applyAlignment="1">
      <alignment horizontal="center" vertical="top" wrapText="1"/>
    </xf>
    <xf numFmtId="3" fontId="2" fillId="6" borderId="1" xfId="0" applyFont="1" applyFill="1" applyBorder="1">
      <alignment horizontal="left" vertical="center" wrapText="1"/>
    </xf>
    <xf numFmtId="3" fontId="1" fillId="6" borderId="2" xfId="0" applyFont="1" applyFill="1" applyBorder="1">
      <alignment horizontal="left" vertical="center" wrapText="1"/>
    </xf>
    <xf numFmtId="3" fontId="2" fillId="0" borderId="13" xfId="0" applyFont="1" applyFill="1" applyBorder="1" applyAlignment="1">
      <alignment horizontal="center"/>
    </xf>
    <xf numFmtId="3" fontId="2" fillId="0" borderId="1" xfId="0" applyFont="1" applyFill="1" applyBorder="1" applyAlignment="1">
      <alignment horizontal="center" vertical="center" wrapText="1"/>
    </xf>
    <xf numFmtId="3" fontId="2" fillId="0" borderId="1" xfId="0" applyFont="1" applyFill="1" applyBorder="1" applyAlignment="1">
      <alignment vertical="center" wrapText="1"/>
    </xf>
    <xf numFmtId="3" fontId="25" fillId="0" borderId="1" xfId="0" applyFont="1" applyFill="1" applyBorder="1" applyAlignment="1">
      <alignment horizontal="center"/>
    </xf>
    <xf numFmtId="3" fontId="25" fillId="0" borderId="5" xfId="0" applyFont="1" applyBorder="1" applyAlignment="1"/>
    <xf numFmtId="3" fontId="25" fillId="0" borderId="1" xfId="0" applyFont="1" applyBorder="1" applyAlignment="1"/>
    <xf numFmtId="178" fontId="22" fillId="0" borderId="1" xfId="0" applyNumberFormat="1" applyFont="1" applyFill="1" applyBorder="1">
      <alignment horizontal="left" vertical="center" wrapText="1"/>
    </xf>
    <xf numFmtId="178" fontId="22" fillId="0" borderId="1" xfId="0" applyNumberFormat="1" applyFont="1" applyFill="1" applyBorder="1" applyAlignment="1">
      <alignment wrapText="1"/>
    </xf>
    <xf numFmtId="3" fontId="22" fillId="0" borderId="1" xfId="0" applyFont="1" applyFill="1" applyBorder="1">
      <alignment horizontal="left" vertical="center" wrapText="1"/>
    </xf>
    <xf numFmtId="3" fontId="22" fillId="0" borderId="1" xfId="0" applyFont="1" applyFill="1" applyBorder="1" applyAlignment="1">
      <alignment wrapText="1"/>
    </xf>
    <xf numFmtId="178" fontId="22" fillId="0" borderId="7" xfId="0" applyNumberFormat="1" applyFont="1" applyBorder="1" applyAlignment="1">
      <alignment wrapText="1"/>
    </xf>
    <xf numFmtId="178" fontId="25" fillId="0" borderId="7" xfId="0" applyNumberFormat="1" applyFont="1" applyBorder="1">
      <alignment horizontal="left" vertical="center" wrapText="1"/>
    </xf>
    <xf numFmtId="178" fontId="25" fillId="0" borderId="7" xfId="0" applyNumberFormat="1" applyFont="1" applyFill="1" applyBorder="1">
      <alignment horizontal="left" vertical="center" wrapText="1"/>
    </xf>
    <xf numFmtId="178" fontId="0" fillId="0" borderId="7" xfId="0" applyNumberFormat="1" applyFill="1" applyBorder="1">
      <alignment horizontal="left" vertical="center" wrapText="1"/>
    </xf>
    <xf numFmtId="178" fontId="25" fillId="0" borderId="5" xfId="0" applyNumberFormat="1" applyFont="1" applyBorder="1">
      <alignment horizontal="left" vertical="center" wrapText="1"/>
    </xf>
    <xf numFmtId="178" fontId="22" fillId="0" borderId="1" xfId="0" applyNumberFormat="1" applyFont="1" applyFill="1" applyBorder="1" applyAlignment="1">
      <alignment horizontal="center"/>
    </xf>
    <xf numFmtId="3" fontId="25" fillId="0" borderId="11" xfId="0" applyFont="1" applyBorder="1">
      <alignment horizontal="left" vertical="center" wrapText="1"/>
    </xf>
    <xf numFmtId="3" fontId="25" fillId="0" borderId="13" xfId="0" applyFont="1" applyBorder="1">
      <alignment horizontal="left" vertical="center" wrapText="1"/>
    </xf>
    <xf numFmtId="0" fontId="1" fillId="0" borderId="0" xfId="0" applyNumberFormat="1" applyFont="1" applyFill="1" applyAlignment="1">
      <alignment horizontal="left"/>
    </xf>
    <xf numFmtId="0" fontId="43" fillId="0" borderId="0" xfId="0" applyNumberFormat="1" applyFont="1" applyAlignment="1"/>
    <xf numFmtId="14" fontId="43" fillId="0" borderId="0" xfId="0" applyNumberFormat="1" applyFont="1" applyAlignment="1"/>
    <xf numFmtId="49" fontId="43" fillId="0" borderId="0" xfId="0" applyNumberFormat="1" applyFont="1" applyAlignment="1"/>
    <xf numFmtId="165" fontId="43" fillId="0" borderId="0" xfId="0" applyNumberFormat="1" applyFont="1" applyAlignment="1"/>
    <xf numFmtId="3" fontId="54" fillId="0" borderId="0" xfId="0" applyFont="1" applyFill="1" applyBorder="1" applyAlignment="1">
      <alignment horizontal="left" vertical="center" wrapText="1"/>
    </xf>
    <xf numFmtId="3" fontId="55" fillId="22" borderId="27" xfId="0" applyFont="1" applyFill="1" applyBorder="1" applyAlignment="1">
      <alignment horizontal="left" vertical="top" wrapText="1"/>
    </xf>
    <xf numFmtId="3" fontId="54" fillId="22" borderId="1" xfId="0" applyFont="1" applyFill="1" applyBorder="1" applyAlignment="1">
      <alignment horizontal="left" vertical="center" wrapText="1"/>
    </xf>
    <xf numFmtId="14" fontId="54" fillId="22" borderId="1" xfId="0" applyNumberFormat="1" applyFont="1" applyFill="1" applyBorder="1" applyAlignment="1">
      <alignment horizontal="left" vertical="center" wrapText="1"/>
    </xf>
    <xf numFmtId="3" fontId="54" fillId="24" borderId="1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3" fontId="0" fillId="0" borderId="7" xfId="0" applyNumberFormat="1" applyFill="1" applyBorder="1">
      <alignment horizontal="left" vertical="center" wrapText="1"/>
    </xf>
    <xf numFmtId="171" fontId="54" fillId="22" borderId="1" xfId="0" applyNumberFormat="1" applyFont="1" applyFill="1" applyBorder="1" applyAlignment="1">
      <alignment horizontal="left" vertical="center" wrapText="1"/>
    </xf>
    <xf numFmtId="3" fontId="0" fillId="0" borderId="8" xfId="0" applyBorder="1">
      <alignment horizontal="left" vertical="center" wrapText="1"/>
    </xf>
    <xf numFmtId="171" fontId="54" fillId="22" borderId="8" xfId="0" applyNumberFormat="1" applyFont="1" applyFill="1" applyBorder="1" applyAlignment="1">
      <alignment horizontal="left" vertical="center" wrapText="1"/>
    </xf>
    <xf numFmtId="3" fontId="54" fillId="22" borderId="8" xfId="0" applyFont="1" applyFill="1" applyBorder="1" applyAlignment="1">
      <alignment horizontal="left" vertical="center" wrapText="1"/>
    </xf>
    <xf numFmtId="3" fontId="5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/>
    </xf>
    <xf numFmtId="164" fontId="2" fillId="7" borderId="1" xfId="0" applyNumberFormat="1" applyFont="1" applyFill="1" applyBorder="1">
      <alignment horizontal="left" vertical="center" wrapText="1"/>
    </xf>
    <xf numFmtId="14" fontId="54" fillId="22" borderId="8" xfId="0" applyNumberFormat="1" applyFont="1" applyFill="1" applyBorder="1" applyAlignment="1">
      <alignment horizontal="left" vertical="center" wrapText="1"/>
    </xf>
    <xf numFmtId="3" fontId="54" fillId="0" borderId="8" xfId="0" applyFont="1" applyFill="1" applyBorder="1" applyAlignment="1">
      <alignment horizontal="left" vertical="center" wrapText="1"/>
    </xf>
    <xf numFmtId="3" fontId="0" fillId="22" borderId="8" xfId="0" applyFill="1" applyBorder="1">
      <alignment horizontal="left" vertical="center" wrapText="1"/>
    </xf>
    <xf numFmtId="14" fontId="54" fillId="22" borderId="2" xfId="0" applyNumberFormat="1" applyFont="1" applyFill="1" applyBorder="1" applyAlignment="1">
      <alignment horizontal="left" vertical="center" wrapText="1"/>
    </xf>
    <xf numFmtId="3" fontId="57" fillId="23" borderId="28" xfId="0" applyFont="1" applyFill="1" applyBorder="1" applyAlignment="1">
      <alignment horizontal="left" vertical="top" wrapText="1"/>
    </xf>
    <xf numFmtId="14" fontId="1" fillId="0" borderId="1" xfId="0" applyNumberFormat="1" applyFont="1" applyBorder="1">
      <alignment horizontal="left" vertical="center" wrapText="1"/>
    </xf>
    <xf numFmtId="3" fontId="2" fillId="7" borderId="0" xfId="0" applyFont="1" applyFill="1" applyBorder="1" applyAlignment="1">
      <alignment horizontal="right" vertical="center" wrapText="1"/>
    </xf>
    <xf numFmtId="164" fontId="10" fillId="0" borderId="0" xfId="0" applyNumberFormat="1" applyFont="1" applyFill="1">
      <alignment horizontal="left" vertical="center" wrapText="1"/>
    </xf>
    <xf numFmtId="3" fontId="22" fillId="0" borderId="0" xfId="0" applyFont="1" applyFill="1" applyBorder="1" applyAlignment="1"/>
    <xf numFmtId="3" fontId="25" fillId="0" borderId="0" xfId="0" applyFont="1" applyFill="1" applyBorder="1">
      <alignment horizontal="left" vertical="center" wrapText="1"/>
    </xf>
    <xf numFmtId="3" fontId="25" fillId="0" borderId="0" xfId="0" applyFont="1" applyFill="1" applyBorder="1" applyAlignment="1">
      <alignment horizontal="center"/>
    </xf>
    <xf numFmtId="1" fontId="22" fillId="0" borderId="1" xfId="0" applyNumberFormat="1" applyFont="1" applyBorder="1">
      <alignment horizontal="left" vertical="center" wrapText="1"/>
    </xf>
    <xf numFmtId="3" fontId="2" fillId="7" borderId="0" xfId="0" applyFont="1" applyFill="1" applyAlignment="1">
      <alignment horizontal="right" vertical="center" wrapText="1"/>
    </xf>
    <xf numFmtId="0" fontId="23" fillId="0" borderId="13" xfId="6" applyBorder="1">
      <alignment horizontal="left" vertical="center" wrapText="1"/>
    </xf>
    <xf numFmtId="14" fontId="54" fillId="0" borderId="0" xfId="0" applyNumberFormat="1" applyFont="1" applyFill="1" applyBorder="1" applyAlignment="1">
      <alignment horizontal="left" vertical="center" wrapText="1"/>
    </xf>
    <xf numFmtId="3" fontId="2" fillId="7" borderId="0" xfId="0" applyFont="1" applyFill="1" applyBorder="1" applyAlignment="1">
      <alignment horizontal="right" wrapText="1"/>
    </xf>
    <xf numFmtId="14" fontId="54" fillId="22" borderId="10" xfId="0" applyNumberFormat="1" applyFont="1" applyFill="1" applyBorder="1" applyAlignment="1">
      <alignment horizontal="left" vertical="center" wrapText="1"/>
    </xf>
    <xf numFmtId="14" fontId="54" fillId="0" borderId="1" xfId="0" applyNumberFormat="1" applyFont="1" applyFill="1" applyBorder="1" applyAlignment="1">
      <alignment horizontal="left" vertical="center" wrapText="1"/>
    </xf>
    <xf numFmtId="1" fontId="24" fillId="0" borderId="1" xfId="0" applyNumberFormat="1" applyFont="1" applyFill="1" applyBorder="1">
      <alignment horizontal="left" vertical="center" wrapText="1"/>
    </xf>
    <xf numFmtId="1" fontId="25" fillId="7" borderId="1" xfId="0" applyNumberFormat="1" applyFont="1" applyFill="1" applyBorder="1">
      <alignment horizontal="left" vertical="center" wrapText="1"/>
    </xf>
    <xf numFmtId="1" fontId="22" fillId="7" borderId="1" xfId="0" applyNumberFormat="1" applyFont="1" applyFill="1" applyBorder="1">
      <alignment horizontal="left" vertical="center" wrapText="1"/>
    </xf>
    <xf numFmtId="3" fontId="0" fillId="0" borderId="1" xfId="0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37" fillId="0" borderId="1" xfId="0" applyFont="1" applyFill="1" applyBorder="1" applyAlignment="1">
      <alignment vertical="center"/>
    </xf>
    <xf numFmtId="3" fontId="0" fillId="0" borderId="0" xfId="0" applyAlignment="1">
      <alignment vertical="center" wrapText="1"/>
    </xf>
    <xf numFmtId="164" fontId="37" fillId="0" borderId="2" xfId="0" applyNumberFormat="1" applyFont="1" applyBorder="1" applyAlignment="1">
      <alignment horizontal="center"/>
    </xf>
    <xf numFmtId="3" fontId="0" fillId="0" borderId="2" xfId="0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/>
    </xf>
    <xf numFmtId="3" fontId="0" fillId="7" borderId="8" xfId="0" applyFill="1" applyBorder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25" fillId="0" borderId="7" xfId="0" applyFont="1" applyBorder="1" applyAlignment="1">
      <alignment horizontal="left" vertical="center" wrapText="1"/>
    </xf>
    <xf numFmtId="3" fontId="0" fillId="0" borderId="7" xfId="0" applyBorder="1" applyAlignment="1">
      <alignment horizontal="center"/>
    </xf>
    <xf numFmtId="3" fontId="0" fillId="0" borderId="5" xfId="0" applyBorder="1" applyAlignment="1">
      <alignment horizontal="center"/>
    </xf>
    <xf numFmtId="3" fontId="25" fillId="0" borderId="7" xfId="0" applyFont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 wrapText="1"/>
    </xf>
    <xf numFmtId="3" fontId="1" fillId="7" borderId="7" xfId="0" applyFont="1" applyFill="1" applyBorder="1">
      <alignment horizontal="left" vertical="center" wrapText="1"/>
    </xf>
    <xf numFmtId="15" fontId="2" fillId="0" borderId="1" xfId="0" applyNumberFormat="1" applyFont="1" applyFill="1" applyBorder="1">
      <alignment horizontal="left" vertical="center" wrapText="1"/>
    </xf>
    <xf numFmtId="14" fontId="0" fillId="0" borderId="1" xfId="0" applyNumberFormat="1" applyBorder="1">
      <alignment horizontal="left" vertical="center" wrapText="1"/>
    </xf>
    <xf numFmtId="181" fontId="0" fillId="0" borderId="1" xfId="0" applyNumberFormat="1" applyBorder="1">
      <alignment horizontal="left" vertical="center" wrapText="1"/>
    </xf>
    <xf numFmtId="3" fontId="24" fillId="0" borderId="1" xfId="0" applyFont="1" applyFill="1" applyBorder="1" applyAlignment="1">
      <alignment horizontal="left" vertical="center" wrapText="1"/>
    </xf>
    <xf numFmtId="3" fontId="24" fillId="0" borderId="1" xfId="0" applyFont="1" applyBorder="1" applyAlignment="1">
      <alignment horizontal="left" vertical="center" wrapText="1"/>
    </xf>
    <xf numFmtId="14" fontId="24" fillId="0" borderId="0" xfId="0" applyNumberFormat="1" applyFont="1">
      <alignment horizontal="left" vertical="center" wrapText="1"/>
    </xf>
    <xf numFmtId="3" fontId="0" fillId="0" borderId="2" xfId="0" applyBorder="1">
      <alignment horizontal="left" vertical="center" wrapText="1"/>
    </xf>
    <xf numFmtId="3" fontId="0" fillId="0" borderId="1" xfId="0" applyBorder="1" applyAlignment="1">
      <alignment horizontal="center"/>
    </xf>
    <xf numFmtId="3" fontId="25" fillId="7" borderId="0" xfId="0" applyFont="1" applyFill="1" applyBorder="1">
      <alignment horizontal="left" vertical="center" wrapText="1"/>
    </xf>
    <xf numFmtId="3" fontId="25" fillId="0" borderId="5" xfId="0" applyFont="1" applyBorder="1" applyAlignment="1">
      <alignment vertical="center" wrapText="1"/>
    </xf>
    <xf numFmtId="3" fontId="25" fillId="0" borderId="1" xfId="0" applyFont="1" applyBorder="1" applyAlignment="1">
      <alignment vertical="center" wrapText="1"/>
    </xf>
    <xf numFmtId="3" fontId="0" fillId="0" borderId="0" xfId="0" applyAlignment="1">
      <alignment horizontal="left"/>
    </xf>
    <xf numFmtId="3" fontId="54" fillId="0" borderId="29" xfId="0" applyFont="1" applyFill="1" applyBorder="1" applyAlignment="1">
      <alignment horizontal="left" vertical="center" wrapText="1"/>
    </xf>
    <xf numFmtId="14" fontId="54" fillId="0" borderId="7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/>
    </xf>
    <xf numFmtId="3" fontId="0" fillId="7" borderId="1" xfId="0" applyFill="1" applyBorder="1" applyAlignment="1">
      <alignment horizontal="center" vertical="center" wrapText="1"/>
    </xf>
    <xf numFmtId="182" fontId="0" fillId="0" borderId="1" xfId="0" applyNumberFormat="1" applyFill="1" applyBorder="1" applyAlignment="1"/>
    <xf numFmtId="18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171" fontId="0" fillId="0" borderId="0" xfId="0" applyNumberFormat="1">
      <alignment horizontal="left" vertical="center" wrapText="1"/>
    </xf>
    <xf numFmtId="179" fontId="0" fillId="0" borderId="0" xfId="0" applyNumberFormat="1">
      <alignment horizontal="left" vertical="center" wrapText="1"/>
    </xf>
    <xf numFmtId="4" fontId="58" fillId="25" borderId="0" xfId="8" applyNumberFormat="1" applyAlignment="1">
      <alignment horizontal="left" vertical="center" wrapText="1"/>
    </xf>
    <xf numFmtId="3" fontId="0" fillId="0" borderId="1" xfId="0" applyBorder="1" applyAlignment="1">
      <alignment vertical="center" wrapText="1"/>
    </xf>
    <xf numFmtId="183" fontId="0" fillId="0" borderId="1" xfId="0" applyNumberFormat="1" applyBorder="1">
      <alignment horizontal="left" vertical="center" wrapText="1"/>
    </xf>
    <xf numFmtId="183" fontId="0" fillId="0" borderId="1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wrapText="1"/>
    </xf>
    <xf numFmtId="3" fontId="0" fillId="0" borderId="0" xfId="0" applyBorder="1" applyAlignment="1">
      <alignment vertical="center" wrapText="1"/>
    </xf>
    <xf numFmtId="0" fontId="0" fillId="0" borderId="0" xfId="0" applyNumberFormat="1" applyFill="1" applyBorder="1" applyAlignment="1"/>
    <xf numFmtId="0" fontId="0" fillId="7" borderId="7" xfId="0" applyNumberFormat="1" applyFill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185" fontId="0" fillId="0" borderId="1" xfId="5" applyNumberFormat="1" applyFont="1" applyBorder="1" applyAlignment="1">
      <alignment horizontal="center" vertical="center" wrapText="1"/>
    </xf>
    <xf numFmtId="9" fontId="0" fillId="0" borderId="1" xfId="5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>
      <alignment horizontal="left" vertical="center" wrapText="1"/>
    </xf>
    <xf numFmtId="0" fontId="0" fillId="7" borderId="8" xfId="0" applyNumberFormat="1" applyFill="1" applyBorder="1" applyAlignment="1">
      <alignment vertical="center"/>
    </xf>
    <xf numFmtId="164" fontId="0" fillId="7" borderId="1" xfId="0" applyNumberFormat="1" applyFill="1" applyBorder="1" applyAlignment="1"/>
    <xf numFmtId="0" fontId="0" fillId="7" borderId="1" xfId="0" applyNumberFormat="1" applyFill="1" applyBorder="1">
      <alignment horizontal="left" vertical="center" wrapText="1"/>
    </xf>
    <xf numFmtId="0" fontId="0" fillId="7" borderId="1" xfId="0" applyNumberFormat="1" applyFill="1" applyBorder="1" applyAlignment="1">
      <alignment horizontal="center" vertical="center"/>
    </xf>
    <xf numFmtId="171" fontId="0" fillId="0" borderId="0" xfId="0" applyNumberFormat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3" fontId="14" fillId="0" borderId="0" xfId="0" applyFont="1" applyBorder="1" applyAlignment="1">
      <alignment horizontal="left"/>
    </xf>
    <xf numFmtId="3" fontId="0" fillId="0" borderId="1" xfId="0" applyFont="1" applyBorder="1" applyAlignment="1">
      <alignment horizontal="left"/>
    </xf>
    <xf numFmtId="3" fontId="0" fillId="0" borderId="1" xfId="0" applyFont="1" applyBorder="1">
      <alignment horizontal="left" vertical="center" wrapText="1"/>
    </xf>
    <xf numFmtId="3" fontId="0" fillId="0" borderId="1" xfId="0" applyFont="1" applyFill="1" applyBorder="1">
      <alignment horizontal="left" vertical="center" wrapText="1"/>
    </xf>
    <xf numFmtId="3" fontId="0" fillId="0" borderId="1" xfId="0" applyFont="1" applyBorder="1" applyAlignment="1">
      <alignment horizontal="left" wrapText="1"/>
    </xf>
    <xf numFmtId="9" fontId="0" fillId="0" borderId="1" xfId="5" applyFont="1" applyBorder="1" applyAlignment="1">
      <alignment horizontal="left"/>
    </xf>
    <xf numFmtId="3" fontId="0" fillId="7" borderId="8" xfId="0" applyFill="1" applyBorder="1" applyAlignment="1">
      <alignment vertical="center" wrapText="1"/>
    </xf>
    <xf numFmtId="185" fontId="0" fillId="0" borderId="1" xfId="5" applyNumberFormat="1" applyFont="1" applyBorder="1" applyAlignment="1">
      <alignment horizontal="left" vertical="center" wrapText="1"/>
    </xf>
    <xf numFmtId="0" fontId="0" fillId="7" borderId="1" xfId="0" applyNumberFormat="1" applyFill="1" applyBorder="1" applyAlignment="1">
      <alignment vertical="center"/>
    </xf>
    <xf numFmtId="178" fontId="22" fillId="0" borderId="1" xfId="0" applyNumberFormat="1" applyFont="1" applyFill="1" applyBorder="1" applyAlignment="1"/>
    <xf numFmtId="178" fontId="22" fillId="0" borderId="5" xfId="0" applyNumberFormat="1" applyFont="1" applyFill="1" applyBorder="1" applyAlignment="1">
      <alignment horizontal="center"/>
    </xf>
    <xf numFmtId="178" fontId="25" fillId="0" borderId="8" xfId="0" applyNumberFormat="1" applyFont="1" applyBorder="1">
      <alignment horizontal="left" vertical="center" wrapText="1"/>
    </xf>
    <xf numFmtId="178" fontId="22" fillId="0" borderId="8" xfId="0" applyNumberFormat="1" applyFont="1" applyBorder="1">
      <alignment horizontal="left" vertical="center" wrapText="1"/>
    </xf>
    <xf numFmtId="178" fontId="22" fillId="0" borderId="8" xfId="0" applyNumberFormat="1" applyFont="1" applyBorder="1" applyAlignment="1">
      <alignment wrapText="1"/>
    </xf>
    <xf numFmtId="3" fontId="59" fillId="16" borderId="7" xfId="0" applyFont="1" applyFill="1" applyBorder="1" applyAlignment="1"/>
    <xf numFmtId="164" fontId="12" fillId="7" borderId="0" xfId="0" applyNumberFormat="1" applyFont="1" applyFill="1">
      <alignment horizontal="left" vertical="center" wrapText="1"/>
    </xf>
    <xf numFmtId="3" fontId="0" fillId="7" borderId="1" xfId="0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7" borderId="8" xfId="0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3" fontId="0" fillId="0" borderId="1" xfId="0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40" fillId="7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2" fillId="0" borderId="0" xfId="0" applyNumberFormat="1" applyFont="1" applyAlignment="1"/>
    <xf numFmtId="49" fontId="2" fillId="0" borderId="0" xfId="0" applyNumberFormat="1" applyFont="1" applyAlignment="1"/>
    <xf numFmtId="0" fontId="1" fillId="7" borderId="0" xfId="0" applyNumberFormat="1" applyFont="1" applyFill="1" applyAlignment="1"/>
    <xf numFmtId="0" fontId="1" fillId="7" borderId="0" xfId="0" applyNumberFormat="1" applyFont="1" applyFill="1" applyAlignment="1">
      <alignment horizontal="left"/>
    </xf>
    <xf numFmtId="14" fontId="1" fillId="7" borderId="0" xfId="0" applyNumberFormat="1" applyFont="1" applyFill="1" applyAlignment="1">
      <alignment horizontal="right"/>
    </xf>
    <xf numFmtId="0" fontId="1" fillId="7" borderId="0" xfId="0" applyNumberFormat="1" applyFont="1" applyFill="1" applyBorder="1" applyAlignment="1">
      <alignment horizontal="left"/>
    </xf>
    <xf numFmtId="0" fontId="0" fillId="7" borderId="0" xfId="0" applyNumberFormat="1" applyFill="1" applyBorder="1" applyAlignment="1">
      <alignment horizontal="left"/>
    </xf>
    <xf numFmtId="49" fontId="0" fillId="7" borderId="0" xfId="0" applyNumberFormat="1" applyFill="1" applyAlignment="1"/>
    <xf numFmtId="0" fontId="0" fillId="7" borderId="0" xfId="0" applyNumberFormat="1" applyFill="1" applyAlignment="1"/>
    <xf numFmtId="1" fontId="1" fillId="7" borderId="0" xfId="0" applyNumberFormat="1" applyFont="1" applyFill="1" applyAlignment="1"/>
    <xf numFmtId="14" fontId="1" fillId="7" borderId="0" xfId="0" applyNumberFormat="1" applyFont="1" applyFill="1" applyAlignment="1"/>
    <xf numFmtId="1" fontId="0" fillId="7" borderId="0" xfId="0" applyNumberFormat="1" applyFill="1" applyAlignment="1"/>
    <xf numFmtId="0" fontId="0" fillId="7" borderId="0" xfId="0" applyNumberFormat="1" applyFont="1" applyFill="1" applyAlignment="1"/>
    <xf numFmtId="0" fontId="1" fillId="7" borderId="0" xfId="0" applyNumberFormat="1" applyFont="1" applyFill="1" applyBorder="1" applyAlignment="1">
      <alignment horizontal="right"/>
    </xf>
    <xf numFmtId="14" fontId="0" fillId="7" borderId="0" xfId="0" applyNumberFormat="1" applyFill="1" applyAlignment="1"/>
    <xf numFmtId="14" fontId="60" fillId="7" borderId="5" xfId="0" applyNumberFormat="1" applyFont="1" applyFill="1" applyBorder="1" applyAlignment="1">
      <alignment vertical="center" wrapText="1"/>
    </xf>
    <xf numFmtId="14" fontId="60" fillId="7" borderId="1" xfId="0" applyNumberFormat="1" applyFont="1" applyFill="1" applyBorder="1">
      <alignment horizontal="left" vertical="center" wrapText="1"/>
    </xf>
    <xf numFmtId="3" fontId="60" fillId="7" borderId="1" xfId="0" applyFont="1" applyFill="1" applyBorder="1" applyAlignment="1">
      <alignment vertical="center" wrapText="1"/>
    </xf>
    <xf numFmtId="3" fontId="61" fillId="0" borderId="1" xfId="0" applyFont="1" applyBorder="1" applyAlignment="1">
      <alignment vertical="top" wrapText="1"/>
    </xf>
    <xf numFmtId="20" fontId="61" fillId="0" borderId="1" xfId="0" applyNumberFormat="1" applyFont="1" applyBorder="1">
      <alignment horizontal="left" vertical="center" wrapText="1"/>
    </xf>
    <xf numFmtId="171" fontId="61" fillId="0" borderId="2" xfId="0" applyNumberFormat="1" applyFont="1" applyBorder="1">
      <alignment horizontal="left" vertical="center" wrapText="1"/>
    </xf>
    <xf numFmtId="3" fontId="61" fillId="0" borderId="7" xfId="0" applyFont="1" applyBorder="1" applyAlignment="1">
      <alignment vertical="top" wrapText="1"/>
    </xf>
    <xf numFmtId="4" fontId="61" fillId="0" borderId="1" xfId="0" applyNumberFormat="1" applyFont="1" applyBorder="1">
      <alignment horizontal="left" vertical="center" wrapText="1"/>
    </xf>
    <xf numFmtId="181" fontId="61" fillId="0" borderId="1" xfId="0" applyNumberFormat="1" applyFont="1" applyBorder="1">
      <alignment horizontal="left" vertical="center" wrapText="1"/>
    </xf>
    <xf numFmtId="3" fontId="61" fillId="7" borderId="1" xfId="0" applyFont="1" applyFill="1" applyBorder="1">
      <alignment horizontal="left" vertical="center" wrapText="1"/>
    </xf>
    <xf numFmtId="3" fontId="61" fillId="7" borderId="1" xfId="0" applyFont="1" applyFill="1" applyBorder="1" applyAlignment="1">
      <alignment vertical="top" wrapText="1"/>
    </xf>
    <xf numFmtId="3" fontId="61" fillId="0" borderId="1" xfId="0" applyFont="1" applyBorder="1">
      <alignment horizontal="left" vertical="center" wrapText="1"/>
    </xf>
    <xf numFmtId="3" fontId="40" fillId="7" borderId="7" xfId="0" applyFont="1" applyFill="1" applyBorder="1" applyAlignment="1">
      <alignment vertical="top" wrapText="1"/>
    </xf>
    <xf numFmtId="14" fontId="45" fillId="7" borderId="1" xfId="6" applyNumberFormat="1" applyFont="1" applyFill="1">
      <alignment horizontal="left" vertical="center" wrapText="1"/>
    </xf>
    <xf numFmtId="14" fontId="22" fillId="7" borderId="1" xfId="6" applyNumberFormat="1" applyFont="1" applyFill="1">
      <alignment horizontal="left" vertical="center" wrapText="1"/>
    </xf>
    <xf numFmtId="3" fontId="25" fillId="0" borderId="1" xfId="0" applyFont="1" applyBorder="1" applyAlignment="1">
      <alignment vertical="center"/>
    </xf>
    <xf numFmtId="3" fontId="0" fillId="0" borderId="1" xfId="0" applyBorder="1" applyAlignment="1">
      <alignment horizontal="center" vertical="center" wrapText="1"/>
    </xf>
    <xf numFmtId="3" fontId="63" fillId="0" borderId="16" xfId="0" applyFont="1" applyBorder="1" applyAlignment="1">
      <alignment horizontal="left" vertical="top" wrapText="1"/>
    </xf>
    <xf numFmtId="3" fontId="64" fillId="0" borderId="16" xfId="0" applyFont="1" applyBorder="1" applyAlignment="1">
      <alignment horizontal="left" vertical="top" wrapText="1"/>
    </xf>
    <xf numFmtId="3" fontId="64" fillId="0" borderId="16" xfId="0" applyFont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left"/>
    </xf>
    <xf numFmtId="171" fontId="40" fillId="0" borderId="1" xfId="0" applyNumberFormat="1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179" fontId="40" fillId="0" borderId="1" xfId="0" applyNumberFormat="1" applyFont="1" applyBorder="1" applyAlignment="1">
      <alignment horizontal="center" vertical="center" wrapText="1"/>
    </xf>
    <xf numFmtId="171" fontId="0" fillId="7" borderId="1" xfId="0" applyNumberForma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 wrapText="1"/>
    </xf>
    <xf numFmtId="171" fontId="64" fillId="0" borderId="16" xfId="0" applyNumberFormat="1" applyFont="1" applyBorder="1" applyAlignment="1">
      <alignment horizontal="center" vertical="top" wrapText="1"/>
    </xf>
    <xf numFmtId="4" fontId="64" fillId="0" borderId="16" xfId="0" applyNumberFormat="1" applyFont="1" applyBorder="1" applyAlignment="1">
      <alignment horizontal="center" vertical="top" wrapText="1"/>
    </xf>
    <xf numFmtId="181" fontId="64" fillId="0" borderId="16" xfId="0" applyNumberFormat="1" applyFont="1" applyBorder="1" applyAlignment="1">
      <alignment horizontal="center" vertical="top" wrapText="1"/>
    </xf>
    <xf numFmtId="14" fontId="65" fillId="7" borderId="1" xfId="6" applyNumberFormat="1" applyFont="1" applyFill="1" applyAlignment="1">
      <alignment vertical="center" wrapText="1"/>
    </xf>
    <xf numFmtId="14" fontId="65" fillId="7" borderId="1" xfId="0" applyNumberFormat="1" applyFont="1" applyFill="1" applyBorder="1" applyAlignment="1">
      <alignment vertical="center" wrapText="1"/>
    </xf>
    <xf numFmtId="178" fontId="40" fillId="0" borderId="1" xfId="0" applyNumberFormat="1" applyFont="1" applyFill="1" applyBorder="1" applyAlignment="1"/>
    <xf numFmtId="2" fontId="40" fillId="0" borderId="1" xfId="0" applyNumberFormat="1" applyFont="1" applyFill="1" applyBorder="1" applyAlignment="1"/>
    <xf numFmtId="0" fontId="40" fillId="0" borderId="1" xfId="0" applyNumberFormat="1" applyFont="1" applyBorder="1" applyAlignment="1">
      <alignment horizontal="center"/>
    </xf>
    <xf numFmtId="3" fontId="40" fillId="0" borderId="1" xfId="0" applyFont="1" applyBorder="1" applyAlignment="1">
      <alignment vertical="center"/>
    </xf>
    <xf numFmtId="2" fontId="40" fillId="0" borderId="1" xfId="0" applyNumberFormat="1" applyFont="1" applyBorder="1" applyAlignment="1">
      <alignment vertical="center"/>
    </xf>
    <xf numFmtId="1" fontId="40" fillId="0" borderId="1" xfId="0" applyNumberFormat="1" applyFont="1" applyFill="1" applyBorder="1" applyAlignment="1"/>
    <xf numFmtId="1" fontId="40" fillId="0" borderId="1" xfId="0" applyNumberFormat="1" applyFont="1" applyBorder="1" applyAlignment="1">
      <alignment vertical="center"/>
    </xf>
    <xf numFmtId="3" fontId="40" fillId="0" borderId="1" xfId="0" applyNumberFormat="1" applyFont="1" applyFill="1" applyBorder="1" applyAlignment="1"/>
    <xf numFmtId="3" fontId="40" fillId="0" borderId="1" xfId="0" applyNumberFormat="1" applyFont="1" applyBorder="1" applyAlignment="1">
      <alignment horizontal="center"/>
    </xf>
    <xf numFmtId="3" fontId="40" fillId="0" borderId="1" xfId="0" applyFont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3" fontId="22" fillId="7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4" fontId="67" fillId="0" borderId="1" xfId="0" applyNumberFormat="1" applyFont="1" applyBorder="1">
      <alignment horizontal="left" vertical="center" wrapText="1"/>
    </xf>
    <xf numFmtId="14" fontId="6" fillId="0" borderId="1" xfId="0" applyNumberFormat="1" applyFont="1" applyFill="1" applyBorder="1" applyAlignment="1">
      <alignment horizontal="left"/>
    </xf>
    <xf numFmtId="14" fontId="47" fillId="0" borderId="1" xfId="0" applyNumberFormat="1" applyFont="1" applyBorder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64" fontId="38" fillId="15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14" fontId="47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/>
    </xf>
    <xf numFmtId="3" fontId="0" fillId="8" borderId="1" xfId="0" applyFill="1" applyBorder="1" applyAlignment="1">
      <alignment horizontal="center" vertical="center" wrapText="1"/>
    </xf>
    <xf numFmtId="3" fontId="0" fillId="8" borderId="1" xfId="0" applyFill="1" applyBorder="1">
      <alignment horizontal="left" vertical="center" wrapText="1"/>
    </xf>
    <xf numFmtId="3" fontId="0" fillId="7" borderId="10" xfId="0" applyFill="1" applyBorder="1" applyAlignment="1">
      <alignment horizontal="center" vertical="center" wrapText="1"/>
    </xf>
    <xf numFmtId="3" fontId="0" fillId="0" borderId="1" xfId="0" applyFill="1" applyBorder="1" applyAlignment="1">
      <alignment horizontal="center" wrapText="1"/>
    </xf>
    <xf numFmtId="3" fontId="0" fillId="0" borderId="1" xfId="0" applyBorder="1" applyAlignment="1">
      <alignment horizontal="center" wrapText="1"/>
    </xf>
    <xf numFmtId="171" fontId="1" fillId="0" borderId="1" xfId="0" applyNumberFormat="1" applyFont="1" applyFill="1" applyBorder="1" applyAlignment="1">
      <alignment horizontal="center"/>
    </xf>
    <xf numFmtId="3" fontId="22" fillId="7" borderId="8" xfId="0" applyFont="1" applyFill="1" applyBorder="1" applyAlignment="1">
      <alignment horizontal="left" vertical="center"/>
    </xf>
    <xf numFmtId="3" fontId="22" fillId="7" borderId="2" xfId="0" applyFont="1" applyFill="1" applyBorder="1" applyAlignment="1">
      <alignment horizontal="left" vertical="center"/>
    </xf>
    <xf numFmtId="3" fontId="58" fillId="0" borderId="1" xfId="8" applyNumberFormat="1" applyFill="1" applyBorder="1" applyAlignment="1">
      <alignment horizontal="left" vertical="center" wrapText="1"/>
    </xf>
    <xf numFmtId="3" fontId="0" fillId="7" borderId="1" xfId="0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54" fillId="22" borderId="0" xfId="0" applyFont="1" applyFill="1" applyAlignment="1">
      <alignment horizontal="left" vertical="center" wrapText="1"/>
    </xf>
    <xf numFmtId="3" fontId="54" fillId="22" borderId="36" xfId="0" applyFont="1" applyFill="1" applyBorder="1" applyAlignment="1">
      <alignment horizontal="left" vertical="center" wrapText="1"/>
    </xf>
    <xf numFmtId="3" fontId="54" fillId="22" borderId="0" xfId="0" applyFont="1" applyFill="1" applyBorder="1" applyAlignment="1">
      <alignment horizontal="left" vertical="center" wrapText="1"/>
    </xf>
    <xf numFmtId="3" fontId="54" fillId="19" borderId="40" xfId="0" applyFont="1" applyFill="1" applyBorder="1" applyAlignment="1">
      <alignment horizontal="left" vertical="center" wrapText="1"/>
    </xf>
    <xf numFmtId="3" fontId="54" fillId="19" borderId="41" xfId="0" applyFont="1" applyFill="1" applyBorder="1" applyAlignment="1">
      <alignment horizontal="left" vertical="center" wrapText="1"/>
    </xf>
    <xf numFmtId="3" fontId="54" fillId="19" borderId="42" xfId="0" applyFont="1" applyFill="1" applyBorder="1" applyAlignment="1">
      <alignment horizontal="left" vertical="center" wrapText="1"/>
    </xf>
    <xf numFmtId="14" fontId="54" fillId="19" borderId="37" xfId="0" applyNumberFormat="1" applyFont="1" applyFill="1" applyBorder="1" applyAlignment="1">
      <alignment horizontal="left" vertical="center" wrapText="1"/>
    </xf>
    <xf numFmtId="14" fontId="54" fillId="19" borderId="38" xfId="0" applyNumberFormat="1" applyFont="1" applyFill="1" applyBorder="1" applyAlignment="1">
      <alignment horizontal="left" vertical="center" wrapText="1"/>
    </xf>
    <xf numFmtId="14" fontId="54" fillId="19" borderId="39" xfId="0" applyNumberFormat="1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/>
    </xf>
    <xf numFmtId="3" fontId="0" fillId="0" borderId="7" xfId="0" applyBorder="1" applyAlignment="1">
      <alignment horizontal="left" vertical="top" wrapText="1"/>
    </xf>
    <xf numFmtId="1" fontId="39" fillId="0" borderId="1" xfId="0" applyNumberFormat="1" applyFont="1" applyBorder="1" applyAlignment="1">
      <alignment horizontal="center" vertical="center"/>
    </xf>
    <xf numFmtId="3" fontId="25" fillId="0" borderId="0" xfId="0" applyFont="1" applyAlignment="1">
      <alignment horizontal="left" vertical="center"/>
    </xf>
    <xf numFmtId="3" fontId="14" fillId="0" borderId="1" xfId="0" applyFont="1" applyBorder="1" applyAlignment="1">
      <alignment horizontal="left" vertical="center" wrapText="1"/>
    </xf>
    <xf numFmtId="3" fontId="2" fillId="0" borderId="0" xfId="0" applyFont="1" applyFill="1" applyBorder="1" applyAlignment="1"/>
    <xf numFmtId="3" fontId="2" fillId="0" borderId="0" xfId="0" applyFont="1" applyFill="1" applyBorder="1" applyAlignment="1">
      <alignment horizontal="center"/>
    </xf>
    <xf numFmtId="3" fontId="1" fillId="0" borderId="5" xfId="0" applyFont="1" applyBorder="1" applyAlignment="1">
      <alignment horizontal="center" vertical="top" wrapText="1"/>
    </xf>
    <xf numFmtId="3" fontId="2" fillId="9" borderId="1" xfId="0" applyFont="1" applyFill="1" applyBorder="1" applyAlignment="1">
      <alignment horizontal="left"/>
    </xf>
    <xf numFmtId="3" fontId="1" fillId="0" borderId="1" xfId="0" applyFont="1" applyBorder="1" applyAlignment="1">
      <alignment horizontal="center" vertical="top" wrapText="1"/>
    </xf>
    <xf numFmtId="3" fontId="0" fillId="0" borderId="1" xfId="0" applyBorder="1" applyAlignment="1">
      <alignment horizontal="center" vertical="center" wrapText="1"/>
    </xf>
    <xf numFmtId="3" fontId="1" fillId="0" borderId="7" xfId="0" applyFont="1" applyBorder="1" applyAlignment="1">
      <alignment vertical="top" wrapText="1"/>
    </xf>
    <xf numFmtId="3" fontId="1" fillId="0" borderId="5" xfId="0" applyFont="1" applyBorder="1" applyAlignment="1">
      <alignment vertical="top" wrapText="1"/>
    </xf>
    <xf numFmtId="3" fontId="9" fillId="0" borderId="8" xfId="0" applyFont="1" applyBorder="1" applyAlignment="1">
      <alignment vertical="top" wrapText="1"/>
    </xf>
    <xf numFmtId="2" fontId="2" fillId="0" borderId="0" xfId="0" applyNumberFormat="1" applyFont="1" applyAlignment="1">
      <alignment horizontal="center"/>
    </xf>
    <xf numFmtId="3" fontId="2" fillId="2" borderId="0" xfId="0" applyFont="1" applyFill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1" fillId="0" borderId="0" xfId="0" applyFont="1" applyFill="1" applyAlignment="1"/>
    <xf numFmtId="3" fontId="1" fillId="0" borderId="0" xfId="0" applyFont="1" applyAlignment="1"/>
    <xf numFmtId="3" fontId="0" fillId="0" borderId="0" xfId="0" applyFill="1" applyAlignment="1"/>
    <xf numFmtId="164" fontId="1" fillId="7" borderId="1" xfId="0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/>
    </xf>
    <xf numFmtId="3" fontId="25" fillId="0" borderId="1" xfId="0" applyFont="1" applyBorder="1" applyAlignment="1">
      <alignment horizontal="center" wrapText="1"/>
    </xf>
    <xf numFmtId="171" fontId="25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 vertical="center"/>
    </xf>
    <xf numFmtId="164" fontId="25" fillId="0" borderId="0" xfId="0" applyNumberFormat="1" applyFont="1">
      <alignment horizontal="left" vertical="center" wrapText="1"/>
    </xf>
    <xf numFmtId="3" fontId="47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0" fontId="1" fillId="0" borderId="0" xfId="9" applyFont="1"/>
    <xf numFmtId="14" fontId="1" fillId="0" borderId="0" xfId="9" applyNumberFormat="1" applyFont="1"/>
    <xf numFmtId="1" fontId="1" fillId="0" borderId="0" xfId="9" applyNumberFormat="1" applyFont="1"/>
    <xf numFmtId="14" fontId="1" fillId="0" borderId="0" xfId="9" applyNumberFormat="1" applyFont="1" applyAlignment="1">
      <alignment horizontal="right"/>
    </xf>
    <xf numFmtId="0" fontId="1" fillId="0" borderId="0" xfId="9" applyFont="1" applyAlignment="1">
      <alignment horizontal="left"/>
    </xf>
    <xf numFmtId="164" fontId="1" fillId="0" borderId="0" xfId="9" applyNumberFormat="1" applyFont="1"/>
    <xf numFmtId="0" fontId="17" fillId="0" borderId="0" xfId="10" applyFont="1" applyFill="1" applyBorder="1" applyAlignment="1">
      <alignment horizontal="left"/>
    </xf>
    <xf numFmtId="0" fontId="1" fillId="0" borderId="0" xfId="9" applyFill="1" applyBorder="1" applyAlignment="1">
      <alignment horizontal="left"/>
    </xf>
    <xf numFmtId="0" fontId="17" fillId="0" borderId="0" xfId="10" applyNumberFormat="1" applyFont="1" applyFill="1" applyBorder="1" applyAlignment="1">
      <alignment horizontal="right"/>
    </xf>
    <xf numFmtId="0" fontId="1" fillId="0" borderId="0" xfId="9" applyNumberFormat="1" applyFont="1" applyFill="1" applyBorder="1" applyAlignment="1">
      <alignment horizontal="right"/>
    </xf>
    <xf numFmtId="0" fontId="1" fillId="0" borderId="0" xfId="9" applyNumberFormat="1" applyFont="1"/>
    <xf numFmtId="0" fontId="1" fillId="0" borderId="0" xfId="9" applyNumberFormat="1" applyFont="1" applyAlignment="1">
      <alignment horizontal="left"/>
    </xf>
    <xf numFmtId="0" fontId="1" fillId="0" borderId="0" xfId="9" applyFont="1" applyFill="1"/>
    <xf numFmtId="0" fontId="1" fillId="0" borderId="0" xfId="9" applyFont="1" applyFill="1" applyAlignment="1">
      <alignment horizontal="left"/>
    </xf>
    <xf numFmtId="0" fontId="1" fillId="0" borderId="0" xfId="9" applyNumberFormat="1" applyFont="1" applyFill="1" applyBorder="1" applyAlignment="1">
      <alignment horizontal="left"/>
    </xf>
    <xf numFmtId="176" fontId="1" fillId="0" borderId="0" xfId="9" applyNumberFormat="1" applyFont="1" applyFill="1" applyBorder="1" applyAlignment="1">
      <alignment horizontal="left"/>
    </xf>
    <xf numFmtId="0" fontId="17" fillId="0" borderId="0" xfId="11" applyFont="1" applyFill="1" applyBorder="1" applyAlignment="1">
      <alignment horizontal="left"/>
    </xf>
    <xf numFmtId="164" fontId="1" fillId="0" borderId="0" xfId="9" applyNumberFormat="1" applyFont="1" applyFill="1" applyBorder="1" applyAlignment="1">
      <alignment horizontal="right"/>
    </xf>
    <xf numFmtId="1" fontId="1" fillId="0" borderId="0" xfId="9" applyNumberFormat="1"/>
    <xf numFmtId="0" fontId="17" fillId="0" borderId="0" xfId="10" applyNumberFormat="1" applyFont="1" applyFill="1" applyBorder="1" applyAlignment="1">
      <alignment horizontal="left"/>
    </xf>
    <xf numFmtId="164" fontId="1" fillId="0" borderId="0" xfId="9" applyNumberFormat="1" applyFont="1" applyAlignment="1">
      <alignment horizontal="left"/>
    </xf>
    <xf numFmtId="164" fontId="1" fillId="0" borderId="0" xfId="9" applyNumberFormat="1" applyFont="1" applyFill="1" applyBorder="1" applyAlignment="1">
      <alignment horizontal="left"/>
    </xf>
    <xf numFmtId="0" fontId="1" fillId="0" borderId="0" xfId="9" applyNumberFormat="1" applyFont="1" applyFill="1"/>
    <xf numFmtId="0" fontId="1" fillId="0" borderId="1" xfId="9" applyNumberFormat="1" applyFont="1" applyBorder="1" applyAlignment="1">
      <alignment horizontal="center" vertical="center"/>
    </xf>
    <xf numFmtId="0" fontId="17" fillId="0" borderId="1" xfId="10" applyNumberFormat="1" applyFont="1" applyFill="1" applyBorder="1" applyAlignment="1">
      <alignment horizontal="center" vertical="center"/>
    </xf>
    <xf numFmtId="164" fontId="1" fillId="0" borderId="1" xfId="9" applyNumberFormat="1" applyFont="1" applyBorder="1" applyAlignment="1">
      <alignment horizontal="center" vertical="center"/>
    </xf>
    <xf numFmtId="164" fontId="1" fillId="0" borderId="1" xfId="9" applyNumberFormat="1" applyFont="1" applyFill="1" applyBorder="1" applyAlignment="1">
      <alignment horizontal="center" vertic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0" xfId="0" applyNumberFormat="1" applyFont="1" applyFill="1" applyBorder="1" applyAlignment="1">
      <alignment horizontal="left" wrapText="1"/>
    </xf>
    <xf numFmtId="3" fontId="10" fillId="7" borderId="1" xfId="0" applyFont="1" applyFill="1" applyBorder="1" applyAlignment="1">
      <alignment horizontal="center" vertical="center" wrapText="1"/>
    </xf>
    <xf numFmtId="3" fontId="10" fillId="7" borderId="1" xfId="0" applyFont="1" applyFill="1" applyBorder="1" applyAlignment="1">
      <alignment horizontal="center" vertical="center"/>
    </xf>
    <xf numFmtId="0" fontId="45" fillId="7" borderId="1" xfId="0" applyNumberFormat="1" applyFont="1" applyFill="1" applyBorder="1">
      <alignment horizontal="left" vertical="center" wrapText="1"/>
    </xf>
    <xf numFmtId="3" fontId="45" fillId="7" borderId="1" xfId="0" applyFont="1" applyFill="1" applyBorder="1">
      <alignment horizontal="left" vertical="center" wrapText="1"/>
    </xf>
    <xf numFmtId="3" fontId="1" fillId="0" borderId="1" xfId="0" applyFont="1" applyFill="1" applyBorder="1" applyAlignment="1">
      <alignment horizontal="left" vertical="center" wrapText="1"/>
    </xf>
    <xf numFmtId="3" fontId="6" fillId="0" borderId="1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78" fontId="10" fillId="7" borderId="1" xfId="0" applyNumberFormat="1" applyFont="1" applyFill="1" applyBorder="1">
      <alignment horizontal="left" vertical="center" wrapText="1"/>
    </xf>
    <xf numFmtId="178" fontId="10" fillId="7" borderId="1" xfId="0" applyNumberFormat="1" applyFont="1" applyFill="1" applyBorder="1" applyAlignment="1">
      <alignment horizontal="right"/>
    </xf>
    <xf numFmtId="178" fontId="10" fillId="7" borderId="1" xfId="0" applyNumberFormat="1" applyFont="1" applyFill="1" applyBorder="1" applyAlignment="1">
      <alignment horizontal="left"/>
    </xf>
    <xf numFmtId="171" fontId="2" fillId="0" borderId="0" xfId="0" applyNumberFormat="1" applyFont="1" applyAlignment="1">
      <alignment horizontal="center" vertical="center" wrapText="1"/>
    </xf>
    <xf numFmtId="3" fontId="2" fillId="0" borderId="1" xfId="0" applyFont="1" applyBorder="1" applyAlignment="1">
      <alignment horizontal="center" vertical="center" wrapText="1"/>
    </xf>
    <xf numFmtId="178" fontId="2" fillId="7" borderId="1" xfId="0" applyNumberFormat="1" applyFont="1" applyFill="1" applyBorder="1" applyAlignment="1">
      <alignment vertical="center" wrapText="1"/>
    </xf>
    <xf numFmtId="178" fontId="2" fillId="7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78" fontId="2" fillId="7" borderId="1" xfId="0" applyNumberFormat="1" applyFont="1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8" fontId="12" fillId="7" borderId="1" xfId="0" applyNumberFormat="1" applyFont="1" applyFill="1" applyBorder="1" applyAlignment="1">
      <alignment horizontal="center"/>
    </xf>
    <xf numFmtId="178" fontId="12" fillId="7" borderId="1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Font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>
      <alignment horizontal="left" vertical="center" wrapText="1"/>
    </xf>
    <xf numFmtId="1" fontId="37" fillId="0" borderId="0" xfId="0" applyNumberFormat="1" applyFont="1">
      <alignment horizontal="left" vertical="center" wrapText="1"/>
    </xf>
    <xf numFmtId="3" fontId="25" fillId="0" borderId="1" xfId="0" applyFont="1" applyBorder="1" applyAlignment="1">
      <alignment horizontal="left" vertical="center" wrapText="1"/>
    </xf>
    <xf numFmtId="3" fontId="25" fillId="0" borderId="31" xfId="0" applyFont="1" applyBorder="1" applyAlignment="1">
      <alignment horizontal="left" vertical="center" wrapText="1"/>
    </xf>
    <xf numFmtId="3" fontId="25" fillId="0" borderId="32" xfId="0" applyFont="1" applyBorder="1" applyAlignment="1">
      <alignment horizontal="left" vertical="center" wrapText="1"/>
    </xf>
    <xf numFmtId="3" fontId="25" fillId="0" borderId="32" xfId="0" applyFont="1" applyBorder="1" applyAlignment="1">
      <alignment horizontal="center" vertical="center" wrapText="1"/>
    </xf>
    <xf numFmtId="3" fontId="47" fillId="0" borderId="32" xfId="0" applyFont="1" applyBorder="1" applyAlignment="1">
      <alignment horizontal="left" vertical="center" wrapText="1"/>
    </xf>
    <xf numFmtId="3" fontId="25" fillId="0" borderId="43" xfId="0" applyFont="1" applyBorder="1" applyAlignment="1">
      <alignment horizontal="left" vertical="center" wrapText="1"/>
    </xf>
    <xf numFmtId="14" fontId="25" fillId="0" borderId="32" xfId="0" applyNumberFormat="1" applyFont="1" applyBorder="1" applyAlignment="1">
      <alignment horizontal="left" vertical="center" wrapText="1"/>
    </xf>
    <xf numFmtId="186" fontId="25" fillId="0" borderId="32" xfId="0" applyNumberFormat="1" applyFont="1" applyBorder="1" applyAlignment="1">
      <alignment horizontal="left" vertical="center" wrapText="1"/>
    </xf>
    <xf numFmtId="3" fontId="25" fillId="0" borderId="31" xfId="0" applyFont="1" applyBorder="1" applyAlignment="1">
      <alignment horizontal="center" vertical="center" wrapText="1"/>
    </xf>
    <xf numFmtId="3" fontId="47" fillId="13" borderId="34" xfId="0" applyFont="1" applyFill="1" applyBorder="1" applyAlignment="1">
      <alignment horizontal="center" vertical="center" wrapText="1"/>
    </xf>
    <xf numFmtId="3" fontId="47" fillId="13" borderId="35" xfId="0" applyFont="1" applyFill="1" applyBorder="1" applyAlignment="1">
      <alignment horizontal="center" vertical="center" wrapText="1"/>
    </xf>
    <xf numFmtId="3" fontId="30" fillId="13" borderId="35" xfId="0" applyFont="1" applyFill="1" applyBorder="1" applyAlignment="1">
      <alignment horizontal="center" vertical="center" wrapText="1"/>
    </xf>
    <xf numFmtId="3" fontId="25" fillId="13" borderId="31" xfId="0" applyFont="1" applyFill="1" applyBorder="1" applyAlignment="1">
      <alignment horizontal="left" vertical="center" wrapText="1"/>
    </xf>
    <xf numFmtId="3" fontId="25" fillId="13" borderId="32" xfId="0" applyFont="1" applyFill="1" applyBorder="1" applyAlignment="1">
      <alignment horizontal="left" vertical="center" wrapText="1"/>
    </xf>
    <xf numFmtId="171" fontId="25" fillId="0" borderId="32" xfId="0" applyNumberFormat="1" applyFont="1" applyBorder="1" applyAlignment="1">
      <alignment horizontal="left" vertical="center" wrapText="1"/>
    </xf>
    <xf numFmtId="4" fontId="25" fillId="0" borderId="32" xfId="0" applyNumberFormat="1" applyFont="1" applyBorder="1" applyAlignment="1">
      <alignment horizontal="left" vertical="center" wrapText="1"/>
    </xf>
    <xf numFmtId="4" fontId="25" fillId="0" borderId="43" xfId="0" applyNumberFormat="1" applyFont="1" applyBorder="1" applyAlignment="1">
      <alignment horizontal="left" vertical="center" wrapText="1"/>
    </xf>
    <xf numFmtId="171" fontId="25" fillId="0" borderId="43" xfId="0" applyNumberFormat="1" applyFont="1" applyBorder="1" applyAlignment="1">
      <alignment horizontal="left" vertical="center" wrapText="1"/>
    </xf>
    <xf numFmtId="3" fontId="25" fillId="13" borderId="45" xfId="0" applyFont="1" applyFill="1" applyBorder="1" applyAlignment="1">
      <alignment horizontal="left" vertical="center" wrapText="1"/>
    </xf>
    <xf numFmtId="3" fontId="25" fillId="0" borderId="0" xfId="0" applyFont="1" applyBorder="1" applyAlignment="1">
      <alignment horizontal="left" vertical="center" wrapText="1"/>
    </xf>
    <xf numFmtId="4" fontId="25" fillId="0" borderId="45" xfId="0" applyNumberFormat="1" applyFont="1" applyBorder="1" applyAlignment="1">
      <alignment horizontal="left" vertical="center" wrapText="1"/>
    </xf>
    <xf numFmtId="3" fontId="25" fillId="13" borderId="1" xfId="0" applyFont="1" applyFill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left" vertical="center" wrapText="1"/>
    </xf>
    <xf numFmtId="171" fontId="25" fillId="0" borderId="1" xfId="0" applyNumberFormat="1" applyFont="1" applyBorder="1" applyAlignment="1">
      <alignment horizontal="left" vertical="center" wrapText="1"/>
    </xf>
    <xf numFmtId="3" fontId="69" fillId="0" borderId="31" xfId="0" applyFont="1" applyBorder="1" applyAlignment="1">
      <alignment horizontal="center" vertical="center"/>
    </xf>
    <xf numFmtId="3" fontId="69" fillId="0" borderId="32" xfId="0" applyFont="1" applyBorder="1" applyAlignment="1">
      <alignment horizontal="center" vertical="center"/>
    </xf>
    <xf numFmtId="3" fontId="69" fillId="0" borderId="32" xfId="0" applyFont="1" applyBorder="1" applyAlignment="1">
      <alignment horizontal="left" vertical="center"/>
    </xf>
    <xf numFmtId="3" fontId="69" fillId="0" borderId="32" xfId="0" applyFont="1" applyBorder="1" applyAlignment="1">
      <alignment horizontal="left" vertical="center" wrapText="1"/>
    </xf>
    <xf numFmtId="3" fontId="69" fillId="0" borderId="31" xfId="0" applyFont="1" applyBorder="1" applyAlignment="1">
      <alignment horizontal="center" vertical="center" wrapText="1"/>
    </xf>
    <xf numFmtId="3" fontId="69" fillId="0" borderId="32" xfId="0" applyFont="1" applyBorder="1" applyAlignment="1">
      <alignment horizontal="center" vertical="center" wrapText="1"/>
    </xf>
    <xf numFmtId="3" fontId="71" fillId="0" borderId="32" xfId="0" applyFont="1" applyBorder="1" applyAlignment="1">
      <alignment horizontal="center" vertical="center"/>
    </xf>
    <xf numFmtId="3" fontId="71" fillId="0" borderId="32" xfId="0" applyFont="1" applyBorder="1" applyAlignment="1">
      <alignment horizontal="left" vertical="center"/>
    </xf>
    <xf numFmtId="3" fontId="71" fillId="0" borderId="32" xfId="0" applyFont="1" applyBorder="1" applyAlignment="1">
      <alignment horizontal="left" vertical="center" wrapText="1"/>
    </xf>
    <xf numFmtId="3" fontId="71" fillId="0" borderId="32" xfId="0" applyFont="1" applyBorder="1" applyAlignment="1">
      <alignment horizontal="center" vertical="center" wrapText="1"/>
    </xf>
    <xf numFmtId="3" fontId="71" fillId="0" borderId="33" xfId="0" applyFont="1" applyBorder="1" applyAlignment="1">
      <alignment horizontal="center" vertical="center" wrapText="1"/>
    </xf>
    <xf numFmtId="3" fontId="71" fillId="0" borderId="35" xfId="0" applyFont="1" applyBorder="1" applyAlignment="1">
      <alignment horizontal="center" vertical="center"/>
    </xf>
    <xf numFmtId="3" fontId="38" fillId="13" borderId="34" xfId="0" applyFont="1" applyFill="1" applyBorder="1" applyAlignment="1">
      <alignment horizontal="left" vertical="center" wrapText="1"/>
    </xf>
    <xf numFmtId="3" fontId="38" fillId="13" borderId="35" xfId="0" applyFont="1" applyFill="1" applyBorder="1" applyAlignment="1">
      <alignment horizontal="left" vertical="center" wrapText="1"/>
    </xf>
    <xf numFmtId="3" fontId="68" fillId="13" borderId="35" xfId="0" applyFont="1" applyFill="1" applyBorder="1" applyAlignment="1">
      <alignment horizontal="left" vertical="center"/>
    </xf>
    <xf numFmtId="3" fontId="68" fillId="13" borderId="35" xfId="0" applyFont="1" applyFill="1" applyBorder="1" applyAlignment="1">
      <alignment horizontal="center" vertical="center"/>
    </xf>
    <xf numFmtId="3" fontId="68" fillId="13" borderId="35" xfId="0" applyFont="1" applyFill="1" applyBorder="1" applyAlignment="1">
      <alignment horizontal="left" vertical="center" wrapText="1"/>
    </xf>
    <xf numFmtId="3" fontId="48" fillId="18" borderId="34" xfId="0" applyFont="1" applyFill="1" applyBorder="1" applyAlignment="1">
      <alignment horizontal="center" vertical="center" wrapText="1"/>
    </xf>
    <xf numFmtId="3" fontId="70" fillId="18" borderId="35" xfId="0" applyFont="1" applyFill="1" applyBorder="1" applyAlignment="1">
      <alignment horizontal="center" vertical="center"/>
    </xf>
    <xf numFmtId="3" fontId="70" fillId="18" borderId="35" xfId="0" applyFont="1" applyFill="1" applyBorder="1" applyAlignment="1">
      <alignment horizontal="center" vertical="center" wrapText="1"/>
    </xf>
    <xf numFmtId="3" fontId="71" fillId="0" borderId="32" xfId="0" applyFont="1" applyFill="1" applyBorder="1" applyAlignment="1">
      <alignment horizontal="left" vertical="center"/>
    </xf>
    <xf numFmtId="3" fontId="72" fillId="0" borderId="47" xfId="0" applyFont="1" applyFill="1" applyBorder="1" applyAlignment="1">
      <alignment vertical="center" wrapText="1"/>
    </xf>
    <xf numFmtId="187" fontId="72" fillId="0" borderId="47" xfId="0" applyNumberFormat="1" applyFont="1" applyFill="1" applyBorder="1" applyAlignment="1">
      <alignment horizontal="right" vertical="center" wrapText="1"/>
    </xf>
    <xf numFmtId="171" fontId="71" fillId="0" borderId="32" xfId="0" applyNumberFormat="1" applyFont="1" applyBorder="1" applyAlignment="1">
      <alignment horizontal="left" vertical="center" wrapText="1"/>
    </xf>
    <xf numFmtId="0" fontId="69" fillId="0" borderId="31" xfId="0" applyNumberFormat="1" applyFont="1" applyBorder="1" applyAlignment="1">
      <alignment horizontal="center" vertical="center" wrapText="1"/>
    </xf>
    <xf numFmtId="3" fontId="48" fillId="13" borderId="1" xfId="0" applyFont="1" applyFill="1" applyBorder="1" applyAlignment="1">
      <alignment vertical="center" wrapText="1"/>
    </xf>
    <xf numFmtId="3" fontId="70" fillId="13" borderId="1" xfId="0" applyFont="1" applyFill="1" applyBorder="1" applyAlignment="1">
      <alignment vertical="center"/>
    </xf>
    <xf numFmtId="3" fontId="48" fillId="13" borderId="1" xfId="0" applyFont="1" applyFill="1" applyBorder="1" applyAlignment="1">
      <alignment vertical="center"/>
    </xf>
    <xf numFmtId="0" fontId="71" fillId="0" borderId="31" xfId="0" applyNumberFormat="1" applyFont="1" applyBorder="1" applyAlignment="1">
      <alignment horizontal="center" vertical="center"/>
    </xf>
    <xf numFmtId="0" fontId="71" fillId="0" borderId="31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34" xfId="0" applyNumberFormat="1" applyFont="1" applyBorder="1" applyAlignment="1">
      <alignment horizontal="center" vertical="center"/>
    </xf>
    <xf numFmtId="3" fontId="71" fillId="8" borderId="32" xfId="0" applyFont="1" applyFill="1" applyBorder="1" applyAlignment="1">
      <alignment horizontal="left" vertical="center"/>
    </xf>
    <xf numFmtId="171" fontId="71" fillId="0" borderId="32" xfId="0" applyNumberFormat="1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0" borderId="1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" xfId="0" applyNumberFormat="1" applyBorder="1">
      <alignment horizontal="left" vertical="center" wrapText="1"/>
    </xf>
    <xf numFmtId="171" fontId="1" fillId="0" borderId="1" xfId="0" applyNumberFormat="1" applyFont="1" applyFill="1" applyBorder="1" applyAlignment="1">
      <alignment horizontal="center" vertical="center"/>
    </xf>
    <xf numFmtId="3" fontId="0" fillId="0" borderId="0" xfId="0" applyBorder="1" applyAlignment="1"/>
    <xf numFmtId="3" fontId="0" fillId="0" borderId="0" xfId="0" applyNumberFormat="1" applyBorder="1" applyAlignment="1">
      <alignment horizontal="center" vertical="center"/>
    </xf>
    <xf numFmtId="3" fontId="0" fillId="0" borderId="0" xfId="0" applyFill="1" applyBorder="1" applyAlignment="1"/>
    <xf numFmtId="3" fontId="0" fillId="0" borderId="1" xfId="0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9" fontId="0" fillId="0" borderId="0" xfId="5" applyFont="1" applyAlignment="1">
      <alignment horizontal="left" vertical="center" wrapText="1"/>
    </xf>
    <xf numFmtId="3" fontId="25" fillId="0" borderId="0" xfId="0" applyFont="1" applyAlignment="1">
      <alignment vertical="center" wrapText="1"/>
    </xf>
    <xf numFmtId="3" fontId="25" fillId="7" borderId="8" xfId="0" applyFont="1" applyFill="1" applyBorder="1">
      <alignment horizontal="left" vertical="center" wrapText="1"/>
    </xf>
    <xf numFmtId="3" fontId="47" fillId="7" borderId="8" xfId="0" applyFont="1" applyFill="1" applyBorder="1">
      <alignment horizontal="left" vertical="center" wrapText="1"/>
    </xf>
    <xf numFmtId="9" fontId="0" fillId="0" borderId="1" xfId="5" applyFont="1" applyBorder="1" applyAlignment="1">
      <alignment horizontal="left" vertical="center" wrapText="1"/>
    </xf>
    <xf numFmtId="3" fontId="0" fillId="10" borderId="1" xfId="0" applyFill="1" applyBorder="1">
      <alignment horizontal="left" vertical="center" wrapText="1"/>
    </xf>
    <xf numFmtId="3" fontId="45" fillId="10" borderId="1" xfId="0" applyFont="1" applyFill="1" applyBorder="1">
      <alignment horizontal="left" vertical="center" wrapText="1"/>
    </xf>
    <xf numFmtId="3" fontId="45" fillId="0" borderId="7" xfId="0" applyFont="1" applyBorder="1" applyAlignment="1">
      <alignment horizontal="left" vertical="center" wrapText="1"/>
    </xf>
    <xf numFmtId="3" fontId="47" fillId="0" borderId="0" xfId="0" applyFont="1">
      <alignment horizontal="left" vertical="center" wrapText="1"/>
    </xf>
    <xf numFmtId="3" fontId="45" fillId="0" borderId="0" xfId="0" applyFont="1" applyFill="1" applyBorder="1" applyAlignment="1">
      <alignment horizontal="left" vertical="center" wrapText="1"/>
    </xf>
    <xf numFmtId="3" fontId="0" fillId="0" borderId="0" xfId="0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/>
    </xf>
    <xf numFmtId="188" fontId="37" fillId="0" borderId="1" xfId="0" applyNumberFormat="1" applyFont="1" applyBorder="1">
      <alignment horizontal="left" vertical="center" wrapText="1"/>
    </xf>
    <xf numFmtId="3" fontId="60" fillId="7" borderId="1" xfId="0" applyFont="1" applyFill="1" applyBorder="1">
      <alignment horizontal="left" vertical="center" wrapText="1"/>
    </xf>
    <xf numFmtId="3" fontId="37" fillId="0" borderId="7" xfId="0" applyFont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 wrapText="1"/>
    </xf>
    <xf numFmtId="164" fontId="67" fillId="0" borderId="1" xfId="0" applyNumberFormat="1" applyFont="1" applyFill="1" applyBorder="1" applyAlignment="1">
      <alignment horizontal="center" vertical="center" wrapText="1"/>
    </xf>
    <xf numFmtId="3" fontId="73" fillId="7" borderId="0" xfId="0" applyFont="1" applyFill="1" applyAlignment="1">
      <alignment horizontal="center" vertical="center" wrapText="1"/>
    </xf>
    <xf numFmtId="3" fontId="73" fillId="7" borderId="1" xfId="0" applyFont="1" applyFill="1" applyBorder="1" applyAlignment="1">
      <alignment horizontal="center" vertical="center"/>
    </xf>
    <xf numFmtId="3" fontId="73" fillId="7" borderId="1" xfId="0" applyFont="1" applyFill="1" applyBorder="1" applyAlignment="1">
      <alignment horizontal="center" vertical="center" wrapText="1"/>
    </xf>
    <xf numFmtId="0" fontId="73" fillId="7" borderId="1" xfId="0" applyNumberFormat="1" applyFont="1" applyFill="1" applyBorder="1" applyAlignment="1">
      <alignment horizontal="center" vertical="center" wrapText="1"/>
    </xf>
    <xf numFmtId="2" fontId="73" fillId="7" borderId="1" xfId="0" applyNumberFormat="1" applyFont="1" applyFill="1" applyBorder="1" applyAlignment="1">
      <alignment horizontal="center" vertical="center" wrapText="1"/>
    </xf>
    <xf numFmtId="2" fontId="74" fillId="7" borderId="1" xfId="0" applyNumberFormat="1" applyFont="1" applyFill="1" applyBorder="1" applyAlignment="1">
      <alignment horizontal="center" vertical="center" wrapText="1"/>
    </xf>
    <xf numFmtId="1" fontId="73" fillId="7" borderId="7" xfId="0" applyNumberFormat="1" applyFont="1" applyFill="1" applyBorder="1" applyAlignment="1">
      <alignment horizontal="center" vertical="center" wrapText="1"/>
    </xf>
    <xf numFmtId="164" fontId="73" fillId="7" borderId="1" xfId="0" applyNumberFormat="1" applyFont="1" applyFill="1" applyBorder="1" applyAlignment="1">
      <alignment horizontal="center" vertical="center" wrapText="1"/>
    </xf>
    <xf numFmtId="3" fontId="73" fillId="7" borderId="10" xfId="0" applyFont="1" applyFill="1" applyBorder="1" applyAlignment="1">
      <alignment horizontal="center" vertical="center" wrapText="1"/>
    </xf>
    <xf numFmtId="14" fontId="73" fillId="0" borderId="0" xfId="0" applyNumberFormat="1" applyFont="1">
      <alignment horizontal="left" vertical="center" wrapText="1"/>
    </xf>
    <xf numFmtId="20" fontId="73" fillId="0" borderId="1" xfId="0" applyNumberFormat="1" applyFont="1" applyFill="1" applyBorder="1" applyAlignment="1">
      <alignment horizontal="center" vertical="center"/>
    </xf>
    <xf numFmtId="2" fontId="73" fillId="0" borderId="1" xfId="0" applyNumberFormat="1" applyFont="1" applyFill="1" applyBorder="1" applyAlignment="1">
      <alignment horizontal="center" vertical="center"/>
    </xf>
    <xf numFmtId="1" fontId="73" fillId="0" borderId="7" xfId="0" applyNumberFormat="1" applyFont="1" applyFill="1" applyBorder="1" applyAlignment="1">
      <alignment horizontal="center" vertical="center"/>
    </xf>
    <xf numFmtId="164" fontId="73" fillId="0" borderId="1" xfId="0" applyNumberFormat="1" applyFont="1" applyFill="1" applyBorder="1" applyAlignment="1">
      <alignment horizontal="center" vertical="center"/>
    </xf>
    <xf numFmtId="9" fontId="73" fillId="0" borderId="1" xfId="5" applyFont="1" applyFill="1" applyBorder="1" applyAlignment="1">
      <alignment horizontal="center" vertical="center"/>
    </xf>
    <xf numFmtId="3" fontId="73" fillId="0" borderId="1" xfId="0" applyFont="1" applyBorder="1" applyAlignment="1">
      <alignment horizontal="center" vertical="center" wrapText="1"/>
    </xf>
    <xf numFmtId="14" fontId="73" fillId="0" borderId="1" xfId="0" applyNumberFormat="1" applyFont="1" applyBorder="1">
      <alignment horizontal="left" vertical="center" wrapText="1"/>
    </xf>
    <xf numFmtId="20" fontId="73" fillId="0" borderId="1" xfId="0" applyNumberFormat="1" applyFont="1" applyBorder="1" applyAlignment="1">
      <alignment horizontal="center" vertical="center"/>
    </xf>
    <xf numFmtId="2" fontId="73" fillId="0" borderId="1" xfId="0" applyNumberFormat="1" applyFont="1" applyBorder="1" applyAlignment="1">
      <alignment horizontal="center" vertical="center"/>
    </xf>
    <xf numFmtId="1" fontId="73" fillId="0" borderId="7" xfId="0" applyNumberFormat="1" applyFont="1" applyBorder="1" applyAlignment="1">
      <alignment horizontal="center" vertical="center"/>
    </xf>
    <xf numFmtId="164" fontId="73" fillId="0" borderId="1" xfId="0" applyNumberFormat="1" applyFont="1" applyBorder="1" applyAlignment="1">
      <alignment horizontal="center" vertical="center"/>
    </xf>
    <xf numFmtId="9" fontId="73" fillId="0" borderId="1" xfId="5" applyFont="1" applyBorder="1" applyAlignment="1">
      <alignment horizontal="center" vertical="center"/>
    </xf>
    <xf numFmtId="20" fontId="73" fillId="0" borderId="1" xfId="0" applyNumberFormat="1" applyFont="1" applyBorder="1" applyAlignment="1">
      <alignment horizontal="center" vertical="center" wrapText="1"/>
    </xf>
    <xf numFmtId="2" fontId="73" fillId="0" borderId="1" xfId="0" applyNumberFormat="1" applyFont="1" applyBorder="1" applyAlignment="1">
      <alignment horizontal="center" vertical="center" wrapText="1"/>
    </xf>
    <xf numFmtId="1" fontId="73" fillId="0" borderId="1" xfId="0" applyNumberFormat="1" applyFont="1" applyBorder="1" applyAlignment="1">
      <alignment horizontal="center" vertical="center" wrapText="1"/>
    </xf>
    <xf numFmtId="164" fontId="73" fillId="0" borderId="1" xfId="0" applyNumberFormat="1" applyFont="1" applyBorder="1" applyAlignment="1">
      <alignment horizontal="center" vertical="center" wrapText="1"/>
    </xf>
    <xf numFmtId="20" fontId="46" fillId="0" borderId="1" xfId="6" applyNumberFormat="1" applyFont="1" applyAlignment="1">
      <alignment horizontal="center" vertical="center" wrapText="1"/>
    </xf>
    <xf numFmtId="2" fontId="73" fillId="0" borderId="1" xfId="0" applyNumberFormat="1" applyFont="1" applyFill="1" applyBorder="1" applyAlignment="1">
      <alignment horizontal="center" vertical="center" wrapText="1"/>
    </xf>
    <xf numFmtId="1" fontId="73" fillId="0" borderId="1" xfId="0" applyNumberFormat="1" applyFont="1" applyFill="1" applyBorder="1" applyAlignment="1">
      <alignment horizontal="center" vertical="center" wrapText="1"/>
    </xf>
    <xf numFmtId="164" fontId="73" fillId="0" borderId="1" xfId="0" applyNumberFormat="1" applyFont="1" applyFill="1" applyBorder="1" applyAlignment="1">
      <alignment horizontal="center" vertical="center" wrapText="1"/>
    </xf>
    <xf numFmtId="2" fontId="73" fillId="0" borderId="7" xfId="0" applyNumberFormat="1" applyFont="1" applyBorder="1" applyAlignment="1">
      <alignment horizontal="center" vertical="center"/>
    </xf>
    <xf numFmtId="1" fontId="73" fillId="0" borderId="1" xfId="0" applyNumberFormat="1" applyFont="1" applyBorder="1" applyAlignment="1">
      <alignment horizontal="center" vertical="center"/>
    </xf>
    <xf numFmtId="3" fontId="73" fillId="0" borderId="10" xfId="0" applyFont="1" applyBorder="1" applyAlignment="1">
      <alignment vertical="top"/>
    </xf>
    <xf numFmtId="14" fontId="73" fillId="0" borderId="1" xfId="0" applyNumberFormat="1" applyFont="1" applyBorder="1" applyAlignment="1">
      <alignment horizontal="center" vertical="center" wrapText="1"/>
    </xf>
    <xf numFmtId="3" fontId="73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3" fontId="37" fillId="0" borderId="0" xfId="0" applyFont="1" applyBorder="1" applyAlignment="1">
      <alignment horizontal="left" vertical="center"/>
    </xf>
    <xf numFmtId="3" fontId="37" fillId="0" borderId="0" xfId="0" applyFont="1" applyBorder="1" applyAlignment="1">
      <alignment vertical="center"/>
    </xf>
    <xf numFmtId="3" fontId="37" fillId="0" borderId="0" xfId="0" applyFont="1" applyFill="1" applyBorder="1" applyAlignment="1">
      <alignment vertical="center"/>
    </xf>
    <xf numFmtId="3" fontId="37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171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3" fontId="47" fillId="0" borderId="1" xfId="0" applyFont="1" applyBorder="1" applyAlignment="1">
      <alignment horizontal="center" vertical="center" wrapText="1"/>
    </xf>
    <xf numFmtId="171" fontId="47" fillId="0" borderId="1" xfId="0" applyNumberFormat="1" applyFont="1" applyBorder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3" fontId="0" fillId="0" borderId="8" xfId="0" applyFill="1" applyBorder="1" applyAlignment="1">
      <alignment vertical="center" wrapText="1"/>
    </xf>
    <xf numFmtId="3" fontId="0" fillId="0" borderId="0" xfId="0" applyFill="1" applyBorder="1" applyAlignment="1">
      <alignment vertical="center" wrapText="1"/>
    </xf>
    <xf numFmtId="1" fontId="25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3" fontId="0" fillId="0" borderId="1" xfId="0" applyFont="1" applyFill="1" applyBorder="1" applyAlignment="1">
      <alignment vertical="top" wrapText="1"/>
    </xf>
    <xf numFmtId="3" fontId="0" fillId="0" borderId="1" xfId="0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/>
    <xf numFmtId="3" fontId="67" fillId="7" borderId="0" xfId="0" applyFont="1" applyFill="1" applyAlignment="1"/>
    <xf numFmtId="3" fontId="67" fillId="7" borderId="8" xfId="0" applyFont="1" applyFill="1" applyBorder="1" applyAlignment="1"/>
    <xf numFmtId="3" fontId="67" fillId="7" borderId="8" xfId="0" applyFont="1" applyFill="1" applyBorder="1" applyAlignment="1">
      <alignment wrapText="1"/>
    </xf>
    <xf numFmtId="2" fontId="67" fillId="7" borderId="8" xfId="0" applyNumberFormat="1" applyFont="1" applyFill="1" applyBorder="1" applyAlignment="1"/>
    <xf numFmtId="2" fontId="76" fillId="7" borderId="8" xfId="0" applyNumberFormat="1" applyFont="1" applyFill="1" applyBorder="1" applyAlignment="1"/>
    <xf numFmtId="165" fontId="67" fillId="7" borderId="24" xfId="0" applyNumberFormat="1" applyFont="1" applyFill="1" applyBorder="1" applyAlignment="1"/>
    <xf numFmtId="3" fontId="67" fillId="7" borderId="1" xfId="0" applyFont="1" applyFill="1" applyBorder="1" applyAlignment="1">
      <alignment wrapText="1"/>
    </xf>
    <xf numFmtId="14" fontId="67" fillId="0" borderId="1" xfId="0" applyNumberFormat="1" applyFont="1" applyFill="1" applyBorder="1" applyAlignment="1">
      <alignment horizontal="left" vertical="center"/>
    </xf>
    <xf numFmtId="175" fontId="67" fillId="0" borderId="1" xfId="0" applyNumberFormat="1" applyFont="1" applyFill="1" applyBorder="1" applyAlignment="1">
      <alignment horizontal="center" vertical="center"/>
    </xf>
    <xf numFmtId="2" fontId="67" fillId="0" borderId="1" xfId="0" applyNumberFormat="1" applyFont="1" applyFill="1" applyBorder="1" applyAlignment="1">
      <alignment horizontal="center" vertical="center"/>
    </xf>
    <xf numFmtId="2" fontId="76" fillId="0" borderId="1" xfId="0" applyNumberFormat="1" applyFont="1" applyFill="1" applyBorder="1" applyAlignment="1">
      <alignment horizontal="center" vertical="center"/>
    </xf>
    <xf numFmtId="1" fontId="67" fillId="0" borderId="1" xfId="0" applyNumberFormat="1" applyFont="1" applyFill="1" applyBorder="1" applyAlignment="1">
      <alignment horizontal="center" vertical="center"/>
    </xf>
    <xf numFmtId="9" fontId="67" fillId="0" borderId="1" xfId="5" applyFont="1" applyFill="1" applyBorder="1" applyAlignment="1">
      <alignment horizontal="center" vertical="center" wrapText="1"/>
    </xf>
    <xf numFmtId="3" fontId="67" fillId="0" borderId="1" xfId="0" applyFont="1" applyFill="1" applyBorder="1" applyAlignment="1">
      <alignment horizontal="center" wrapText="1"/>
    </xf>
    <xf numFmtId="14" fontId="67" fillId="0" borderId="0" xfId="0" applyNumberFormat="1" applyFont="1">
      <alignment horizontal="left" vertical="center" wrapText="1"/>
    </xf>
    <xf numFmtId="175" fontId="67" fillId="0" borderId="2" xfId="0" applyNumberFormat="1" applyFont="1" applyFill="1" applyBorder="1" applyAlignment="1">
      <alignment horizontal="center"/>
    </xf>
    <xf numFmtId="2" fontId="67" fillId="0" borderId="2" xfId="0" applyNumberFormat="1" applyFont="1" applyFill="1" applyBorder="1" applyAlignment="1">
      <alignment horizontal="center"/>
    </xf>
    <xf numFmtId="1" fontId="67" fillId="0" borderId="6" xfId="0" applyNumberFormat="1" applyFont="1" applyFill="1" applyBorder="1" applyAlignment="1">
      <alignment horizontal="center"/>
    </xf>
    <xf numFmtId="9" fontId="67" fillId="0" borderId="2" xfId="5" applyFont="1" applyFill="1" applyBorder="1" applyAlignment="1">
      <alignment horizontal="center"/>
    </xf>
    <xf numFmtId="3" fontId="67" fillId="0" borderId="2" xfId="0" applyFont="1" applyBorder="1" applyAlignment="1">
      <alignment horizontal="center" wrapText="1"/>
    </xf>
    <xf numFmtId="175" fontId="67" fillId="0" borderId="1" xfId="0" applyNumberFormat="1" applyFont="1" applyFill="1" applyBorder="1" applyAlignment="1">
      <alignment horizontal="center"/>
    </xf>
    <xf numFmtId="2" fontId="67" fillId="0" borderId="1" xfId="0" applyNumberFormat="1" applyFont="1" applyFill="1" applyBorder="1" applyAlignment="1">
      <alignment horizontal="center"/>
    </xf>
    <xf numFmtId="1" fontId="67" fillId="0" borderId="7" xfId="0" applyNumberFormat="1" applyFont="1" applyFill="1" applyBorder="1" applyAlignment="1">
      <alignment horizontal="center"/>
    </xf>
    <xf numFmtId="9" fontId="67" fillId="0" borderId="1" xfId="5" applyFont="1" applyFill="1" applyBorder="1" applyAlignment="1">
      <alignment horizontal="center"/>
    </xf>
    <xf numFmtId="3" fontId="67" fillId="0" borderId="1" xfId="0" applyFont="1" applyBorder="1" applyAlignment="1">
      <alignment horizontal="center" wrapText="1"/>
    </xf>
    <xf numFmtId="175" fontId="67" fillId="0" borderId="1" xfId="0" applyNumberFormat="1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1" fontId="67" fillId="0" borderId="7" xfId="0" applyNumberFormat="1" applyFont="1" applyBorder="1" applyAlignment="1">
      <alignment horizontal="center"/>
    </xf>
    <xf numFmtId="9" fontId="67" fillId="0" borderId="1" xfId="5" applyFont="1" applyBorder="1" applyAlignment="1">
      <alignment horizontal="center"/>
    </xf>
    <xf numFmtId="14" fontId="67" fillId="0" borderId="10" xfId="0" applyNumberFormat="1" applyFont="1" applyFill="1" applyBorder="1">
      <alignment horizontal="left" vertical="center" wrapText="1"/>
    </xf>
    <xf numFmtId="175" fontId="67" fillId="7" borderId="1" xfId="0" applyNumberFormat="1" applyFont="1" applyFill="1" applyBorder="1" applyAlignment="1">
      <alignment horizontal="center"/>
    </xf>
    <xf numFmtId="2" fontId="67" fillId="7" borderId="1" xfId="0" applyNumberFormat="1" applyFont="1" applyFill="1" applyBorder="1" applyAlignment="1">
      <alignment horizontal="center"/>
    </xf>
    <xf numFmtId="1" fontId="67" fillId="7" borderId="7" xfId="0" applyNumberFormat="1" applyFont="1" applyFill="1" applyBorder="1" applyAlignment="1">
      <alignment horizontal="center"/>
    </xf>
    <xf numFmtId="9" fontId="67" fillId="7" borderId="1" xfId="5" applyFont="1" applyFill="1" applyBorder="1" applyAlignment="1">
      <alignment horizontal="center"/>
    </xf>
    <xf numFmtId="3" fontId="67" fillId="7" borderId="1" xfId="0" applyFont="1" applyFill="1" applyBorder="1" applyAlignment="1">
      <alignment horizontal="center" wrapText="1"/>
    </xf>
    <xf numFmtId="175" fontId="67" fillId="7" borderId="1" xfId="0" applyNumberFormat="1" applyFont="1" applyFill="1" applyBorder="1" applyAlignment="1">
      <alignment horizontal="center" vertical="center" wrapText="1"/>
    </xf>
    <xf numFmtId="2" fontId="67" fillId="7" borderId="1" xfId="0" applyNumberFormat="1" applyFont="1" applyFill="1" applyBorder="1" applyAlignment="1">
      <alignment horizontal="center" vertical="center" wrapText="1"/>
    </xf>
    <xf numFmtId="1" fontId="67" fillId="7" borderId="1" xfId="0" applyNumberFormat="1" applyFont="1" applyFill="1" applyBorder="1" applyAlignment="1">
      <alignment horizontal="center" vertical="center" wrapText="1"/>
    </xf>
    <xf numFmtId="1" fontId="67" fillId="7" borderId="1" xfId="0" applyNumberFormat="1" applyFont="1" applyFill="1" applyBorder="1" applyAlignment="1">
      <alignment horizontal="center"/>
    </xf>
    <xf numFmtId="175" fontId="23" fillId="0" borderId="1" xfId="0" applyNumberFormat="1" applyFont="1" applyBorder="1" applyAlignment="1">
      <alignment horizontal="center" vertical="center" wrapText="1"/>
    </xf>
    <xf numFmtId="20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20" fontId="23" fillId="0" borderId="7" xfId="0" applyNumberFormat="1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3" fontId="23" fillId="0" borderId="1" xfId="0" applyFont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/>
    </xf>
    <xf numFmtId="3" fontId="42" fillId="7" borderId="1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3" fontId="42" fillId="7" borderId="1" xfId="0" applyFont="1" applyFill="1" applyBorder="1" applyAlignment="1">
      <alignment horizontal="right" vertical="center" wrapText="1"/>
    </xf>
    <xf numFmtId="165" fontId="42" fillId="7" borderId="7" xfId="0" applyNumberFormat="1" applyFont="1" applyFill="1" applyBorder="1" applyAlignment="1">
      <alignment horizontal="left" vertical="top" wrapText="1"/>
    </xf>
    <xf numFmtId="3" fontId="42" fillId="7" borderId="7" xfId="0" applyFont="1" applyFill="1" applyBorder="1" applyAlignment="1">
      <alignment horizontal="right"/>
    </xf>
    <xf numFmtId="3" fontId="42" fillId="7" borderId="1" xfId="0" applyFont="1" applyFill="1" applyBorder="1">
      <alignment horizontal="left" vertical="center" wrapText="1"/>
    </xf>
    <xf numFmtId="3" fontId="42" fillId="7" borderId="1" xfId="0" applyFont="1" applyFill="1" applyBorder="1" applyAlignment="1">
      <alignment horizontal="center" vertical="center" wrapText="1"/>
    </xf>
    <xf numFmtId="3" fontId="42" fillId="7" borderId="7" xfId="0" applyFont="1" applyFill="1" applyBorder="1" applyAlignment="1">
      <alignment horizontal="right" vertical="center" wrapText="1"/>
    </xf>
    <xf numFmtId="3" fontId="6" fillId="0" borderId="1" xfId="0" applyFont="1" applyFill="1" applyBorder="1">
      <alignment horizontal="left" vertical="center" wrapText="1"/>
    </xf>
    <xf numFmtId="3" fontId="0" fillId="0" borderId="1" xfId="0" applyNumberFormat="1" applyFont="1" applyFill="1" applyBorder="1" applyAlignment="1">
      <alignment horizontal="center"/>
    </xf>
    <xf numFmtId="9" fontId="23" fillId="0" borderId="1" xfId="5" applyFont="1" applyFill="1" applyBorder="1" applyAlignment="1">
      <alignment horizontal="center" vertical="top" wrapText="1"/>
    </xf>
    <xf numFmtId="3" fontId="0" fillId="7" borderId="1" xfId="0" applyFill="1" applyBorder="1" applyAlignment="1">
      <alignment horizontal="center" wrapText="1"/>
    </xf>
    <xf numFmtId="9" fontId="0" fillId="0" borderId="1" xfId="5" applyFont="1" applyBorder="1" applyAlignment="1">
      <alignment horizontal="center" wrapText="1"/>
    </xf>
    <xf numFmtId="3" fontId="0" fillId="7" borderId="1" xfId="0" applyFill="1" applyBorder="1" applyAlignment="1">
      <alignment horizontal="center" wrapText="1"/>
    </xf>
    <xf numFmtId="3" fontId="0" fillId="0" borderId="1" xfId="0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24" fillId="7" borderId="1" xfId="0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/>
    </xf>
    <xf numFmtId="3" fontId="40" fillId="0" borderId="1" xfId="0" applyFont="1" applyFill="1" applyBorder="1" applyAlignment="1">
      <alignment horizontal="center" vertical="center" wrapText="1"/>
    </xf>
    <xf numFmtId="9" fontId="40" fillId="0" borderId="1" xfId="5" applyFont="1" applyFill="1" applyBorder="1" applyAlignment="1">
      <alignment horizontal="center" vertical="center" wrapText="1"/>
    </xf>
    <xf numFmtId="3" fontId="40" fillId="0" borderId="0" xfId="0" applyFont="1" applyFill="1" applyBorder="1" applyAlignment="1">
      <alignment horizontal="center" vertical="center" wrapText="1"/>
    </xf>
    <xf numFmtId="178" fontId="40" fillId="7" borderId="1" xfId="0" applyNumberFormat="1" applyFont="1" applyFill="1" applyBorder="1" applyAlignment="1">
      <alignment horizontal="left" vertical="center"/>
    </xf>
    <xf numFmtId="3" fontId="40" fillId="7" borderId="1" xfId="0" applyFont="1" applyFill="1" applyBorder="1" applyAlignment="1">
      <alignment horizontal="left" vertical="center"/>
    </xf>
    <xf numFmtId="15" fontId="40" fillId="7" borderId="1" xfId="0" applyNumberFormat="1" applyFont="1" applyFill="1" applyBorder="1" applyAlignment="1">
      <alignment horizontal="left" vertical="center"/>
    </xf>
    <xf numFmtId="164" fontId="40" fillId="7" borderId="1" xfId="0" applyNumberFormat="1" applyFont="1" applyFill="1" applyBorder="1" applyAlignment="1">
      <alignment horizontal="left"/>
    </xf>
    <xf numFmtId="178" fontId="6" fillId="0" borderId="2" xfId="0" applyNumberFormat="1" applyFont="1" applyFill="1" applyBorder="1" applyAlignment="1">
      <alignment horizontal="left" vertical="center"/>
    </xf>
    <xf numFmtId="3" fontId="0" fillId="0" borderId="1" xfId="0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wrapText="1"/>
    </xf>
    <xf numFmtId="0" fontId="0" fillId="7" borderId="10" xfId="0" applyNumberFormat="1" applyFill="1" applyBorder="1" applyAlignment="1">
      <alignment horizontal="center" wrapText="1"/>
    </xf>
    <xf numFmtId="9" fontId="0" fillId="0" borderId="1" xfId="5" applyFont="1" applyFill="1" applyBorder="1" applyAlignment="1">
      <alignment horizontal="center" vertical="center" wrapText="1"/>
    </xf>
    <xf numFmtId="0" fontId="40" fillId="0" borderId="1" xfId="0" applyNumberFormat="1" applyFont="1" applyFill="1" applyBorder="1">
      <alignment horizontal="left" vertical="center" wrapText="1"/>
    </xf>
    <xf numFmtId="3" fontId="6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9" fontId="6" fillId="0" borderId="0" xfId="5" applyFont="1" applyFill="1" applyBorder="1" applyAlignment="1">
      <alignment horizontal="left"/>
    </xf>
    <xf numFmtId="9" fontId="0" fillId="0" borderId="0" xfId="5" applyFont="1" applyFill="1" applyBorder="1" applyAlignment="1">
      <alignment horizontal="left" vertical="center" wrapText="1"/>
    </xf>
    <xf numFmtId="3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3" fontId="0" fillId="0" borderId="1" xfId="0" applyFont="1" applyBorder="1" applyAlignment="1">
      <alignment horizontal="center" vertical="center" wrapText="1"/>
    </xf>
    <xf numFmtId="3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0" fillId="0" borderId="1" xfId="0" applyFont="1" applyBorder="1" applyAlignment="1"/>
    <xf numFmtId="3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top" wrapText="1"/>
    </xf>
    <xf numFmtId="3" fontId="0" fillId="0" borderId="1" xfId="1" applyNumberFormat="1" applyFont="1" applyBorder="1" applyAlignment="1">
      <alignment horizontal="center"/>
    </xf>
    <xf numFmtId="3" fontId="24" fillId="0" borderId="0" xfId="0" applyFont="1" applyAlignment="1">
      <alignment horizontal="center"/>
    </xf>
    <xf numFmtId="3" fontId="24" fillId="7" borderId="1" xfId="0" applyFont="1" applyFill="1" applyBorder="1" applyAlignment="1">
      <alignment horizontal="center"/>
    </xf>
    <xf numFmtId="3" fontId="0" fillId="7" borderId="1" xfId="0" applyFont="1" applyFill="1" applyBorder="1" applyAlignment="1">
      <alignment horizontal="center"/>
    </xf>
    <xf numFmtId="3" fontId="77" fillId="0" borderId="11" xfId="0" applyFont="1" applyBorder="1" applyAlignment="1">
      <alignment horizontal="center"/>
    </xf>
    <xf numFmtId="3" fontId="24" fillId="7" borderId="7" xfId="0" applyFont="1" applyFill="1" applyBorder="1" applyAlignment="1">
      <alignment horizontal="center"/>
    </xf>
    <xf numFmtId="3" fontId="24" fillId="7" borderId="5" xfId="0" applyFont="1" applyFill="1" applyBorder="1" applyAlignment="1">
      <alignment horizontal="center"/>
    </xf>
    <xf numFmtId="3" fontId="0" fillId="0" borderId="8" xfId="0" applyFont="1" applyBorder="1" applyAlignment="1">
      <alignment horizontal="center" vertical="center" wrapText="1"/>
    </xf>
    <xf numFmtId="3" fontId="0" fillId="0" borderId="2" xfId="0" applyFont="1" applyBorder="1" applyAlignment="1">
      <alignment horizontal="center" vertical="center" wrapText="1"/>
    </xf>
    <xf numFmtId="3" fontId="0" fillId="0" borderId="8" xfId="0" applyFont="1" applyBorder="1" applyAlignment="1">
      <alignment horizontal="center" vertical="center"/>
    </xf>
    <xf numFmtId="3" fontId="0" fillId="0" borderId="2" xfId="0" applyFont="1" applyBorder="1" applyAlignment="1">
      <alignment horizontal="center" vertical="center"/>
    </xf>
    <xf numFmtId="3" fontId="16" fillId="0" borderId="8" xfId="0" applyFont="1" applyBorder="1" applyAlignment="1">
      <alignment horizontal="center" vertical="center"/>
    </xf>
    <xf numFmtId="3" fontId="16" fillId="0" borderId="10" xfId="0" applyFont="1" applyBorder="1" applyAlignment="1">
      <alignment horizontal="center" vertical="center"/>
    </xf>
    <xf numFmtId="3" fontId="16" fillId="0" borderId="2" xfId="0" applyFont="1" applyBorder="1" applyAlignment="1">
      <alignment horizontal="center" vertical="center"/>
    </xf>
    <xf numFmtId="3" fontId="0" fillId="0" borderId="10" xfId="0" applyFont="1" applyBorder="1" applyAlignment="1">
      <alignment horizontal="center" vertical="center"/>
    </xf>
    <xf numFmtId="3" fontId="9" fillId="0" borderId="8" xfId="0" applyFont="1" applyBorder="1" applyAlignment="1">
      <alignment horizontal="left" vertical="top" wrapText="1"/>
    </xf>
    <xf numFmtId="3" fontId="9" fillId="0" borderId="10" xfId="0" applyFont="1" applyBorder="1" applyAlignment="1">
      <alignment horizontal="left" vertical="top" wrapText="1"/>
    </xf>
    <xf numFmtId="3" fontId="9" fillId="0" borderId="2" xfId="0" applyFont="1" applyBorder="1" applyAlignment="1">
      <alignment horizontal="left" vertical="top" wrapText="1"/>
    </xf>
    <xf numFmtId="3" fontId="2" fillId="0" borderId="0" xfId="0" applyFont="1" applyBorder="1" applyAlignment="1">
      <alignment horizontal="center"/>
    </xf>
    <xf numFmtId="3" fontId="1" fillId="0" borderId="0" xfId="0" applyFont="1" applyBorder="1" applyAlignment="1">
      <alignment horizontal="center"/>
    </xf>
    <xf numFmtId="3" fontId="2" fillId="2" borderId="8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8" xfId="0" applyFont="1" applyFill="1" applyBorder="1" applyAlignment="1">
      <alignment horizontal="center"/>
    </xf>
    <xf numFmtId="3" fontId="2" fillId="2" borderId="2" xfId="0" applyFont="1" applyFill="1" applyBorder="1" applyAlignment="1">
      <alignment horizontal="center"/>
    </xf>
    <xf numFmtId="3" fontId="2" fillId="2" borderId="1" xfId="0" applyFont="1" applyFill="1" applyBorder="1" applyAlignment="1">
      <alignment horizontal="center"/>
    </xf>
    <xf numFmtId="3" fontId="9" fillId="0" borderId="8" xfId="0" applyFont="1" applyBorder="1" applyAlignment="1">
      <alignment vertical="top" wrapText="1"/>
    </xf>
    <xf numFmtId="3" fontId="9" fillId="0" borderId="10" xfId="0" applyFont="1" applyBorder="1" applyAlignment="1">
      <alignment vertical="top" wrapText="1"/>
    </xf>
    <xf numFmtId="3" fontId="9" fillId="0" borderId="2" xfId="0" applyFont="1" applyBorder="1" applyAlignment="1">
      <alignment vertical="top" wrapText="1"/>
    </xf>
    <xf numFmtId="3" fontId="9" fillId="0" borderId="8" xfId="0" applyFont="1" applyFill="1" applyBorder="1" applyAlignment="1">
      <alignment vertical="top" wrapText="1"/>
    </xf>
    <xf numFmtId="3" fontId="9" fillId="0" borderId="10" xfId="0" applyFont="1" applyFill="1" applyBorder="1" applyAlignment="1">
      <alignment vertical="top" wrapText="1"/>
    </xf>
    <xf numFmtId="3" fontId="9" fillId="0" borderId="2" xfId="0" applyFont="1" applyFill="1" applyBorder="1" applyAlignment="1">
      <alignment vertical="top" wrapText="1"/>
    </xf>
    <xf numFmtId="3" fontId="4" fillId="0" borderId="0" xfId="0" applyFont="1" applyAlignment="1">
      <alignment horizontal="center"/>
    </xf>
    <xf numFmtId="15" fontId="2" fillId="4" borderId="11" xfId="0" applyNumberFormat="1" applyFont="1" applyFill="1" applyBorder="1" applyAlignment="1">
      <alignment horizontal="center" wrapText="1"/>
    </xf>
    <xf numFmtId="164" fontId="42" fillId="7" borderId="1" xfId="0" applyNumberFormat="1" applyFont="1" applyFill="1" applyBorder="1" applyAlignment="1">
      <alignment horizontal="center"/>
    </xf>
    <xf numFmtId="3" fontId="0" fillId="7" borderId="1" xfId="0" applyFill="1" applyBorder="1" applyAlignment="1">
      <alignment horizontal="center" wrapText="1"/>
    </xf>
    <xf numFmtId="178" fontId="10" fillId="7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/>
    </xf>
    <xf numFmtId="3" fontId="2" fillId="0" borderId="0" xfId="0" applyFont="1" applyFill="1" applyBorder="1" applyAlignment="1">
      <alignment horizontal="center" vertical="center"/>
    </xf>
    <xf numFmtId="3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15" fillId="0" borderId="0" xfId="0" applyFont="1" applyBorder="1" applyAlignment="1" applyProtection="1">
      <alignment horizontal="center" vertical="center" wrapText="1"/>
    </xf>
    <xf numFmtId="3" fontId="2" fillId="0" borderId="0" xfId="0" applyFont="1" applyAlignment="1">
      <alignment horizontal="left"/>
    </xf>
    <xf numFmtId="3" fontId="2" fillId="2" borderId="0" xfId="0" applyFont="1" applyFill="1" applyAlignment="1">
      <alignment horizontal="center"/>
    </xf>
    <xf numFmtId="3" fontId="32" fillId="0" borderId="18" xfId="0" applyFont="1" applyBorder="1" applyAlignment="1">
      <alignment horizontal="center" vertical="center" wrapText="1"/>
    </xf>
    <xf numFmtId="3" fontId="32" fillId="0" borderId="19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3" fontId="0" fillId="0" borderId="0" xfId="0" applyBorder="1" applyAlignment="1">
      <alignment horizontal="center" wrapText="1"/>
    </xf>
    <xf numFmtId="3" fontId="10" fillId="4" borderId="1" xfId="0" applyFont="1" applyFill="1" applyBorder="1" applyAlignment="1">
      <alignment horizontal="center" wrapText="1"/>
    </xf>
    <xf numFmtId="3" fontId="2" fillId="0" borderId="17" xfId="0" applyFont="1" applyBorder="1" applyAlignment="1">
      <alignment horizontal="center" vertical="center"/>
    </xf>
    <xf numFmtId="3" fontId="0" fillId="0" borderId="21" xfId="0" applyBorder="1">
      <alignment horizontal="left" vertical="center" wrapText="1"/>
    </xf>
    <xf numFmtId="3" fontId="0" fillId="0" borderId="22" xfId="0" applyBorder="1">
      <alignment horizontal="left" vertical="center" wrapText="1"/>
    </xf>
    <xf numFmtId="3" fontId="1" fillId="0" borderId="26" xfId="0" applyFont="1" applyBorder="1" applyAlignment="1">
      <alignment horizontal="center" vertical="center" wrapText="1"/>
    </xf>
    <xf numFmtId="3" fontId="56" fillId="0" borderId="0" xfId="0" applyFont="1" applyAlignment="1">
      <alignment horizontal="center" vertical="center" wrapText="1"/>
    </xf>
    <xf numFmtId="3" fontId="4" fillId="0" borderId="7" xfId="0" applyFont="1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4" fillId="0" borderId="5" xfId="0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8" borderId="7" xfId="0" applyNumberFormat="1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/>
    </xf>
    <xf numFmtId="164" fontId="4" fillId="8" borderId="5" xfId="0" applyNumberFormat="1" applyFont="1" applyFill="1" applyBorder="1" applyAlignment="1">
      <alignment horizontal="center"/>
    </xf>
    <xf numFmtId="3" fontId="10" fillId="7" borderId="1" xfId="0" applyFont="1" applyFill="1" applyBorder="1" applyAlignment="1">
      <alignment horizontal="center"/>
    </xf>
    <xf numFmtId="3" fontId="1" fillId="7" borderId="1" xfId="0" applyFont="1" applyFill="1" applyBorder="1" applyAlignment="1">
      <alignment horizontal="center"/>
    </xf>
    <xf numFmtId="3" fontId="0" fillId="7" borderId="1" xfId="0" applyFill="1" applyBorder="1" applyAlignment="1">
      <alignment horizontal="center"/>
    </xf>
    <xf numFmtId="3" fontId="1" fillId="7" borderId="1" xfId="0" applyFont="1" applyFill="1" applyBorder="1" applyAlignment="1">
      <alignment horizontal="center" wrapText="1"/>
    </xf>
    <xf numFmtId="3" fontId="2" fillId="7" borderId="1" xfId="0" applyFont="1" applyFill="1" applyBorder="1" applyAlignment="1">
      <alignment horizontal="center" wrapText="1"/>
    </xf>
    <xf numFmtId="3" fontId="1" fillId="8" borderId="7" xfId="0" applyFont="1" applyFill="1" applyBorder="1" applyAlignment="1">
      <alignment horizontal="center"/>
    </xf>
    <xf numFmtId="3" fontId="1" fillId="8" borderId="13" xfId="0" applyFont="1" applyFill="1" applyBorder="1" applyAlignment="1">
      <alignment horizontal="center"/>
    </xf>
    <xf numFmtId="3" fontId="1" fillId="8" borderId="5" xfId="0" applyFont="1" applyFill="1" applyBorder="1" applyAlignment="1">
      <alignment horizontal="center"/>
    </xf>
    <xf numFmtId="3" fontId="1" fillId="12" borderId="1" xfId="0" applyFont="1" applyFill="1" applyBorder="1" applyAlignment="1">
      <alignment horizontal="center"/>
    </xf>
    <xf numFmtId="3" fontId="0" fillId="0" borderId="0" xfId="0" applyAlignment="1">
      <alignment horizontal="left"/>
    </xf>
    <xf numFmtId="3" fontId="2" fillId="0" borderId="11" xfId="0" applyFont="1" applyBorder="1" applyAlignment="1">
      <alignment horizontal="center"/>
    </xf>
    <xf numFmtId="3" fontId="2" fillId="0" borderId="11" xfId="0" applyFont="1" applyBorder="1" applyAlignment="1">
      <alignment horizontal="center" vertical="center" wrapText="1"/>
    </xf>
    <xf numFmtId="3" fontId="1" fillId="0" borderId="8" xfId="0" applyFont="1" applyBorder="1" applyAlignment="1">
      <alignment horizontal="left" vertical="top" wrapText="1"/>
    </xf>
    <xf numFmtId="3" fontId="1" fillId="0" borderId="10" xfId="0" applyFont="1" applyBorder="1" applyAlignment="1">
      <alignment horizontal="left" vertical="top" wrapText="1"/>
    </xf>
    <xf numFmtId="3" fontId="3" fillId="0" borderId="10" xfId="0" applyFont="1" applyBorder="1" applyAlignment="1">
      <alignment horizontal="left" vertical="top" wrapText="1"/>
    </xf>
    <xf numFmtId="3" fontId="3" fillId="0" borderId="2" xfId="0" applyFont="1" applyBorder="1" applyAlignment="1">
      <alignment horizontal="left" vertical="top" wrapText="1"/>
    </xf>
    <xf numFmtId="3" fontId="0" fillId="0" borderId="10" xfId="0" applyBorder="1" applyAlignment="1">
      <alignment horizontal="left" vertical="top" wrapText="1"/>
    </xf>
    <xf numFmtId="3" fontId="0" fillId="0" borderId="2" xfId="0" applyBorder="1" applyAlignment="1">
      <alignment horizontal="left" vertical="top" wrapText="1"/>
    </xf>
    <xf numFmtId="3" fontId="1" fillId="7" borderId="8" xfId="0" applyFont="1" applyFill="1" applyBorder="1" applyAlignment="1">
      <alignment horizontal="left" vertical="top" wrapText="1"/>
    </xf>
    <xf numFmtId="3" fontId="0" fillId="7" borderId="10" xfId="0" applyFill="1" applyBorder="1" applyAlignment="1">
      <alignment horizontal="left" vertical="top" wrapText="1"/>
    </xf>
    <xf numFmtId="3" fontId="0" fillId="7" borderId="2" xfId="0" applyFill="1" applyBorder="1" applyAlignment="1">
      <alignment horizontal="left" vertical="top" wrapText="1"/>
    </xf>
    <xf numFmtId="3" fontId="1" fillId="7" borderId="10" xfId="0" applyFont="1" applyFill="1" applyBorder="1" applyAlignment="1">
      <alignment horizontal="left" vertical="top" wrapText="1"/>
    </xf>
    <xf numFmtId="3" fontId="48" fillId="0" borderId="1" xfId="0" applyFont="1" applyBorder="1" applyAlignment="1">
      <alignment horizontal="center" vertical="center"/>
    </xf>
    <xf numFmtId="3" fontId="37" fillId="0" borderId="1" xfId="0" applyFont="1" applyBorder="1" applyAlignment="1">
      <alignment horizontal="center" vertical="top" wrapText="1"/>
    </xf>
    <xf numFmtId="3" fontId="37" fillId="0" borderId="1" xfId="0" applyFont="1" applyBorder="1" applyAlignment="1">
      <alignment horizontal="center" vertical="top"/>
    </xf>
    <xf numFmtId="3" fontId="38" fillId="0" borderId="1" xfId="0" applyFont="1" applyBorder="1" applyAlignment="1">
      <alignment horizontal="center" vertical="center"/>
    </xf>
    <xf numFmtId="178" fontId="6" fillId="7" borderId="1" xfId="0" applyNumberFormat="1" applyFont="1" applyFill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13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67" fillId="0" borderId="1" xfId="0" applyFont="1" applyBorder="1" applyAlignment="1">
      <alignment horizontal="center" vertical="top"/>
    </xf>
    <xf numFmtId="3" fontId="67" fillId="0" borderId="1" xfId="0" applyFont="1" applyBorder="1" applyAlignment="1">
      <alignment horizontal="center" vertical="top" wrapText="1"/>
    </xf>
    <xf numFmtId="3" fontId="67" fillId="7" borderId="1" xfId="0" applyFont="1" applyFill="1" applyBorder="1" applyAlignment="1">
      <alignment horizontal="center" vertical="top" wrapText="1"/>
    </xf>
    <xf numFmtId="14" fontId="0" fillId="7" borderId="1" xfId="0" applyNumberFormat="1" applyFill="1" applyBorder="1" applyAlignment="1">
      <alignment horizontal="center" vertical="center" wrapText="1"/>
    </xf>
    <xf numFmtId="3" fontId="6" fillId="7" borderId="7" xfId="0" applyFont="1" applyFill="1" applyBorder="1" applyAlignment="1">
      <alignment horizontal="center" vertical="center" wrapText="1"/>
    </xf>
    <xf numFmtId="3" fontId="6" fillId="7" borderId="5" xfId="0" applyFont="1" applyFill="1" applyBorder="1" applyAlignment="1">
      <alignment horizontal="center" vertical="center" wrapText="1"/>
    </xf>
    <xf numFmtId="3" fontId="0" fillId="7" borderId="7" xfId="0" applyFill="1" applyBorder="1" applyAlignment="1">
      <alignment horizontal="center" vertical="center" wrapText="1"/>
    </xf>
    <xf numFmtId="3" fontId="0" fillId="7" borderId="5" xfId="0" applyFill="1" applyBorder="1" applyAlignment="1">
      <alignment horizontal="center" vertical="center" wrapText="1"/>
    </xf>
    <xf numFmtId="3" fontId="25" fillId="0" borderId="13" xfId="0" applyFont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vertical="center"/>
    </xf>
    <xf numFmtId="3" fontId="25" fillId="0" borderId="1" xfId="0" applyFont="1" applyBorder="1" applyAlignment="1">
      <alignment vertical="center"/>
    </xf>
    <xf numFmtId="3" fontId="24" fillId="0" borderId="1" xfId="0" applyFont="1" applyFill="1" applyBorder="1" applyAlignment="1">
      <alignment horizontal="center" vertical="top" wrapText="1"/>
    </xf>
    <xf numFmtId="3" fontId="1" fillId="7" borderId="1" xfId="0" applyFont="1" applyFill="1" applyBorder="1" applyAlignment="1">
      <alignment horizontal="center" vertical="center"/>
    </xf>
    <xf numFmtId="3" fontId="22" fillId="0" borderId="1" xfId="0" applyFont="1" applyBorder="1" applyAlignment="1">
      <alignment horizontal="center" vertical="center"/>
    </xf>
    <xf numFmtId="3" fontId="22" fillId="0" borderId="1" xfId="0" applyFont="1" applyFill="1" applyBorder="1" applyAlignment="1">
      <alignment horizontal="center" vertical="top" wrapText="1"/>
    </xf>
    <xf numFmtId="3" fontId="25" fillId="0" borderId="0" xfId="0" applyFont="1" applyAlignment="1">
      <alignment horizontal="center" vertical="center" wrapText="1"/>
    </xf>
    <xf numFmtId="3" fontId="22" fillId="7" borderId="7" xfId="0" applyFont="1" applyFill="1" applyBorder="1" applyAlignment="1">
      <alignment horizontal="center"/>
    </xf>
    <xf numFmtId="3" fontId="22" fillId="7" borderId="13" xfId="0" applyFont="1" applyFill="1" applyBorder="1" applyAlignment="1">
      <alignment horizontal="center"/>
    </xf>
    <xf numFmtId="3" fontId="22" fillId="7" borderId="5" xfId="0" applyFont="1" applyFill="1" applyBorder="1" applyAlignment="1">
      <alignment horizontal="center"/>
    </xf>
    <xf numFmtId="3" fontId="23" fillId="7" borderId="7" xfId="0" applyFont="1" applyFill="1" applyBorder="1" applyAlignment="1">
      <alignment horizontal="center" vertical="top" wrapText="1"/>
    </xf>
    <xf numFmtId="3" fontId="23" fillId="7" borderId="13" xfId="0" applyFont="1" applyFill="1" applyBorder="1" applyAlignment="1">
      <alignment horizontal="center" vertical="top" wrapText="1"/>
    </xf>
    <xf numFmtId="3" fontId="23" fillId="7" borderId="5" xfId="0" applyFont="1" applyFill="1" applyBorder="1" applyAlignment="1">
      <alignment horizontal="center" vertical="top" wrapText="1"/>
    </xf>
    <xf numFmtId="3" fontId="23" fillId="7" borderId="13" xfId="0" applyFont="1" applyFill="1" applyBorder="1" applyAlignment="1">
      <alignment horizontal="center"/>
    </xf>
    <xf numFmtId="3" fontId="23" fillId="7" borderId="5" xfId="0" applyFont="1" applyFill="1" applyBorder="1" applyAlignment="1">
      <alignment horizontal="center"/>
    </xf>
    <xf numFmtId="3" fontId="0" fillId="0" borderId="7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23" fillId="7" borderId="7" xfId="0" applyFont="1" applyFill="1" applyBorder="1" applyAlignment="1">
      <alignment horizontal="center"/>
    </xf>
    <xf numFmtId="3" fontId="2" fillId="0" borderId="13" xfId="0" applyFont="1" applyBorder="1" applyAlignment="1">
      <alignment horizontal="center" vertical="center"/>
    </xf>
    <xf numFmtId="14" fontId="62" fillId="7" borderId="1" xfId="6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/>
    </xf>
    <xf numFmtId="3" fontId="25" fillId="0" borderId="0" xfId="0" applyFont="1" applyAlignment="1">
      <alignment horizontal="left" vertical="center"/>
    </xf>
    <xf numFmtId="3" fontId="25" fillId="0" borderId="7" xfId="0" applyFont="1" applyBorder="1" applyAlignment="1">
      <alignment horizontal="left" vertical="center" wrapText="1"/>
    </xf>
    <xf numFmtId="3" fontId="25" fillId="0" borderId="5" xfId="0" applyFont="1" applyBorder="1" applyAlignment="1">
      <alignment horizontal="left" vertical="center" wrapText="1"/>
    </xf>
    <xf numFmtId="3" fontId="22" fillId="7" borderId="7" xfId="0" applyFont="1" applyFill="1" applyBorder="1" applyAlignment="1">
      <alignment horizontal="center" vertical="center"/>
    </xf>
    <xf numFmtId="3" fontId="22" fillId="7" borderId="13" xfId="0" applyFont="1" applyFill="1" applyBorder="1" applyAlignment="1">
      <alignment horizontal="center" vertical="center"/>
    </xf>
    <xf numFmtId="3" fontId="22" fillId="7" borderId="5" xfId="0" applyFont="1" applyFill="1" applyBorder="1" applyAlignment="1">
      <alignment horizontal="center" vertical="center"/>
    </xf>
    <xf numFmtId="3" fontId="2" fillId="7" borderId="7" xfId="0" applyFont="1" applyFill="1" applyBorder="1" applyAlignment="1">
      <alignment horizontal="center"/>
    </xf>
    <xf numFmtId="3" fontId="2" fillId="7" borderId="13" xfId="0" applyFont="1" applyFill="1" applyBorder="1" applyAlignment="1">
      <alignment horizontal="center"/>
    </xf>
    <xf numFmtId="3" fontId="2" fillId="7" borderId="5" xfId="0" applyFont="1" applyFill="1" applyBorder="1" applyAlignment="1">
      <alignment horizontal="center"/>
    </xf>
    <xf numFmtId="3" fontId="22" fillId="7" borderId="1" xfId="0" applyFont="1" applyFill="1" applyBorder="1" applyAlignment="1">
      <alignment horizontal="center"/>
    </xf>
    <xf numFmtId="3" fontId="25" fillId="0" borderId="8" xfId="0" applyFont="1" applyBorder="1" applyAlignment="1">
      <alignment horizontal="center" vertical="center" wrapText="1"/>
    </xf>
    <xf numFmtId="3" fontId="25" fillId="0" borderId="2" xfId="0" applyFont="1" applyBorder="1" applyAlignment="1">
      <alignment horizontal="center" vertical="center" wrapText="1"/>
    </xf>
    <xf numFmtId="3" fontId="24" fillId="0" borderId="11" xfId="0" applyFont="1" applyFill="1" applyBorder="1" applyAlignment="1">
      <alignment horizontal="center" vertical="top" wrapText="1"/>
    </xf>
    <xf numFmtId="3" fontId="24" fillId="0" borderId="15" xfId="0" applyFont="1" applyFill="1" applyBorder="1" applyAlignment="1">
      <alignment horizontal="center" vertical="top" wrapText="1"/>
    </xf>
    <xf numFmtId="178" fontId="25" fillId="0" borderId="8" xfId="0" applyNumberFormat="1" applyFont="1" applyFill="1" applyBorder="1" applyAlignment="1">
      <alignment horizontal="center" vertical="center" wrapText="1"/>
    </xf>
    <xf numFmtId="178" fontId="25" fillId="0" borderId="2" xfId="0" applyNumberFormat="1" applyFont="1" applyFill="1" applyBorder="1" applyAlignment="1">
      <alignment horizontal="center" vertical="center" wrapText="1"/>
    </xf>
    <xf numFmtId="3" fontId="25" fillId="0" borderId="1" xfId="0" applyFont="1" applyBorder="1" applyAlignment="1">
      <alignment horizontal="left" vertical="center"/>
    </xf>
    <xf numFmtId="3" fontId="40" fillId="0" borderId="8" xfId="0" applyFont="1" applyFill="1" applyBorder="1" applyAlignment="1">
      <alignment horizontal="left" vertical="center" wrapText="1"/>
    </xf>
    <xf numFmtId="3" fontId="40" fillId="0" borderId="2" xfId="0" applyFont="1" applyFill="1" applyBorder="1" applyAlignment="1">
      <alignment horizontal="left" vertical="center" wrapText="1"/>
    </xf>
    <xf numFmtId="3" fontId="40" fillId="0" borderId="8" xfId="0" applyFont="1" applyBorder="1" applyAlignment="1">
      <alignment horizontal="left" vertical="center" wrapText="1"/>
    </xf>
    <xf numFmtId="3" fontId="40" fillId="0" borderId="2" xfId="0" applyFont="1" applyBorder="1" applyAlignment="1">
      <alignment horizontal="left" vertical="center" wrapText="1"/>
    </xf>
    <xf numFmtId="3" fontId="73" fillId="0" borderId="1" xfId="0" applyFont="1" applyBorder="1" applyAlignment="1">
      <alignment horizontal="center" vertical="top" wrapText="1"/>
    </xf>
    <xf numFmtId="3" fontId="73" fillId="0" borderId="1" xfId="0" applyFont="1" applyBorder="1" applyAlignment="1">
      <alignment horizontal="center" vertical="top"/>
    </xf>
    <xf numFmtId="3" fontId="75" fillId="0" borderId="1" xfId="0" applyFont="1" applyBorder="1" applyAlignment="1">
      <alignment horizontal="center" vertical="center" wrapText="1"/>
    </xf>
    <xf numFmtId="3" fontId="75" fillId="0" borderId="8" xfId="0" applyFont="1" applyBorder="1" applyAlignment="1">
      <alignment horizontal="center" vertical="center" wrapText="1"/>
    </xf>
    <xf numFmtId="3" fontId="75" fillId="0" borderId="10" xfId="0" applyFont="1" applyBorder="1" applyAlignment="1">
      <alignment horizontal="center" vertical="center" wrapText="1"/>
    </xf>
    <xf numFmtId="3" fontId="73" fillId="0" borderId="8" xfId="0" applyFont="1" applyBorder="1" applyAlignment="1">
      <alignment horizontal="center" vertical="top" wrapText="1"/>
    </xf>
    <xf numFmtId="3" fontId="73" fillId="0" borderId="2" xfId="0" applyFont="1" applyBorder="1" applyAlignment="1">
      <alignment horizontal="center" vertical="top" wrapText="1"/>
    </xf>
    <xf numFmtId="3" fontId="73" fillId="0" borderId="8" xfId="0" applyFont="1" applyBorder="1" applyAlignment="1">
      <alignment horizontal="center" vertical="top"/>
    </xf>
    <xf numFmtId="3" fontId="73" fillId="0" borderId="10" xfId="0" applyFont="1" applyBorder="1" applyAlignment="1">
      <alignment horizontal="center" vertical="top"/>
    </xf>
    <xf numFmtId="3" fontId="73" fillId="0" borderId="2" xfId="0" applyFont="1" applyBorder="1" applyAlignment="1">
      <alignment horizontal="center" vertical="top"/>
    </xf>
    <xf numFmtId="3" fontId="73" fillId="0" borderId="10" xfId="0" applyFont="1" applyBorder="1" applyAlignment="1">
      <alignment horizontal="center" vertical="top" wrapText="1"/>
    </xf>
    <xf numFmtId="3" fontId="75" fillId="0" borderId="8" xfId="0" applyFont="1" applyBorder="1" applyAlignment="1">
      <alignment horizontal="center" vertical="center"/>
    </xf>
    <xf numFmtId="3" fontId="75" fillId="0" borderId="10" xfId="0" applyFont="1" applyBorder="1" applyAlignment="1">
      <alignment horizontal="center" vertical="center"/>
    </xf>
    <xf numFmtId="3" fontId="75" fillId="0" borderId="2" xfId="0" applyFont="1" applyBorder="1" applyAlignment="1">
      <alignment horizontal="center" vertical="center"/>
    </xf>
    <xf numFmtId="3" fontId="75" fillId="0" borderId="14" xfId="0" applyFont="1" applyBorder="1" applyAlignment="1">
      <alignment horizontal="center" vertical="center"/>
    </xf>
    <xf numFmtId="3" fontId="75" fillId="0" borderId="15" xfId="0" applyFont="1" applyBorder="1" applyAlignment="1">
      <alignment horizontal="center" vertical="center"/>
    </xf>
    <xf numFmtId="3" fontId="75" fillId="0" borderId="1" xfId="0" applyFont="1" applyBorder="1" applyAlignment="1">
      <alignment horizontal="center" vertical="center"/>
    </xf>
    <xf numFmtId="3" fontId="0" fillId="0" borderId="1" xfId="0" applyBorder="1" applyAlignment="1">
      <alignment horizontal="center" vertical="top" wrapText="1"/>
    </xf>
    <xf numFmtId="3" fontId="0" fillId="0" borderId="1" xfId="0" applyBorder="1" applyAlignment="1">
      <alignment horizontal="center" vertical="center" wrapText="1"/>
    </xf>
    <xf numFmtId="3" fontId="38" fillId="7" borderId="23" xfId="0" applyFont="1" applyFill="1" applyBorder="1" applyAlignment="1">
      <alignment horizontal="left" vertical="center"/>
    </xf>
    <xf numFmtId="3" fontId="38" fillId="7" borderId="14" xfId="0" applyFont="1" applyFill="1" applyBorder="1" applyAlignment="1">
      <alignment horizontal="left" vertical="center"/>
    </xf>
    <xf numFmtId="3" fontId="38" fillId="7" borderId="15" xfId="0" applyFont="1" applyFill="1" applyBorder="1" applyAlignment="1">
      <alignment horizontal="left" vertical="center"/>
    </xf>
    <xf numFmtId="3" fontId="38" fillId="13" borderId="8" xfId="0" applyFont="1" applyFill="1" applyBorder="1" applyAlignment="1">
      <alignment horizontal="center" vertical="center"/>
    </xf>
    <xf numFmtId="3" fontId="38" fillId="13" borderId="2" xfId="0" applyFont="1" applyFill="1" applyBorder="1" applyAlignment="1">
      <alignment horizontal="center" vertical="center"/>
    </xf>
    <xf numFmtId="3" fontId="38" fillId="13" borderId="8" xfId="0" applyFont="1" applyFill="1" applyBorder="1" applyAlignment="1">
      <alignment horizontal="center" vertical="center" wrapText="1"/>
    </xf>
    <xf numFmtId="3" fontId="38" fillId="13" borderId="2" xfId="0" applyFont="1" applyFill="1" applyBorder="1" applyAlignment="1">
      <alignment horizontal="center" vertical="center" wrapText="1"/>
    </xf>
    <xf numFmtId="3" fontId="38" fillId="7" borderId="3" xfId="0" applyFont="1" applyFill="1" applyBorder="1" applyAlignment="1">
      <alignment horizontal="center" vertical="center"/>
    </xf>
    <xf numFmtId="3" fontId="38" fillId="7" borderId="0" xfId="0" applyFont="1" applyFill="1" applyBorder="1" applyAlignment="1">
      <alignment horizontal="center" vertical="center"/>
    </xf>
    <xf numFmtId="3" fontId="38" fillId="7" borderId="11" xfId="0" applyFont="1" applyFill="1" applyBorder="1" applyAlignment="1">
      <alignment horizontal="center" vertical="center"/>
    </xf>
    <xf numFmtId="3" fontId="0" fillId="7" borderId="1" xfId="0" applyFill="1" applyBorder="1" applyAlignment="1">
      <alignment horizontal="center" vertical="center" wrapText="1"/>
    </xf>
    <xf numFmtId="3" fontId="37" fillId="0" borderId="1" xfId="0" applyFont="1" applyBorder="1" applyAlignment="1">
      <alignment horizontal="center" vertical="center" wrapText="1"/>
    </xf>
    <xf numFmtId="3" fontId="0" fillId="7" borderId="13" xfId="0" applyFill="1" applyBorder="1" applyAlignment="1">
      <alignment horizontal="center" vertical="center" wrapText="1"/>
    </xf>
    <xf numFmtId="3" fontId="0" fillId="7" borderId="2" xfId="0" applyFill="1" applyBorder="1" applyAlignment="1">
      <alignment horizontal="center" vertical="center" wrapText="1"/>
    </xf>
    <xf numFmtId="3" fontId="48" fillId="13" borderId="8" xfId="0" applyFont="1" applyFill="1" applyBorder="1" applyAlignment="1">
      <alignment horizontal="center" vertical="center" wrapText="1"/>
    </xf>
    <xf numFmtId="3" fontId="48" fillId="13" borderId="2" xfId="0" applyFont="1" applyFill="1" applyBorder="1" applyAlignment="1">
      <alignment horizontal="center" vertical="center" wrapText="1"/>
    </xf>
    <xf numFmtId="3" fontId="48" fillId="13" borderId="8" xfId="0" applyFont="1" applyFill="1" applyBorder="1" applyAlignment="1">
      <alignment horizontal="center" vertical="center"/>
    </xf>
    <xf numFmtId="3" fontId="48" fillId="13" borderId="2" xfId="0" applyFont="1" applyFill="1" applyBorder="1" applyAlignment="1">
      <alignment horizontal="center" vertical="center"/>
    </xf>
    <xf numFmtId="14" fontId="48" fillId="14" borderId="7" xfId="0" applyNumberFormat="1" applyFont="1" applyFill="1" applyBorder="1" applyAlignment="1">
      <alignment horizontal="center"/>
    </xf>
    <xf numFmtId="14" fontId="48" fillId="14" borderId="13" xfId="0" applyNumberFormat="1" applyFont="1" applyFill="1" applyBorder="1" applyAlignment="1">
      <alignment horizontal="center"/>
    </xf>
    <xf numFmtId="14" fontId="48" fillId="14" borderId="5" xfId="0" applyNumberFormat="1" applyFont="1" applyFill="1" applyBorder="1" applyAlignment="1">
      <alignment horizontal="center"/>
    </xf>
    <xf numFmtId="3" fontId="37" fillId="0" borderId="8" xfId="0" applyFont="1" applyBorder="1" applyAlignment="1">
      <alignment horizontal="center" vertical="center" wrapText="1"/>
    </xf>
    <xf numFmtId="3" fontId="37" fillId="0" borderId="10" xfId="0" applyFont="1" applyBorder="1" applyAlignment="1">
      <alignment horizontal="center" vertical="center" wrapText="1"/>
    </xf>
    <xf numFmtId="3" fontId="37" fillId="0" borderId="2" xfId="0" applyFont="1" applyBorder="1" applyAlignment="1">
      <alignment horizontal="center" vertical="center" wrapText="1"/>
    </xf>
    <xf numFmtId="3" fontId="48" fillId="13" borderId="7" xfId="0" applyFont="1" applyFill="1" applyBorder="1" applyAlignment="1">
      <alignment horizontal="center" vertical="center" wrapText="1"/>
    </xf>
    <xf numFmtId="3" fontId="48" fillId="13" borderId="13" xfId="0" applyFont="1" applyFill="1" applyBorder="1" applyAlignment="1">
      <alignment horizontal="center" vertical="center" wrapText="1"/>
    </xf>
    <xf numFmtId="3" fontId="48" fillId="13" borderId="5" xfId="0" applyFont="1" applyFill="1" applyBorder="1" applyAlignment="1">
      <alignment horizontal="center" vertical="center" wrapText="1"/>
    </xf>
    <xf numFmtId="3" fontId="25" fillId="7" borderId="1" xfId="0" applyFont="1" applyFill="1" applyBorder="1" applyAlignment="1">
      <alignment horizontal="center" vertical="center" wrapText="1"/>
    </xf>
    <xf numFmtId="3" fontId="25" fillId="10" borderId="1" xfId="0" applyFont="1" applyFill="1" applyBorder="1" applyAlignment="1">
      <alignment horizontal="center" vertical="center" wrapText="1"/>
    </xf>
    <xf numFmtId="3" fontId="0" fillId="10" borderId="1" xfId="0" applyFill="1" applyBorder="1" applyAlignment="1">
      <alignment horizontal="center" vertical="center" wrapText="1"/>
    </xf>
    <xf numFmtId="3" fontId="0" fillId="0" borderId="6" xfId="0" applyBorder="1" applyAlignment="1">
      <alignment horizontal="center" vertical="top" wrapText="1"/>
    </xf>
    <xf numFmtId="3" fontId="0" fillId="0" borderId="11" xfId="0" applyBorder="1" applyAlignment="1">
      <alignment horizontal="center" vertical="top" wrapText="1"/>
    </xf>
    <xf numFmtId="3" fontId="0" fillId="0" borderId="15" xfId="0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/>
    </xf>
    <xf numFmtId="3" fontId="24" fillId="0" borderId="11" xfId="0" applyFont="1" applyBorder="1" applyAlignment="1">
      <alignment horizontal="center"/>
    </xf>
    <xf numFmtId="3" fontId="25" fillId="0" borderId="11" xfId="0" applyFont="1" applyBorder="1" applyAlignment="1">
      <alignment horizontal="center"/>
    </xf>
    <xf numFmtId="3" fontId="25" fillId="0" borderId="3" xfId="0" applyFont="1" applyBorder="1" applyAlignment="1">
      <alignment horizontal="left" vertical="top"/>
    </xf>
    <xf numFmtId="3" fontId="25" fillId="0" borderId="0" xfId="0" applyFont="1" applyBorder="1" applyAlignment="1">
      <alignment horizontal="left" vertical="top"/>
    </xf>
    <xf numFmtId="3" fontId="25" fillId="0" borderId="11" xfId="0" applyFont="1" applyBorder="1" applyAlignment="1">
      <alignment horizontal="left" vertical="top"/>
    </xf>
    <xf numFmtId="3" fontId="25" fillId="0" borderId="1" xfId="0" applyFont="1" applyBorder="1" applyAlignment="1">
      <alignment horizontal="left" vertical="center" wrapText="1"/>
    </xf>
    <xf numFmtId="3" fontId="25" fillId="0" borderId="24" xfId="0" applyFont="1" applyBorder="1" applyAlignment="1">
      <alignment horizontal="left" vertical="top"/>
    </xf>
    <xf numFmtId="3" fontId="25" fillId="0" borderId="4" xfId="0" applyFont="1" applyBorder="1" applyAlignment="1">
      <alignment horizontal="left" vertical="top"/>
    </xf>
    <xf numFmtId="3" fontId="25" fillId="0" borderId="6" xfId="0" applyFont="1" applyBorder="1" applyAlignment="1">
      <alignment horizontal="left" vertical="top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7" borderId="7" xfId="0" applyNumberFormat="1" applyFill="1" applyBorder="1" applyAlignment="1">
      <alignment horizontal="center"/>
    </xf>
    <xf numFmtId="0" fontId="0" fillId="7" borderId="5" xfId="0" applyNumberFormat="1" applyFill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3" fontId="0" fillId="0" borderId="0" xfId="0" applyAlignment="1">
      <alignment horizontal="left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/>
    </xf>
    <xf numFmtId="0" fontId="0" fillId="7" borderId="8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24" xfId="0" applyNumberFormat="1" applyFill="1" applyBorder="1" applyAlignment="1">
      <alignment horizontal="center"/>
    </xf>
    <xf numFmtId="0" fontId="0" fillId="7" borderId="6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3" fontId="22" fillId="18" borderId="30" xfId="0" applyFont="1" applyFill="1" applyBorder="1" applyAlignment="1">
      <alignment horizontal="center" vertical="center"/>
    </xf>
    <xf numFmtId="3" fontId="22" fillId="18" borderId="44" xfId="0" applyFont="1" applyFill="1" applyBorder="1" applyAlignment="1">
      <alignment horizontal="center" vertical="center"/>
    </xf>
    <xf numFmtId="3" fontId="22" fillId="18" borderId="1" xfId="0" applyFont="1" applyFill="1" applyBorder="1" applyAlignment="1">
      <alignment horizontal="center" vertical="center"/>
    </xf>
    <xf numFmtId="3" fontId="22" fillId="18" borderId="30" xfId="0" applyFont="1" applyFill="1" applyBorder="1" applyAlignment="1">
      <alignment horizontal="left" vertical="center"/>
    </xf>
    <xf numFmtId="3" fontId="22" fillId="18" borderId="35" xfId="0" applyFont="1" applyFill="1" applyBorder="1" applyAlignment="1">
      <alignment horizontal="left" vertical="center"/>
    </xf>
    <xf numFmtId="3" fontId="22" fillId="18" borderId="35" xfId="0" applyFont="1" applyFill="1" applyBorder="1" applyAlignment="1">
      <alignment horizontal="center" vertical="center"/>
    </xf>
    <xf numFmtId="3" fontId="25" fillId="0" borderId="30" xfId="0" applyFont="1" applyBorder="1" applyAlignment="1">
      <alignment horizontal="left" vertical="center" wrapText="1"/>
    </xf>
    <xf numFmtId="3" fontId="25" fillId="0" borderId="44" xfId="0" applyFont="1" applyBorder="1" applyAlignment="1">
      <alignment horizontal="left" vertical="center" wrapText="1"/>
    </xf>
    <xf numFmtId="3" fontId="25" fillId="0" borderId="35" xfId="0" applyFont="1" applyBorder="1" applyAlignment="1">
      <alignment horizontal="left" vertical="center" wrapText="1"/>
    </xf>
    <xf numFmtId="3" fontId="29" fillId="7" borderId="1" xfId="0" applyFont="1" applyFill="1" applyBorder="1" applyAlignment="1">
      <alignment horizontal="center" vertical="center"/>
    </xf>
    <xf numFmtId="178" fontId="29" fillId="7" borderId="1" xfId="0" applyNumberFormat="1" applyFont="1" applyFill="1" applyBorder="1" applyAlignment="1">
      <alignment horizontal="center" vertical="center"/>
    </xf>
    <xf numFmtId="3" fontId="29" fillId="9" borderId="1" xfId="0" applyFont="1" applyFill="1" applyBorder="1" applyAlignment="1">
      <alignment horizontal="center"/>
    </xf>
    <xf numFmtId="3" fontId="29" fillId="7" borderId="7" xfId="0" applyFont="1" applyFill="1" applyBorder="1" applyAlignment="1">
      <alignment horizontal="center" vertical="center"/>
    </xf>
    <xf numFmtId="3" fontId="29" fillId="7" borderId="13" xfId="0" applyFont="1" applyFill="1" applyBorder="1" applyAlignment="1">
      <alignment horizontal="center" vertical="center"/>
    </xf>
    <xf numFmtId="3" fontId="29" fillId="7" borderId="5" xfId="0" applyFont="1" applyFill="1" applyBorder="1" applyAlignment="1">
      <alignment horizontal="center" vertical="center"/>
    </xf>
    <xf numFmtId="3" fontId="24" fillId="0" borderId="1" xfId="0" applyFont="1" applyBorder="1" applyAlignment="1">
      <alignment horizontal="center"/>
    </xf>
    <xf numFmtId="0" fontId="22" fillId="7" borderId="7" xfId="6" applyFont="1" applyFill="1" applyBorder="1" applyAlignment="1">
      <alignment horizontal="center" vertical="center" wrapText="1"/>
    </xf>
    <xf numFmtId="0" fontId="22" fillId="7" borderId="13" xfId="6" applyFont="1" applyFill="1" applyBorder="1" applyAlignment="1">
      <alignment horizontal="center" vertical="center" wrapText="1"/>
    </xf>
    <xf numFmtId="0" fontId="22" fillId="7" borderId="5" xfId="6" applyFont="1" applyFill="1" applyBorder="1" applyAlignment="1">
      <alignment horizontal="center" vertical="center" wrapText="1"/>
    </xf>
    <xf numFmtId="3" fontId="22" fillId="7" borderId="8" xfId="0" applyFont="1" applyFill="1" applyBorder="1" applyAlignment="1">
      <alignment horizontal="center" vertical="center" wrapText="1"/>
    </xf>
    <xf numFmtId="3" fontId="22" fillId="7" borderId="2" xfId="0" applyFont="1" applyFill="1" applyBorder="1" applyAlignment="1">
      <alignment horizontal="center" vertical="center" wrapText="1"/>
    </xf>
    <xf numFmtId="3" fontId="29" fillId="9" borderId="7" xfId="0" applyFont="1" applyFill="1" applyBorder="1" applyAlignment="1">
      <alignment horizontal="center"/>
    </xf>
    <xf numFmtId="3" fontId="29" fillId="9" borderId="13" xfId="0" applyFont="1" applyFill="1" applyBorder="1" applyAlignment="1">
      <alignment horizontal="center"/>
    </xf>
    <xf numFmtId="3" fontId="29" fillId="9" borderId="5" xfId="0" applyFont="1" applyFill="1" applyBorder="1" applyAlignment="1">
      <alignment horizontal="center"/>
    </xf>
    <xf numFmtId="3" fontId="29" fillId="6" borderId="7" xfId="0" applyFont="1" applyFill="1" applyBorder="1" applyAlignment="1">
      <alignment horizontal="center" vertical="center"/>
    </xf>
    <xf numFmtId="3" fontId="29" fillId="6" borderId="13" xfId="0" applyFont="1" applyFill="1" applyBorder="1" applyAlignment="1">
      <alignment horizontal="center" vertical="center"/>
    </xf>
    <xf numFmtId="3" fontId="29" fillId="6" borderId="5" xfId="0" applyFont="1" applyFill="1" applyBorder="1" applyAlignment="1">
      <alignment horizontal="center" vertical="center"/>
    </xf>
    <xf numFmtId="3" fontId="14" fillId="7" borderId="7" xfId="0" applyFont="1" applyFill="1" applyBorder="1" applyAlignment="1">
      <alignment horizontal="center"/>
    </xf>
    <xf numFmtId="3" fontId="14" fillId="7" borderId="13" xfId="0" applyFont="1" applyFill="1" applyBorder="1" applyAlignment="1">
      <alignment horizontal="center"/>
    </xf>
    <xf numFmtId="3" fontId="14" fillId="7" borderId="5" xfId="0" applyFont="1" applyFill="1" applyBorder="1" applyAlignment="1">
      <alignment horizontal="center"/>
    </xf>
    <xf numFmtId="3" fontId="24" fillId="7" borderId="7" xfId="0" applyFont="1" applyFill="1" applyBorder="1" applyAlignment="1">
      <alignment horizontal="center" vertical="center"/>
    </xf>
    <xf numFmtId="3" fontId="24" fillId="7" borderId="13" xfId="0" applyFont="1" applyFill="1" applyBorder="1" applyAlignment="1">
      <alignment horizontal="center" vertical="center"/>
    </xf>
    <xf numFmtId="3" fontId="24" fillId="7" borderId="5" xfId="0" applyFont="1" applyFill="1" applyBorder="1" applyAlignment="1">
      <alignment horizontal="center" vertical="center"/>
    </xf>
    <xf numFmtId="3" fontId="42" fillId="7" borderId="1" xfId="0" applyFont="1" applyFill="1" applyBorder="1" applyAlignment="1">
      <alignment horizontal="center"/>
    </xf>
    <xf numFmtId="3" fontId="42" fillId="7" borderId="1" xfId="0" applyFont="1" applyFill="1" applyBorder="1" applyAlignment="1">
      <alignment horizontal="center" vertical="center"/>
    </xf>
    <xf numFmtId="3" fontId="42" fillId="7" borderId="1" xfId="0" applyFont="1" applyFill="1" applyBorder="1" applyAlignment="1">
      <alignment horizontal="center" vertical="top" wrapText="1"/>
    </xf>
    <xf numFmtId="3" fontId="49" fillId="7" borderId="1" xfId="0" applyFont="1" applyFill="1" applyBorder="1" applyAlignment="1">
      <alignment horizontal="center" vertical="top" wrapText="1"/>
    </xf>
    <xf numFmtId="3" fontId="50" fillId="0" borderId="1" xfId="0" applyFont="1" applyBorder="1" applyAlignment="1">
      <alignment horizontal="left" vertical="top" wrapText="1"/>
    </xf>
    <xf numFmtId="3" fontId="50" fillId="0" borderId="1" xfId="0" applyFont="1" applyBorder="1" applyAlignment="1">
      <alignment horizontal="center" vertical="top" wrapText="1"/>
    </xf>
    <xf numFmtId="3" fontId="40" fillId="0" borderId="3" xfId="0" applyFont="1" applyBorder="1" applyAlignment="1">
      <alignment horizontal="center" vertical="center"/>
    </xf>
    <xf numFmtId="3" fontId="40" fillId="7" borderId="1" xfId="0" applyFont="1" applyFill="1" applyBorder="1" applyAlignment="1">
      <alignment horizontal="center" vertical="center" wrapText="1"/>
    </xf>
    <xf numFmtId="3" fontId="6" fillId="0" borderId="13" xfId="0" applyFont="1" applyFill="1" applyBorder="1" applyAlignment="1">
      <alignment horizontal="left"/>
    </xf>
    <xf numFmtId="3" fontId="2" fillId="9" borderId="1" xfId="0" applyFont="1" applyFill="1" applyBorder="1" applyAlignment="1">
      <alignment horizontal="left"/>
    </xf>
    <xf numFmtId="3" fontId="1" fillId="0" borderId="1" xfId="0" applyFont="1" applyBorder="1" applyAlignment="1">
      <alignment horizontal="center" vertical="top" wrapText="1"/>
    </xf>
    <xf numFmtId="3" fontId="2" fillId="0" borderId="0" xfId="0" applyFont="1" applyFill="1" applyBorder="1" applyAlignment="1"/>
    <xf numFmtId="3" fontId="2" fillId="0" borderId="0" xfId="0" applyFont="1" applyFill="1" applyBorder="1" applyAlignment="1">
      <alignment horizontal="center"/>
    </xf>
    <xf numFmtId="3" fontId="2" fillId="8" borderId="7" xfId="0" applyFont="1" applyFill="1" applyBorder="1" applyAlignment="1">
      <alignment horizontal="center"/>
    </xf>
    <xf numFmtId="3" fontId="2" fillId="8" borderId="13" xfId="0" applyFont="1" applyFill="1" applyBorder="1" applyAlignment="1">
      <alignment horizontal="center"/>
    </xf>
    <xf numFmtId="3" fontId="2" fillId="8" borderId="5" xfId="0" applyFont="1" applyFill="1" applyBorder="1" applyAlignment="1">
      <alignment horizontal="center"/>
    </xf>
    <xf numFmtId="3" fontId="2" fillId="0" borderId="7" xfId="0" applyFont="1" applyFill="1" applyBorder="1" applyAlignment="1">
      <alignment horizontal="center" wrapText="1"/>
    </xf>
    <xf numFmtId="3" fontId="2" fillId="0" borderId="23" xfId="0" applyFont="1" applyFill="1" applyBorder="1" applyAlignment="1">
      <alignment horizontal="center" wrapText="1"/>
    </xf>
    <xf numFmtId="3" fontId="1" fillId="0" borderId="1" xfId="0" applyFont="1" applyBorder="1" applyAlignment="1">
      <alignment horizontal="center" vertical="center" wrapText="1"/>
    </xf>
    <xf numFmtId="3" fontId="2" fillId="9" borderId="1" xfId="0" applyFont="1" applyFill="1" applyBorder="1" applyAlignment="1">
      <alignment horizontal="center" vertical="center" wrapText="1"/>
    </xf>
    <xf numFmtId="3" fontId="1" fillId="0" borderId="7" xfId="0" applyFont="1" applyBorder="1" applyAlignment="1">
      <alignment horizontal="center" vertical="center" wrapText="1"/>
    </xf>
    <xf numFmtId="3" fontId="1" fillId="0" borderId="5" xfId="0" applyFont="1" applyBorder="1" applyAlignment="1">
      <alignment horizontal="center" vertical="center" wrapText="1"/>
    </xf>
    <xf numFmtId="3" fontId="2" fillId="8" borderId="7" xfId="0" applyFont="1" applyFill="1" applyBorder="1" applyAlignment="1">
      <alignment horizontal="center" vertical="center"/>
    </xf>
    <xf numFmtId="3" fontId="2" fillId="8" borderId="13" xfId="0" applyFont="1" applyFill="1" applyBorder="1" applyAlignment="1">
      <alignment horizontal="center" vertical="center"/>
    </xf>
    <xf numFmtId="3" fontId="2" fillId="0" borderId="1" xfId="0" applyFont="1" applyFill="1" applyBorder="1" applyAlignment="1">
      <alignment horizontal="center" vertical="center" wrapText="1"/>
    </xf>
    <xf numFmtId="3" fontId="1" fillId="0" borderId="0" xfId="0" applyFont="1" applyAlignment="1">
      <alignment horizontal="left" vertical="center" wrapText="1"/>
    </xf>
    <xf numFmtId="3" fontId="14" fillId="0" borderId="1" xfId="0" applyFont="1" applyBorder="1" applyAlignment="1">
      <alignment horizontal="left" vertical="center" wrapText="1"/>
    </xf>
    <xf numFmtId="3" fontId="2" fillId="8" borderId="1" xfId="0" applyFont="1" applyFill="1" applyBorder="1" applyAlignment="1">
      <alignment horizontal="center"/>
    </xf>
    <xf numFmtId="3" fontId="25" fillId="0" borderId="4" xfId="0" applyFont="1" applyBorder="1" applyAlignment="1">
      <alignment horizontal="left" vertical="center"/>
    </xf>
    <xf numFmtId="3" fontId="25" fillId="0" borderId="0" xfId="0" applyFont="1" applyBorder="1" applyAlignment="1">
      <alignment horizontal="left" vertical="center"/>
    </xf>
    <xf numFmtId="3" fontId="1" fillId="0" borderId="11" xfId="0" applyFont="1" applyBorder="1" applyAlignment="1">
      <alignment horizontal="left" vertical="center"/>
    </xf>
    <xf numFmtId="3" fontId="1" fillId="0" borderId="13" xfId="0" applyFont="1" applyBorder="1" applyAlignment="1">
      <alignment horizontal="left" vertical="center"/>
    </xf>
    <xf numFmtId="3" fontId="24" fillId="0" borderId="3" xfId="0" applyFont="1" applyBorder="1" applyAlignment="1">
      <alignment horizontal="center" vertical="center" wrapText="1"/>
    </xf>
    <xf numFmtId="3" fontId="22" fillId="16" borderId="7" xfId="0" applyFont="1" applyFill="1" applyBorder="1" applyAlignment="1">
      <alignment horizontal="center"/>
    </xf>
    <xf numFmtId="3" fontId="22" fillId="16" borderId="13" xfId="0" applyFont="1" applyFill="1" applyBorder="1" applyAlignment="1">
      <alignment horizontal="center"/>
    </xf>
    <xf numFmtId="3" fontId="22" fillId="16" borderId="5" xfId="0" applyFont="1" applyFill="1" applyBorder="1" applyAlignment="1">
      <alignment horizontal="center"/>
    </xf>
    <xf numFmtId="178" fontId="22" fillId="16" borderId="7" xfId="0" applyNumberFormat="1" applyFont="1" applyFill="1" applyBorder="1" applyAlignment="1">
      <alignment horizontal="center"/>
    </xf>
    <xf numFmtId="178" fontId="22" fillId="16" borderId="13" xfId="0" applyNumberFormat="1" applyFont="1" applyFill="1" applyBorder="1" applyAlignment="1">
      <alignment horizontal="center"/>
    </xf>
    <xf numFmtId="178" fontId="22" fillId="16" borderId="5" xfId="0" applyNumberFormat="1" applyFont="1" applyFill="1" applyBorder="1" applyAlignment="1">
      <alignment horizontal="center"/>
    </xf>
    <xf numFmtId="3" fontId="22" fillId="16" borderId="1" xfId="0" applyFont="1" applyFill="1" applyBorder="1" applyAlignment="1">
      <alignment horizontal="center"/>
    </xf>
    <xf numFmtId="178" fontId="22" fillId="16" borderId="7" xfId="0" applyNumberFormat="1" applyFont="1" applyFill="1" applyBorder="1" applyAlignment="1">
      <alignment horizontal="left"/>
    </xf>
    <xf numFmtId="178" fontId="22" fillId="16" borderId="13" xfId="0" applyNumberFormat="1" applyFont="1" applyFill="1" applyBorder="1" applyAlignment="1">
      <alignment horizontal="left"/>
    </xf>
    <xf numFmtId="178" fontId="22" fillId="16" borderId="5" xfId="0" applyNumberFormat="1" applyFont="1" applyFill="1" applyBorder="1" applyAlignment="1">
      <alignment horizontal="left"/>
    </xf>
    <xf numFmtId="3" fontId="0" fillId="16" borderId="7" xfId="0" applyFill="1" applyBorder="1" applyAlignment="1">
      <alignment horizontal="center" vertical="center" wrapText="1"/>
    </xf>
    <xf numFmtId="3" fontId="0" fillId="16" borderId="13" xfId="0" applyFill="1" applyBorder="1" applyAlignment="1">
      <alignment horizontal="center" vertical="center" wrapText="1"/>
    </xf>
    <xf numFmtId="3" fontId="0" fillId="16" borderId="5" xfId="0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/>
    </xf>
    <xf numFmtId="3" fontId="25" fillId="0" borderId="11" xfId="0" applyFont="1" applyBorder="1" applyAlignment="1">
      <alignment horizontal="left" vertical="center"/>
    </xf>
    <xf numFmtId="3" fontId="25" fillId="0" borderId="13" xfId="0" applyFont="1" applyBorder="1" applyAlignment="1">
      <alignment horizontal="left" vertical="center"/>
    </xf>
    <xf numFmtId="14" fontId="25" fillId="0" borderId="11" xfId="0" applyNumberFormat="1" applyFont="1" applyBorder="1" applyAlignment="1">
      <alignment horizontal="center"/>
    </xf>
    <xf numFmtId="3" fontId="25" fillId="0" borderId="7" xfId="0" applyFont="1" applyBorder="1" applyAlignment="1">
      <alignment horizontal="left" vertical="center"/>
    </xf>
    <xf numFmtId="3" fontId="25" fillId="0" borderId="5" xfId="0" applyFont="1" applyBorder="1" applyAlignment="1">
      <alignment horizontal="left" vertical="center"/>
    </xf>
    <xf numFmtId="3" fontId="25" fillId="0" borderId="7" xfId="0" applyFont="1" applyBorder="1" applyAlignment="1">
      <alignment horizontal="center" vertical="center" wrapText="1"/>
    </xf>
    <xf numFmtId="3" fontId="22" fillId="16" borderId="6" xfId="0" applyFont="1" applyFill="1" applyBorder="1" applyAlignment="1">
      <alignment horizontal="center"/>
    </xf>
    <xf numFmtId="3" fontId="22" fillId="16" borderId="11" xfId="0" applyFont="1" applyFill="1" applyBorder="1" applyAlignment="1">
      <alignment horizontal="center"/>
    </xf>
    <xf numFmtId="0" fontId="22" fillId="16" borderId="1" xfId="0" applyNumberFormat="1" applyFont="1" applyFill="1" applyBorder="1" applyAlignment="1">
      <alignment horizontal="center"/>
    </xf>
    <xf numFmtId="178" fontId="22" fillId="16" borderId="1" xfId="0" applyNumberFormat="1" applyFont="1" applyFill="1" applyBorder="1" applyAlignment="1">
      <alignment horizontal="center"/>
    </xf>
    <xf numFmtId="0" fontId="22" fillId="16" borderId="7" xfId="0" applyNumberFormat="1" applyFont="1" applyFill="1" applyBorder="1" applyAlignment="1">
      <alignment horizontal="center"/>
    </xf>
    <xf numFmtId="0" fontId="22" fillId="16" borderId="13" xfId="0" applyNumberFormat="1" applyFont="1" applyFill="1" applyBorder="1" applyAlignment="1">
      <alignment horizontal="center"/>
    </xf>
    <xf numFmtId="3" fontId="0" fillId="16" borderId="6" xfId="0" applyFill="1" applyBorder="1" applyAlignment="1">
      <alignment horizontal="center" vertical="center" wrapText="1"/>
    </xf>
    <xf numFmtId="3" fontId="0" fillId="16" borderId="11" xfId="0" applyFill="1" applyBorder="1" applyAlignment="1">
      <alignment horizontal="center" vertical="center" wrapText="1"/>
    </xf>
    <xf numFmtId="171" fontId="25" fillId="0" borderId="0" xfId="0" applyNumberFormat="1" applyFont="1">
      <alignment horizontal="left" vertical="center" wrapText="1"/>
    </xf>
  </cellXfs>
  <cellStyles count="12">
    <cellStyle name="Comma" xfId="1" builtinId="3"/>
    <cellStyle name="General" xfId="6" xr:uid="{00000000-0005-0000-0000-000001000000}"/>
    <cellStyle name="Good" xfId="8" builtinId="26"/>
    <cellStyle name="Hyperlink" xfId="2" builtinId="8" hidden="1"/>
    <cellStyle name="Hyperlink" xfId="7" builtinId="8" hidden="1"/>
    <cellStyle name="Normal" xfId="0" builtinId="0" customBuiltin="1"/>
    <cellStyle name="Normal 2" xfId="9" xr:uid="{00000000-0005-0000-0000-000006000000}"/>
    <cellStyle name="Normal_AnalyteLookUp" xfId="3" xr:uid="{00000000-0005-0000-0000-000007000000}"/>
    <cellStyle name="Normal_AnalyteLookUp 2" xfId="10" xr:uid="{00000000-0005-0000-0000-000008000000}"/>
    <cellStyle name="Normal_MethodLookUp" xfId="4" xr:uid="{00000000-0005-0000-0000-000009000000}"/>
    <cellStyle name="Normal_MethodLookUp 2" xfId="11" xr:uid="{00000000-0005-0000-0000-00000A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9105766902339388"/>
          <c:w val="0.89357604946357594"/>
          <c:h val="0.60569346137203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cat>
            <c:numRef>
              <c:f>'Annual Reservoir Trends'!$C$3:$T$3</c:f>
              <c:numCache>
                <c:formatCode>0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'Annual Reservoir Trends'!$C$4:$T$4</c:f>
              <c:numCache>
                <c:formatCode>0.0</c:formatCode>
                <c:ptCount val="18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A-4AB3-B69B-544AFE320386}"/>
            </c:ext>
          </c:extLst>
        </c:ser>
        <c:ser>
          <c:idx val="1"/>
          <c:order val="1"/>
          <c:tx>
            <c:strRef>
              <c:f>'Annual Reservoir Trends'!$B$5</c:f>
              <c:strCache>
                <c:ptCount val="1"/>
                <c:pt idx="0">
                  <c:v>Mid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Trends'!$C$3:$R$3</c:f>
              <c:numCache>
                <c:formatCode>0</c:formatCod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'Annual Reservoir Trends'!$C$5:$M$5</c:f>
            </c:numRef>
          </c:val>
          <c:extLst>
            <c:ext xmlns:c16="http://schemas.microsoft.com/office/drawing/2014/chart" uri="{C3380CC4-5D6E-409C-BE32-E72D297353CC}">
              <c16:uniqueId val="{00000001-4B3A-4AB3-B69B-544AFE320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8000"/>
        <c:axId val="104726912"/>
      </c:barChart>
      <c:catAx>
        <c:axId val="1048480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2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480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899745965498266"/>
          <c:y val="0.17479760151934756"/>
          <c:w val="0.23895624492724449"/>
          <c:h val="0.18292768282015925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Nitrate Distribution In Water Column</a:t>
            </a:r>
          </a:p>
        </c:rich>
      </c:tx>
      <c:layout>
        <c:manualLayout>
          <c:xMode val="edge"/>
          <c:yMode val="edge"/>
          <c:x val="0.32964800054449878"/>
          <c:y val="5.2508801964050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489822267713464E-2"/>
          <c:y val="0.12820566659936741"/>
          <c:w val="0.87748322517987265"/>
          <c:h val="0.717950333131435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'Nitrogen Trends'!$E$50</c:f>
              <c:strCache>
                <c:ptCount val="1"/>
                <c:pt idx="0">
                  <c:v>Reservoir Bottom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Trends'!$G$50:$G$74</c:f>
              <c:numCache>
                <c:formatCode>0</c:formatCode>
                <c:ptCount val="25"/>
                <c:pt idx="0">
                  <c:v>341</c:v>
                </c:pt>
                <c:pt idx="1">
                  <c:v>228</c:v>
                </c:pt>
                <c:pt idx="2">
                  <c:v>332</c:v>
                </c:pt>
                <c:pt idx="3">
                  <c:v>308</c:v>
                </c:pt>
                <c:pt idx="4">
                  <c:v>503</c:v>
                </c:pt>
                <c:pt idx="5">
                  <c:v>560.9375</c:v>
                </c:pt>
                <c:pt idx="6">
                  <c:v>340.9935714285715</c:v>
                </c:pt>
                <c:pt idx="7">
                  <c:v>342</c:v>
                </c:pt>
                <c:pt idx="8">
                  <c:v>231</c:v>
                </c:pt>
                <c:pt idx="9">
                  <c:v>483</c:v>
                </c:pt>
                <c:pt idx="10">
                  <c:v>390</c:v>
                </c:pt>
                <c:pt idx="11">
                  <c:v>268</c:v>
                </c:pt>
                <c:pt idx="12">
                  <c:v>259</c:v>
                </c:pt>
                <c:pt idx="13">
                  <c:v>224</c:v>
                </c:pt>
                <c:pt idx="14">
                  <c:v>210</c:v>
                </c:pt>
                <c:pt idx="15">
                  <c:v>151</c:v>
                </c:pt>
                <c:pt idx="16">
                  <c:v>232</c:v>
                </c:pt>
                <c:pt idx="17">
                  <c:v>230</c:v>
                </c:pt>
                <c:pt idx="18">
                  <c:v>244</c:v>
                </c:pt>
                <c:pt idx="19">
                  <c:v>222</c:v>
                </c:pt>
                <c:pt idx="20">
                  <c:v>186</c:v>
                </c:pt>
                <c:pt idx="21">
                  <c:v>101.8</c:v>
                </c:pt>
                <c:pt idx="22">
                  <c:v>144</c:v>
                </c:pt>
                <c:pt idx="23">
                  <c:v>274</c:v>
                </c:pt>
                <c:pt idx="2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0-4B1F-AF99-46BF5C555CEA}"/>
            </c:ext>
          </c:extLst>
        </c:ser>
        <c:ser>
          <c:idx val="0"/>
          <c:order val="1"/>
          <c:tx>
            <c:strRef>
              <c:f>'Nitrogen Trends'!$E$3</c:f>
              <c:strCache>
                <c:ptCount val="1"/>
                <c:pt idx="0">
                  <c:v>Reservoir 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Trends'!$G$3:$G$27</c:f>
              <c:numCache>
                <c:formatCode>0</c:formatCode>
                <c:ptCount val="25"/>
                <c:pt idx="0">
                  <c:v>442</c:v>
                </c:pt>
                <c:pt idx="1">
                  <c:v>288</c:v>
                </c:pt>
                <c:pt idx="2">
                  <c:v>504</c:v>
                </c:pt>
                <c:pt idx="3">
                  <c:v>382</c:v>
                </c:pt>
                <c:pt idx="4">
                  <c:v>474</c:v>
                </c:pt>
                <c:pt idx="5">
                  <c:v>577.75</c:v>
                </c:pt>
                <c:pt idx="6">
                  <c:v>392.83071428571424</c:v>
                </c:pt>
                <c:pt idx="7">
                  <c:v>388</c:v>
                </c:pt>
                <c:pt idx="8">
                  <c:v>224</c:v>
                </c:pt>
                <c:pt idx="9">
                  <c:v>431</c:v>
                </c:pt>
                <c:pt idx="10">
                  <c:v>401</c:v>
                </c:pt>
                <c:pt idx="11">
                  <c:v>289</c:v>
                </c:pt>
                <c:pt idx="12">
                  <c:v>268</c:v>
                </c:pt>
                <c:pt idx="13">
                  <c:v>268</c:v>
                </c:pt>
                <c:pt idx="14">
                  <c:v>186</c:v>
                </c:pt>
                <c:pt idx="15">
                  <c:v>158</c:v>
                </c:pt>
                <c:pt idx="16">
                  <c:v>222</c:v>
                </c:pt>
                <c:pt idx="17">
                  <c:v>233</c:v>
                </c:pt>
                <c:pt idx="18">
                  <c:v>291</c:v>
                </c:pt>
                <c:pt idx="19">
                  <c:v>287</c:v>
                </c:pt>
                <c:pt idx="20">
                  <c:v>158</c:v>
                </c:pt>
                <c:pt idx="21">
                  <c:v>165</c:v>
                </c:pt>
                <c:pt idx="22">
                  <c:v>161</c:v>
                </c:pt>
                <c:pt idx="23">
                  <c:v>307</c:v>
                </c:pt>
                <c:pt idx="2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0-4B1F-AF99-46BF5C55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66048"/>
        <c:axId val="107483520"/>
      </c:barChart>
      <c:catAx>
        <c:axId val="1076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 ug/l</a:t>
                </a:r>
              </a:p>
            </c:rich>
          </c:tx>
          <c:layout>
            <c:manualLayout>
              <c:xMode val="edge"/>
              <c:yMode val="edge"/>
              <c:x val="1.3390233824479856E-2"/>
              <c:y val="0.37035922457745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660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Loading Pounds Segment 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'MWS 2015 chemistry'!$J$26:$K$26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2015 chemistry'!$B$28:$C$30</c:f>
              <c:multiLvlStrCache>
                <c:ptCount val="3"/>
                <c:lvl>
                  <c:pt idx="0">
                    <c:v>Bear Creek Edge Mt. Evans</c:v>
                  </c:pt>
                  <c:pt idx="1">
                    <c:v>Golden Willow </c:v>
                  </c:pt>
                  <c:pt idx="2">
                    <c:v>Keys on the Green</c:v>
                  </c:pt>
                </c:lvl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</c:lvl>
              </c:multiLvlStrCache>
            </c:multiLvlStrRef>
          </c:cat>
          <c:val>
            <c:numRef>
              <c:f>'MWS 2015 chemistry'!$K$28:$K$30</c:f>
              <c:numCache>
                <c:formatCode>#,##0.0</c:formatCode>
                <c:ptCount val="3"/>
                <c:pt idx="0">
                  <c:v>19.169920000000001</c:v>
                </c:pt>
                <c:pt idx="1">
                  <c:v>31.115721000000001</c:v>
                </c:pt>
                <c:pt idx="2">
                  <c:v>50.854748000000001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7-4300-9ABE-6BD26AD0CE66}"/>
            </c:ext>
          </c:extLst>
        </c:ser>
        <c:ser>
          <c:idx val="1"/>
          <c:order val="1"/>
          <c:tx>
            <c:strRef>
              <c:f>'MWS 2015 chemistry'!$L$26:$M$26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'MWS 2015 chemistry'!$M$28:$M$30</c:f>
              <c:numCache>
                <c:formatCode>#,##0.0</c:formatCode>
                <c:ptCount val="3"/>
                <c:pt idx="0">
                  <c:v>24.245592000000002</c:v>
                </c:pt>
                <c:pt idx="1">
                  <c:v>60.014920000000004</c:v>
                </c:pt>
                <c:pt idx="2">
                  <c:v>79.361834999999999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7-4300-9ABE-6BD26AD0CE66}"/>
            </c:ext>
          </c:extLst>
        </c:ser>
        <c:ser>
          <c:idx val="2"/>
          <c:order val="2"/>
          <c:tx>
            <c:strRef>
              <c:f>'MWS 2015 chemistry'!$N$26:$O$26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'MWS 2015 chemistry'!$O$28:$O$30</c:f>
              <c:numCache>
                <c:formatCode>#,##0.0</c:formatCode>
                <c:ptCount val="3"/>
                <c:pt idx="0">
                  <c:v>2.6385870000000002</c:v>
                </c:pt>
                <c:pt idx="1">
                  <c:v>12.580260000000001</c:v>
                </c:pt>
                <c:pt idx="2">
                  <c:v>22.415736000000003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7-4300-9ABE-6BD26AD0CE66}"/>
            </c:ext>
          </c:extLst>
        </c:ser>
        <c:ser>
          <c:idx val="3"/>
          <c:order val="3"/>
          <c:tx>
            <c:strRef>
              <c:f>'MWS 2015 chemistry'!$P$26:$Q$26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'MWS 2015 chemistry'!$Q$28:$Q$30</c:f>
              <c:numCache>
                <c:formatCode>#,##0.0</c:formatCode>
                <c:ptCount val="3"/>
                <c:pt idx="0">
                  <c:v>0.60995200000000005</c:v>
                </c:pt>
                <c:pt idx="1">
                  <c:v>1.3037724000000002</c:v>
                </c:pt>
                <c:pt idx="2">
                  <c:v>2.7230000000000003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7-4300-9ABE-6BD26AD0CE66}"/>
            </c:ext>
          </c:extLst>
        </c:ser>
        <c:ser>
          <c:idx val="4"/>
          <c:order val="4"/>
          <c:tx>
            <c:strRef>
              <c:f>'MWS 2015 chemistry'!$R$26:$S$26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'MWS 2015 chemistry'!$S$28:$S$30</c:f>
              <c:numCache>
                <c:formatCode>#,##0.0</c:formatCode>
                <c:ptCount val="3"/>
                <c:pt idx="0">
                  <c:v>8.2234600000000005E-2</c:v>
                </c:pt>
                <c:pt idx="1">
                  <c:v>0.68891900000000006</c:v>
                </c:pt>
                <c:pt idx="2">
                  <c:v>0.71887200000000007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77-4300-9ABE-6BD26AD0CE66}"/>
            </c:ext>
          </c:extLst>
        </c:ser>
        <c:ser>
          <c:idx val="5"/>
          <c:order val="5"/>
          <c:tx>
            <c:strRef>
              <c:f>'MWS 2015 chemistry'!$T$26:$U$26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'MWS 2015 chemistry'!$U$28:$U$30</c:f>
              <c:numCache>
                <c:formatCode>#,##0.0</c:formatCode>
                <c:ptCount val="3"/>
                <c:pt idx="0">
                  <c:v>9.6938800000000006E-2</c:v>
                </c:pt>
                <c:pt idx="1">
                  <c:v>9.7483399999999998E-2</c:v>
                </c:pt>
                <c:pt idx="2">
                  <c:v>1.4159600000000001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77-4300-9ABE-6BD26AD0C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757840"/>
        <c:axId val="401760464"/>
      </c:barChart>
      <c:catAx>
        <c:axId val="40175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60464"/>
        <c:crosses val="autoZero"/>
        <c:auto val="1"/>
        <c:lblAlgn val="ctr"/>
        <c:lblOffset val="100"/>
        <c:noMultiLvlLbl val="0"/>
      </c:catAx>
      <c:valAx>
        <c:axId val="4017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5784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EGL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3729420186794"/>
          <c:y val="0.12031663239547286"/>
          <c:w val="0.84504048357591965"/>
          <c:h val="0.47960680074228101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Summary'!$A$4:$A$12</c:f>
              <c:strCache>
                <c:ptCount val="1"/>
                <c:pt idx="0">
                  <c:v>EGL 4a</c:v>
                </c:pt>
              </c:strCache>
            </c:strRef>
          </c:tx>
          <c:cat>
            <c:numRef>
              <c:f>'EGL Summary'!$C$3:$H$3</c:f>
              <c:numCache>
                <c:formatCode>m/d/yyyy</c:formatCode>
                <c:ptCount val="6"/>
                <c:pt idx="0">
                  <c:v>42150</c:v>
                </c:pt>
                <c:pt idx="1">
                  <c:v>42173</c:v>
                </c:pt>
                <c:pt idx="2">
                  <c:v>42200</c:v>
                </c:pt>
                <c:pt idx="3">
                  <c:v>42236</c:v>
                </c:pt>
                <c:pt idx="4">
                  <c:v>42264</c:v>
                </c:pt>
                <c:pt idx="5">
                  <c:v>42305</c:v>
                </c:pt>
              </c:numCache>
            </c:numRef>
          </c:cat>
          <c:val>
            <c:numRef>
              <c:f>'EGL Summary'!$C$4:$H$4</c:f>
              <c:numCache>
                <c:formatCode>General</c:formatCode>
                <c:ptCount val="6"/>
                <c:pt idx="0">
                  <c:v>407</c:v>
                </c:pt>
                <c:pt idx="1">
                  <c:v>436</c:v>
                </c:pt>
                <c:pt idx="2">
                  <c:v>455</c:v>
                </c:pt>
                <c:pt idx="3">
                  <c:v>278</c:v>
                </c:pt>
                <c:pt idx="4">
                  <c:v>252</c:v>
                </c:pt>
                <c:pt idx="5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467E-9105-B11B660CAEA2}"/>
            </c:ext>
          </c:extLst>
        </c:ser>
        <c:ser>
          <c:idx val="1"/>
          <c:order val="1"/>
          <c:tx>
            <c:strRef>
              <c:f>'EGL Summary'!$A$13:$A$18</c:f>
              <c:strCache>
                <c:ptCount val="1"/>
                <c:pt idx="0">
                  <c:v>EGL 4e</c:v>
                </c:pt>
              </c:strCache>
            </c:strRef>
          </c:tx>
          <c:val>
            <c:numRef>
              <c:f>'EGL Summary'!$C$13:$H$13</c:f>
              <c:numCache>
                <c:formatCode>General</c:formatCode>
                <c:ptCount val="6"/>
                <c:pt idx="0">
                  <c:v>406</c:v>
                </c:pt>
                <c:pt idx="1">
                  <c:v>386</c:v>
                </c:pt>
                <c:pt idx="2">
                  <c:v>323</c:v>
                </c:pt>
                <c:pt idx="3">
                  <c:v>311</c:v>
                </c:pt>
                <c:pt idx="4">
                  <c:v>303</c:v>
                </c:pt>
                <c:pt idx="5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B-467E-9105-B11B660C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8688"/>
        <c:axId val="83969152"/>
      </c:lineChart>
      <c:dateAx>
        <c:axId val="8393868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83969152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839691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Nitrogrn ug/l</a:t>
                </a:r>
              </a:p>
            </c:rich>
          </c:tx>
          <c:layout>
            <c:manualLayout>
              <c:xMode val="edge"/>
              <c:yMode val="edge"/>
              <c:x val="2.2145158451952328E-2"/>
              <c:y val="0.17235108979539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393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Chlorophyll-a and Total Phosphorus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'EGL Summary'!$B$11</c:f>
              <c:strCache>
                <c:ptCount val="1"/>
                <c:pt idx="0">
                  <c:v>Chlorophyll a</c:v>
                </c:pt>
              </c:strCache>
            </c:strRef>
          </c:tx>
          <c:spPr>
            <a:gradFill>
              <a:gsLst>
                <a:gs pos="0">
                  <a:schemeClr val="accent3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25400">
              <a:noFill/>
            </a:ln>
          </c:spPr>
          <c:cat>
            <c:numRef>
              <c:f>'EGL Summary'!$C$3:$H$3</c:f>
              <c:numCache>
                <c:formatCode>m/d/yyyy</c:formatCode>
                <c:ptCount val="6"/>
                <c:pt idx="0">
                  <c:v>42150</c:v>
                </c:pt>
                <c:pt idx="1">
                  <c:v>42173</c:v>
                </c:pt>
                <c:pt idx="2">
                  <c:v>42200</c:v>
                </c:pt>
                <c:pt idx="3">
                  <c:v>42236</c:v>
                </c:pt>
                <c:pt idx="4">
                  <c:v>42264</c:v>
                </c:pt>
                <c:pt idx="5">
                  <c:v>42305</c:v>
                </c:pt>
              </c:numCache>
            </c:numRef>
          </c:cat>
          <c:val>
            <c:numRef>
              <c:f>'EGL Summary'!$C$10:$H$10</c:f>
              <c:numCache>
                <c:formatCode>0.0</c:formatCode>
                <c:ptCount val="6"/>
                <c:pt idx="0" formatCode="#,##0.0">
                  <c:v>0.3</c:v>
                </c:pt>
                <c:pt idx="1">
                  <c:v>0.3</c:v>
                </c:pt>
                <c:pt idx="2">
                  <c:v>1.5</c:v>
                </c:pt>
                <c:pt idx="3">
                  <c:v>3.7</c:v>
                </c:pt>
                <c:pt idx="4">
                  <c:v>3.6</c:v>
                </c:pt>
                <c:pt idx="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E-4ABD-B91B-08DDDA2E9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7168"/>
        <c:axId val="84013056"/>
      </c:areaChart>
      <c:lineChart>
        <c:grouping val="standard"/>
        <c:varyColors val="0"/>
        <c:ser>
          <c:idx val="1"/>
          <c:order val="1"/>
          <c:tx>
            <c:strRef>
              <c:f>'EGL Summary'!$B$7</c:f>
              <c:strCache>
                <c:ptCount val="1"/>
                <c:pt idx="0">
                  <c:v>Phosphorus, total</c:v>
                </c:pt>
              </c:strCache>
            </c:strRef>
          </c:tx>
          <c:marker>
            <c:symbol val="none"/>
          </c:marker>
          <c:val>
            <c:numRef>
              <c:f>'EGL Summary'!$C$7:$H$7</c:f>
              <c:numCache>
                <c:formatCode>General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31</c:v>
                </c:pt>
                <c:pt idx="3">
                  <c:v>18</c:v>
                </c:pt>
                <c:pt idx="4">
                  <c:v>15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F-4B56-ADFA-13DB80E1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07168"/>
        <c:axId val="84013056"/>
      </c:lineChart>
      <c:dateAx>
        <c:axId val="84007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4013056"/>
        <c:crosses val="autoZero"/>
        <c:auto val="1"/>
        <c:lblOffset val="100"/>
        <c:baseTimeUnit val="days"/>
      </c:dateAx>
      <c:valAx>
        <c:axId val="84013056"/>
        <c:scaling>
          <c:orientation val="minMax"/>
        </c:scaling>
        <c:delete val="0"/>
        <c:axPos val="l"/>
        <c:majorGridlines/>
        <c:minorGridlines/>
        <c:numFmt formatCode="#,##0.0" sourceLinked="1"/>
        <c:majorTickMark val="out"/>
        <c:minorTickMark val="none"/>
        <c:tickLblPos val="nextTo"/>
        <c:crossAx val="84007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EGL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40431190562041"/>
          <c:y val="0.12385425780110819"/>
          <c:w val="0.84893148326920065"/>
          <c:h val="0.50384696704578591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Summary'!$A$4:$A$12</c:f>
              <c:strCache>
                <c:ptCount val="1"/>
                <c:pt idx="0">
                  <c:v>EGL 4a</c:v>
                </c:pt>
              </c:strCache>
            </c:strRef>
          </c:tx>
          <c:marker>
            <c:symbol val="none"/>
          </c:marker>
          <c:cat>
            <c:numRef>
              <c:f>'EGL Summary'!$C$19:$H$19</c:f>
              <c:numCache>
                <c:formatCode>m/d/yyyy</c:formatCode>
                <c:ptCount val="6"/>
                <c:pt idx="0">
                  <c:v>42150</c:v>
                </c:pt>
                <c:pt idx="1">
                  <c:v>42173</c:v>
                </c:pt>
                <c:pt idx="2">
                  <c:v>42200</c:v>
                </c:pt>
                <c:pt idx="3">
                  <c:v>42236</c:v>
                </c:pt>
                <c:pt idx="4">
                  <c:v>42264</c:v>
                </c:pt>
                <c:pt idx="5">
                  <c:v>42305</c:v>
                </c:pt>
              </c:numCache>
            </c:numRef>
          </c:cat>
          <c:val>
            <c:numRef>
              <c:f>'EGL Summary'!$C$7:$H$7</c:f>
              <c:numCache>
                <c:formatCode>General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31</c:v>
                </c:pt>
                <c:pt idx="3">
                  <c:v>18</c:v>
                </c:pt>
                <c:pt idx="4">
                  <c:v>15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F-499C-B9E9-D36542B09123}"/>
            </c:ext>
          </c:extLst>
        </c:ser>
        <c:ser>
          <c:idx val="1"/>
          <c:order val="1"/>
          <c:tx>
            <c:strRef>
              <c:f>'EGL Summary'!$A$13:$A$18</c:f>
              <c:strCache>
                <c:ptCount val="1"/>
                <c:pt idx="0">
                  <c:v>EGL 4e</c:v>
                </c:pt>
              </c:strCache>
            </c:strRef>
          </c:tx>
          <c:marker>
            <c:symbol val="none"/>
          </c:marker>
          <c:cat>
            <c:numRef>
              <c:f>'EGL Summary'!$C$19:$H$19</c:f>
              <c:numCache>
                <c:formatCode>m/d/yyyy</c:formatCode>
                <c:ptCount val="6"/>
                <c:pt idx="0">
                  <c:v>42150</c:v>
                </c:pt>
                <c:pt idx="1">
                  <c:v>42173</c:v>
                </c:pt>
                <c:pt idx="2">
                  <c:v>42200</c:v>
                </c:pt>
                <c:pt idx="3">
                  <c:v>42236</c:v>
                </c:pt>
                <c:pt idx="4">
                  <c:v>42264</c:v>
                </c:pt>
                <c:pt idx="5">
                  <c:v>42305</c:v>
                </c:pt>
              </c:numCache>
            </c:numRef>
          </c:cat>
          <c:val>
            <c:numRef>
              <c:f>'EGL Summary'!$C$16:$H$16</c:f>
              <c:numCache>
                <c:formatCode>General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F-499C-B9E9-D36542B0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7632"/>
        <c:axId val="84039168"/>
      </c:lineChart>
      <c:dateAx>
        <c:axId val="84037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84039168"/>
        <c:crosses val="autoZero"/>
        <c:auto val="1"/>
        <c:lblOffset val="100"/>
        <c:baseTimeUnit val="days"/>
        <c:majorUnit val="1"/>
        <c:majorTimeUnit val="months"/>
      </c:dateAx>
      <c:valAx>
        <c:axId val="840391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1.6185929345039773E-2"/>
              <c:y val="0.182212786781944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4037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Summary'!$H$89</c:f>
              <c:strCache>
                <c:ptCount val="1"/>
                <c:pt idx="0">
                  <c:v>Total Nitrogen Pounds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Summary'!$B$90:$B$95</c:f>
              <c:numCache>
                <c:formatCode>[$-409]mmmm\-yy;@</c:formatCode>
                <c:ptCount val="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</c:numCache>
            </c:numRef>
          </c:cat>
          <c:val>
            <c:numRef>
              <c:f>'EGL Summary'!$H$90:$H$95</c:f>
              <c:numCache>
                <c:formatCode>#,##0</c:formatCode>
                <c:ptCount val="6"/>
                <c:pt idx="0">
                  <c:v>19484.644737558003</c:v>
                </c:pt>
                <c:pt idx="1">
                  <c:v>21329.714503440002</c:v>
                </c:pt>
                <c:pt idx="2">
                  <c:v>10967.456944080002</c:v>
                </c:pt>
                <c:pt idx="3">
                  <c:v>2512.8733767480003</c:v>
                </c:pt>
                <c:pt idx="4">
                  <c:v>1020.5450010000001</c:v>
                </c:pt>
                <c:pt idx="5">
                  <c:v>1128.884762376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3-470E-85C5-DFA24E5B2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1750792"/>
        <c:axId val="521750464"/>
      </c:barChart>
      <c:lineChart>
        <c:grouping val="standard"/>
        <c:varyColors val="0"/>
        <c:ser>
          <c:idx val="1"/>
          <c:order val="1"/>
          <c:tx>
            <c:strRef>
              <c:f>'EGL Summary'!$D$89</c:f>
              <c:strCache>
                <c:ptCount val="1"/>
                <c:pt idx="0">
                  <c:v>ac-ft/ mo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'EGL Summary'!$D$90:$D$95</c:f>
              <c:numCache>
                <c:formatCode>#,##0</c:formatCode>
                <c:ptCount val="6"/>
                <c:pt idx="0">
                  <c:v>17581.278000000002</c:v>
                </c:pt>
                <c:pt idx="1">
                  <c:v>17965.98</c:v>
                </c:pt>
                <c:pt idx="2">
                  <c:v>8852.112000000001</c:v>
                </c:pt>
                <c:pt idx="3">
                  <c:v>3319.5420000000004</c:v>
                </c:pt>
                <c:pt idx="4">
                  <c:v>1487.25</c:v>
                </c:pt>
                <c:pt idx="5">
                  <c:v>1475.3519999999999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3-470E-85C5-DFA24E5B2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50792"/>
        <c:axId val="521750464"/>
      </c:lineChart>
      <c:dateAx>
        <c:axId val="52175079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750464"/>
        <c:crosses val="autoZero"/>
        <c:auto val="1"/>
        <c:lblOffset val="100"/>
        <c:baseTimeUnit val="months"/>
      </c:dateAx>
      <c:valAx>
        <c:axId val="5217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7507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Summary'!$I$89</c:f>
              <c:strCache>
                <c:ptCount val="1"/>
                <c:pt idx="0">
                  <c:v>Total Phosphorus Pounds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Summary'!$B$90:$B$95</c:f>
              <c:numCache>
                <c:formatCode>[$-409]mmmm\-yy;@</c:formatCode>
                <c:ptCount val="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</c:numCache>
            </c:numRef>
          </c:cat>
          <c:val>
            <c:numRef>
              <c:f>'EGL Summary'!$I$90:$I$95</c:f>
              <c:numCache>
                <c:formatCode>0</c:formatCode>
                <c:ptCount val="6"/>
                <c:pt idx="0">
                  <c:v>1340.4669598320002</c:v>
                </c:pt>
                <c:pt idx="1">
                  <c:v>1369.79817912</c:v>
                </c:pt>
                <c:pt idx="2">
                  <c:v>747.23333025600004</c:v>
                </c:pt>
                <c:pt idx="3">
                  <c:v>162.70403158800002</c:v>
                </c:pt>
                <c:pt idx="4">
                  <c:v>60.746726250000002</c:v>
                </c:pt>
                <c:pt idx="5">
                  <c:v>44.191218456000001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5-4E60-903C-964532153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4994552"/>
        <c:axId val="535017840"/>
      </c:barChart>
      <c:dateAx>
        <c:axId val="53499455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017840"/>
        <c:crosses val="autoZero"/>
        <c:auto val="1"/>
        <c:lblOffset val="100"/>
        <c:baseTimeUnit val="months"/>
      </c:dateAx>
      <c:valAx>
        <c:axId val="5350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9455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Phosphorus (mgP/kg Wet Mud)</a:t>
            </a:r>
          </a:p>
        </c:rich>
      </c:tx>
      <c:layout>
        <c:manualLayout>
          <c:xMode val="edge"/>
          <c:yMode val="edge"/>
          <c:x val="0.31973350253807103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Sediment'!$AL$48:$AL$48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'2015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'2015 Sediment'!$AL$49:$AL$55</c:f>
              <c:numCache>
                <c:formatCode>0.00</c:formatCode>
                <c:ptCount val="7"/>
                <c:pt idx="0">
                  <c:v>4.1211823868514657</c:v>
                </c:pt>
                <c:pt idx="1">
                  <c:v>3.5015041672831289</c:v>
                </c:pt>
                <c:pt idx="2">
                  <c:v>7.4663283232480975</c:v>
                </c:pt>
                <c:pt idx="3">
                  <c:v>3.1283605435526449</c:v>
                </c:pt>
                <c:pt idx="4">
                  <c:v>7.3158675234799802</c:v>
                </c:pt>
                <c:pt idx="5">
                  <c:v>5.761255556383321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6-499C-9A87-95D1AD1DA80D}"/>
            </c:ext>
          </c:extLst>
        </c:ser>
        <c:ser>
          <c:idx val="1"/>
          <c:order val="1"/>
          <c:tx>
            <c:strRef>
              <c:f>'2015 Sediment'!$AM$48:$AM$48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'2015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'2015 Sediment'!$AM$49:$AM$55</c:f>
              <c:numCache>
                <c:formatCode>0.00</c:formatCode>
                <c:ptCount val="7"/>
                <c:pt idx="0">
                  <c:v>6.1080592218524057</c:v>
                </c:pt>
                <c:pt idx="1">
                  <c:v>5.2067836979534228</c:v>
                </c:pt>
                <c:pt idx="2">
                  <c:v>3.3936332651670083</c:v>
                </c:pt>
                <c:pt idx="3">
                  <c:v>2.2027169018312818</c:v>
                </c:pt>
                <c:pt idx="4">
                  <c:v>8.1071638861629065</c:v>
                </c:pt>
                <c:pt idx="5">
                  <c:v>1.9119371482176362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6-499C-9A87-95D1AD1DA80D}"/>
            </c:ext>
          </c:extLst>
        </c:ser>
        <c:ser>
          <c:idx val="2"/>
          <c:order val="2"/>
          <c:tx>
            <c:strRef>
              <c:f>'2015 Sediment'!$AN$48:$AN$48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'2015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'2015 Sediment'!$AN$49:$AN$55</c:f>
              <c:numCache>
                <c:formatCode>0.00</c:formatCode>
                <c:ptCount val="7"/>
                <c:pt idx="0">
                  <c:v>3.0610045268376802</c:v>
                </c:pt>
                <c:pt idx="1">
                  <c:v>4.3813192103996146</c:v>
                </c:pt>
                <c:pt idx="2">
                  <c:v>4.8877805486284291</c:v>
                </c:pt>
                <c:pt idx="3">
                  <c:v>3.1931106219308645</c:v>
                </c:pt>
                <c:pt idx="4">
                  <c:v>3.88</c:v>
                </c:pt>
                <c:pt idx="5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6-499C-9A87-95D1AD1DA80D}"/>
            </c:ext>
          </c:extLst>
        </c:ser>
        <c:ser>
          <c:idx val="3"/>
          <c:order val="3"/>
          <c:tx>
            <c:strRef>
              <c:f>'2015 Sediment'!$AO$48:$AO$48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'2015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'2015 Sediment'!$AO$49:$AO$55</c:f>
              <c:numCache>
                <c:formatCode>0.00</c:formatCode>
                <c:ptCount val="7"/>
                <c:pt idx="0">
                  <c:v>4.4800000000000004</c:v>
                </c:pt>
                <c:pt idx="1">
                  <c:v>3.06</c:v>
                </c:pt>
                <c:pt idx="2">
                  <c:v>8.07</c:v>
                </c:pt>
                <c:pt idx="3">
                  <c:v>5.69</c:v>
                </c:pt>
                <c:pt idx="4">
                  <c:v>3.79</c:v>
                </c:pt>
                <c:pt idx="5">
                  <c:v>4.8499999999999996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6-499C-9A87-95D1AD1DA80D}"/>
            </c:ext>
          </c:extLst>
        </c:ser>
        <c:ser>
          <c:idx val="4"/>
          <c:order val="4"/>
          <c:tx>
            <c:strRef>
              <c:f>'2015 Sediment'!$AP$48:$AP$48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'2015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'2015 Sediment'!$AP$49:$AP$55</c:f>
              <c:numCache>
                <c:formatCode>#,##0.00</c:formatCode>
                <c:ptCount val="7"/>
                <c:pt idx="0">
                  <c:v>8.73</c:v>
                </c:pt>
                <c:pt idx="1">
                  <c:v>8.43</c:v>
                </c:pt>
                <c:pt idx="2">
                  <c:v>1.89</c:v>
                </c:pt>
                <c:pt idx="3">
                  <c:v>1.42</c:v>
                </c:pt>
                <c:pt idx="4">
                  <c:v>0.88</c:v>
                </c:pt>
                <c:pt idx="5">
                  <c:v>7.25</c:v>
                </c:pt>
                <c:pt idx="6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B6-499C-9A87-95D1AD1DA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overlap val="-3"/>
        <c:axId val="84212352"/>
        <c:axId val="84234624"/>
      </c:barChart>
      <c:catAx>
        <c:axId val="84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234624"/>
        <c:crosses val="autoZero"/>
        <c:auto val="1"/>
        <c:lblAlgn val="ctr"/>
        <c:lblOffset val="100"/>
        <c:noMultiLvlLbl val="0"/>
      </c:catAx>
      <c:valAx>
        <c:axId val="842346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4212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% Total Organic Carbon (TOC)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Sediment'!$AK$37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'2015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'2015 Sediment'!$AK$38:$AK$43</c:f>
              <c:numCache>
                <c:formatCode>0%</c:formatCode>
                <c:ptCount val="6"/>
                <c:pt idx="0">
                  <c:v>0.107</c:v>
                </c:pt>
                <c:pt idx="1">
                  <c:v>0.1</c:v>
                </c:pt>
                <c:pt idx="2">
                  <c:v>0.11</c:v>
                </c:pt>
                <c:pt idx="3">
                  <c:v>0.128</c:v>
                </c:pt>
                <c:pt idx="4">
                  <c:v>0.11899999999999999</c:v>
                </c:pt>
                <c:pt idx="5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7-4F6A-AE46-D28D525F2C89}"/>
            </c:ext>
          </c:extLst>
        </c:ser>
        <c:ser>
          <c:idx val="1"/>
          <c:order val="1"/>
          <c:tx>
            <c:strRef>
              <c:f>'2015 Sediment'!$AL$37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'2015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'2015 Sediment'!$AL$38:$AL$43</c:f>
              <c:numCache>
                <c:formatCode>0%</c:formatCode>
                <c:ptCount val="6"/>
                <c:pt idx="0">
                  <c:v>0.107</c:v>
                </c:pt>
                <c:pt idx="1">
                  <c:v>3.5999999999999997E-2</c:v>
                </c:pt>
                <c:pt idx="2">
                  <c:v>0.11799999999999999</c:v>
                </c:pt>
                <c:pt idx="3">
                  <c:v>0.104</c:v>
                </c:pt>
                <c:pt idx="4">
                  <c:v>0.109</c:v>
                </c:pt>
                <c:pt idx="5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7-4F6A-AE46-D28D525F2C89}"/>
            </c:ext>
          </c:extLst>
        </c:ser>
        <c:ser>
          <c:idx val="2"/>
          <c:order val="2"/>
          <c:tx>
            <c:strRef>
              <c:f>'2015 Sediment'!$AM$37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'2015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'2015 Sediment'!$AM$38:$AM$43</c:f>
              <c:numCache>
                <c:formatCode>0%</c:formatCode>
                <c:ptCount val="6"/>
                <c:pt idx="0">
                  <c:v>9.4E-2</c:v>
                </c:pt>
                <c:pt idx="1">
                  <c:v>0.105</c:v>
                </c:pt>
                <c:pt idx="2">
                  <c:v>0.13200000000000001</c:v>
                </c:pt>
                <c:pt idx="3">
                  <c:v>0.109</c:v>
                </c:pt>
                <c:pt idx="4">
                  <c:v>0.10299999999999999</c:v>
                </c:pt>
                <c:pt idx="5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7-4F6A-AE46-D28D525F2C89}"/>
            </c:ext>
          </c:extLst>
        </c:ser>
        <c:ser>
          <c:idx val="3"/>
          <c:order val="3"/>
          <c:tx>
            <c:strRef>
              <c:f>'2015 Sediment'!$AN$37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'2015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'2015 Sediment'!$AN$38:$AN$43</c:f>
              <c:numCache>
                <c:formatCode>0.0%</c:formatCode>
                <c:ptCount val="6"/>
                <c:pt idx="0">
                  <c:v>0.1014961938927289</c:v>
                </c:pt>
                <c:pt idx="1">
                  <c:v>9.451671332125966E-2</c:v>
                </c:pt>
                <c:pt idx="2">
                  <c:v>0.10307328605201516</c:v>
                </c:pt>
                <c:pt idx="3">
                  <c:v>0.11220741807706158</c:v>
                </c:pt>
                <c:pt idx="4">
                  <c:v>9.8831834607947311E-2</c:v>
                </c:pt>
                <c:pt idx="5">
                  <c:v>0.10322069693769864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7-4F6A-AE46-D28D525F2C89}"/>
            </c:ext>
          </c:extLst>
        </c:ser>
        <c:ser>
          <c:idx val="4"/>
          <c:order val="4"/>
          <c:tx>
            <c:strRef>
              <c:f>'2015 Sediment'!$AO$37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'2015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'2015 Sediment'!$AO$38:$AO$43</c:f>
              <c:numCache>
                <c:formatCode>0.0%</c:formatCode>
                <c:ptCount val="6"/>
                <c:pt idx="0">
                  <c:v>9.5000000000000001E-2</c:v>
                </c:pt>
                <c:pt idx="1">
                  <c:v>0.122</c:v>
                </c:pt>
                <c:pt idx="2">
                  <c:v>0.122</c:v>
                </c:pt>
                <c:pt idx="3">
                  <c:v>0.10100000000000001</c:v>
                </c:pt>
                <c:pt idx="4">
                  <c:v>1.7999999999999999E-2</c:v>
                </c:pt>
                <c:pt idx="5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F7-4F6A-AE46-D28D525F2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6"/>
        <c:overlap val="-9"/>
        <c:axId val="84249984"/>
        <c:axId val="84259968"/>
      </c:barChart>
      <c:catAx>
        <c:axId val="8424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259968"/>
        <c:crosses val="autoZero"/>
        <c:auto val="1"/>
        <c:lblAlgn val="ctr"/>
        <c:lblOffset val="100"/>
        <c:noMultiLvlLbl val="0"/>
      </c:catAx>
      <c:valAx>
        <c:axId val="842599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4249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Sediment'!$R$11</c:f>
              <c:strCache>
                <c:ptCount val="1"/>
                <c:pt idx="0">
                  <c:v>Coarse Sand</c:v>
                </c:pt>
              </c:strCache>
            </c:strRef>
          </c:tx>
          <c:invertIfNegative val="0"/>
          <c:cat>
            <c:strRef>
              <c:f>'2015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</c:v>
                </c:pt>
              </c:strCache>
            </c:strRef>
          </c:cat>
          <c:val>
            <c:numRef>
              <c:f>'2015 Sediment'!$R$12:$R$18</c:f>
              <c:numCache>
                <c:formatCode>0%</c:formatCode>
                <c:ptCount val="7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0.21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E-4E7A-938D-F61A8FDCE781}"/>
            </c:ext>
          </c:extLst>
        </c:ser>
        <c:ser>
          <c:idx val="1"/>
          <c:order val="1"/>
          <c:tx>
            <c:strRef>
              <c:f>'2015 Sediment'!$S$11</c:f>
              <c:strCache>
                <c:ptCount val="1"/>
                <c:pt idx="0">
                  <c:v>M Sand</c:v>
                </c:pt>
              </c:strCache>
            </c:strRef>
          </c:tx>
          <c:invertIfNegative val="0"/>
          <c:cat>
            <c:strRef>
              <c:f>'2015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</c:v>
                </c:pt>
              </c:strCache>
            </c:strRef>
          </c:cat>
          <c:val>
            <c:numRef>
              <c:f>'2015 Sediment'!$S$12:$S$18</c:f>
              <c:numCache>
                <c:formatCode>0%</c:formatCode>
                <c:ptCount val="7"/>
                <c:pt idx="0">
                  <c:v>0.08</c:v>
                </c:pt>
                <c:pt idx="1">
                  <c:v>0.02</c:v>
                </c:pt>
                <c:pt idx="2">
                  <c:v>0.06</c:v>
                </c:pt>
                <c:pt idx="3">
                  <c:v>0.02</c:v>
                </c:pt>
                <c:pt idx="4">
                  <c:v>0.32</c:v>
                </c:pt>
                <c:pt idx="5">
                  <c:v>0.12</c:v>
                </c:pt>
                <c:pt idx="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E-4E7A-938D-F61A8FDCE781}"/>
            </c:ext>
          </c:extLst>
        </c:ser>
        <c:ser>
          <c:idx val="2"/>
          <c:order val="2"/>
          <c:tx>
            <c:strRef>
              <c:f>'2015 Sediment'!$T$11</c:f>
              <c:strCache>
                <c:ptCount val="1"/>
                <c:pt idx="0">
                  <c:v>F Sand</c:v>
                </c:pt>
              </c:strCache>
            </c:strRef>
          </c:tx>
          <c:invertIfNegative val="0"/>
          <c:cat>
            <c:strRef>
              <c:f>'2015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</c:v>
                </c:pt>
              </c:strCache>
            </c:strRef>
          </c:cat>
          <c:val>
            <c:numRef>
              <c:f>'2015 Sediment'!$T$12:$T$18</c:f>
              <c:numCache>
                <c:formatCode>0%</c:formatCode>
                <c:ptCount val="7"/>
                <c:pt idx="0">
                  <c:v>0.12</c:v>
                </c:pt>
                <c:pt idx="1">
                  <c:v>0.04</c:v>
                </c:pt>
                <c:pt idx="2">
                  <c:v>0.1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0.14000000000000001</c:v>
                </c:pt>
                <c:pt idx="6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E-4E7A-938D-F61A8FDCE781}"/>
            </c:ext>
          </c:extLst>
        </c:ser>
        <c:ser>
          <c:idx val="3"/>
          <c:order val="3"/>
          <c:tx>
            <c:strRef>
              <c:f>'2015 Sediment'!$U$11</c:f>
              <c:strCache>
                <c:ptCount val="1"/>
                <c:pt idx="0">
                  <c:v>VF Sand</c:v>
                </c:pt>
              </c:strCache>
            </c:strRef>
          </c:tx>
          <c:invertIfNegative val="0"/>
          <c:cat>
            <c:strRef>
              <c:f>'2015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</c:v>
                </c:pt>
              </c:strCache>
            </c:strRef>
          </c:cat>
          <c:val>
            <c:numRef>
              <c:f>'2015 Sediment'!$U$12:$U$18</c:f>
              <c:numCache>
                <c:formatCode>0%</c:formatCode>
                <c:ptCount val="7"/>
                <c:pt idx="0">
                  <c:v>0.14000000000000001</c:v>
                </c:pt>
                <c:pt idx="1">
                  <c:v>0.09</c:v>
                </c:pt>
                <c:pt idx="2">
                  <c:v>0.18</c:v>
                </c:pt>
                <c:pt idx="3">
                  <c:v>0.15</c:v>
                </c:pt>
                <c:pt idx="4">
                  <c:v>0.1</c:v>
                </c:pt>
                <c:pt idx="5">
                  <c:v>0.22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E-4E7A-938D-F61A8FDCE781}"/>
            </c:ext>
          </c:extLst>
        </c:ser>
        <c:ser>
          <c:idx val="4"/>
          <c:order val="4"/>
          <c:tx>
            <c:strRef>
              <c:f>'2015 Sediment'!$V$11</c:f>
              <c:strCache>
                <c:ptCount val="1"/>
                <c:pt idx="0">
                  <c:v>Silt &amp; Clay</c:v>
                </c:pt>
              </c:strCache>
            </c:strRef>
          </c:tx>
          <c:invertIfNegative val="0"/>
          <c:cat>
            <c:strRef>
              <c:f>'2015 Sediment'!$Q$12:$Q$18</c:f>
              <c:strCache>
                <c:ptCount val="7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  <c:pt idx="6">
                  <c:v>EGL</c:v>
                </c:pt>
              </c:strCache>
            </c:strRef>
          </c:cat>
          <c:val>
            <c:numRef>
              <c:f>'2015 Sediment'!$V$12:$V$18</c:f>
              <c:numCache>
                <c:formatCode>0%</c:formatCode>
                <c:ptCount val="7"/>
                <c:pt idx="0">
                  <c:v>0.71</c:v>
                </c:pt>
                <c:pt idx="1">
                  <c:v>0.78</c:v>
                </c:pt>
                <c:pt idx="2">
                  <c:v>0.69</c:v>
                </c:pt>
                <c:pt idx="3">
                  <c:v>0.76</c:v>
                </c:pt>
                <c:pt idx="4">
                  <c:v>0.23</c:v>
                </c:pt>
                <c:pt idx="5">
                  <c:v>0.7</c:v>
                </c:pt>
                <c:pt idx="6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E-4E7A-938D-F61A8FDC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39744"/>
        <c:axId val="84641280"/>
      </c:barChart>
      <c:catAx>
        <c:axId val="8463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641280"/>
        <c:crosses val="autoZero"/>
        <c:auto val="1"/>
        <c:lblAlgn val="ctr"/>
        <c:lblOffset val="100"/>
        <c:noMultiLvlLbl val="0"/>
      </c:catAx>
      <c:valAx>
        <c:axId val="84641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63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Phosphorus (mgP/kg Wet Mud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'2015 Sediment'!$AM$3:$AN$9</c:f>
              <c:multiLvlStrCache>
                <c:ptCount val="7"/>
                <c:lvl>
                  <c:pt idx="0">
                    <c:v>SedBC03</c:v>
                  </c:pt>
                  <c:pt idx="1">
                    <c:v>SedBC05</c:v>
                  </c:pt>
                  <c:pt idx="2">
                    <c:v>SedPel08</c:v>
                  </c:pt>
                  <c:pt idx="3">
                    <c:v>SedPel10</c:v>
                  </c:pt>
                  <c:pt idx="4">
                    <c:v>SedTC14</c:v>
                  </c:pt>
                  <c:pt idx="5">
                    <c:v>SedTC16</c:v>
                  </c:pt>
                  <c:pt idx="6">
                    <c:v>EGL</c:v>
                  </c:pt>
                </c:lvl>
                <c:lvl>
                  <c:pt idx="0">
                    <c:v>Bear Creek Transect</c:v>
                  </c:pt>
                  <c:pt idx="2">
                    <c:v>Pelican Point Transect</c:v>
                  </c:pt>
                  <c:pt idx="4">
                    <c:v>Turkey Creek Transect</c:v>
                  </c:pt>
                  <c:pt idx="6">
                    <c:v>Evergreen Lake @ Dam</c:v>
                  </c:pt>
                </c:lvl>
              </c:multiLvlStrCache>
            </c:multiLvlStrRef>
          </c:cat>
          <c:val>
            <c:numRef>
              <c:f>'2015 Sediment'!$AO$3:$AO$9</c:f>
              <c:numCache>
                <c:formatCode>#,##0.00</c:formatCode>
                <c:ptCount val="7"/>
                <c:pt idx="0">
                  <c:v>8.7326358005724707</c:v>
                </c:pt>
                <c:pt idx="1">
                  <c:v>8.4326387501941742</c:v>
                </c:pt>
                <c:pt idx="2">
                  <c:v>1.890442275564935</c:v>
                </c:pt>
                <c:pt idx="3">
                  <c:v>1.4156508061344864</c:v>
                </c:pt>
                <c:pt idx="4">
                  <c:v>0.88460782386475301</c:v>
                </c:pt>
                <c:pt idx="5">
                  <c:v>7.252683492892368</c:v>
                </c:pt>
                <c:pt idx="6">
                  <c:v>0.53961246014226116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06C-B08D-28D048E2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751104"/>
        <c:axId val="84752640"/>
      </c:barChart>
      <c:catAx>
        <c:axId val="8475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52640"/>
        <c:crosses val="autoZero"/>
        <c:auto val="1"/>
        <c:lblAlgn val="ctr"/>
        <c:lblOffset val="100"/>
        <c:noMultiLvlLbl val="0"/>
      </c:catAx>
      <c:valAx>
        <c:axId val="847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5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(ug/l) Trend BCR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60726280182718"/>
          <c:y val="0.18300925925925926"/>
          <c:w val="0.69635126254379498"/>
          <c:h val="0.596798629337999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'Nitrogen Trends'!$I$135</c:f>
              <c:strCache>
                <c:ptCount val="1"/>
                <c:pt idx="0">
                  <c:v>Seasonal Reservoir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Trends'!$J$133:$N$133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'Nitrogen Trends'!$J$135:$N$135</c:f>
              <c:numCache>
                <c:formatCode>#,##0</c:formatCode>
                <c:ptCount val="5"/>
                <c:pt idx="0">
                  <c:v>651.5</c:v>
                </c:pt>
                <c:pt idx="1">
                  <c:v>646.58333333333337</c:v>
                </c:pt>
                <c:pt idx="2">
                  <c:v>868.91666666666663</c:v>
                </c:pt>
                <c:pt idx="3">
                  <c:v>567.41666666666663</c:v>
                </c:pt>
                <c:pt idx="4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6-4CD2-95B2-F83B5E79F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292264"/>
        <c:axId val="373293248"/>
      </c:barChart>
      <c:lineChart>
        <c:grouping val="standard"/>
        <c:varyColors val="0"/>
        <c:ser>
          <c:idx val="0"/>
          <c:order val="0"/>
          <c:tx>
            <c:strRef>
              <c:f>'Nitrogen Trends'!$I$134</c:f>
              <c:strCache>
                <c:ptCount val="1"/>
                <c:pt idx="0">
                  <c:v>Annual Reservoir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'Nitrogen Trends'!$J$133:$N$133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'Nitrogen Trends'!$J$134:$N$134</c:f>
              <c:numCache>
                <c:formatCode>#,##0</c:formatCode>
                <c:ptCount val="5"/>
                <c:pt idx="0">
                  <c:v>630.45833333333337</c:v>
                </c:pt>
                <c:pt idx="1">
                  <c:v>670.2</c:v>
                </c:pt>
                <c:pt idx="2">
                  <c:v>751.66666666666663</c:v>
                </c:pt>
                <c:pt idx="3">
                  <c:v>702.4</c:v>
                </c:pt>
                <c:pt idx="4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6-4CD2-95B2-F83B5E79F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292264"/>
        <c:axId val="373293248"/>
      </c:lineChart>
      <c:catAx>
        <c:axId val="37329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293248"/>
        <c:crosses val="autoZero"/>
        <c:auto val="1"/>
        <c:lblAlgn val="ctr"/>
        <c:lblOffset val="100"/>
        <c:noMultiLvlLbl val="0"/>
      </c:catAx>
      <c:valAx>
        <c:axId val="3732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292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Annual Average
Total Phosphorus Trend</a:t>
            </a:r>
          </a:p>
        </c:rich>
      </c:tx>
      <c:layout>
        <c:manualLayout>
          <c:xMode val="edge"/>
          <c:yMode val="edge"/>
          <c:x val="0.36817643921738707"/>
          <c:y val="2.1346241567315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15621564061779"/>
          <c:y val="0.13672940150780882"/>
          <c:w val="0.86524972512490061"/>
          <c:h val="0.67695502501354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Trends'!$A$104</c:f>
              <c:strCache>
                <c:ptCount val="1"/>
                <c:pt idx="0">
                  <c:v>Reservoir 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'Phosphorus Trends'!$B$104:$B$129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'Phosphorus Trends'!$C$104:$C$129</c:f>
              <c:numCache>
                <c:formatCode>0</c:formatCode>
                <c:ptCount val="26"/>
                <c:pt idx="0">
                  <c:v>124.33333333333333</c:v>
                </c:pt>
                <c:pt idx="1">
                  <c:v>183.73333333333335</c:v>
                </c:pt>
                <c:pt idx="2">
                  <c:v>162.40476666666666</c:v>
                </c:pt>
                <c:pt idx="3">
                  <c:v>193</c:v>
                </c:pt>
                <c:pt idx="4">
                  <c:v>87.333333333333329</c:v>
                </c:pt>
                <c:pt idx="5">
                  <c:v>41</c:v>
                </c:pt>
                <c:pt idx="6">
                  <c:v>42.895833333333336</c:v>
                </c:pt>
                <c:pt idx="7">
                  <c:v>56.052465322207688</c:v>
                </c:pt>
                <c:pt idx="8">
                  <c:v>47.433333333333337</c:v>
                </c:pt>
                <c:pt idx="9">
                  <c:v>41.666666666666664</c:v>
                </c:pt>
                <c:pt idx="10">
                  <c:v>57.333333333333336</c:v>
                </c:pt>
                <c:pt idx="11">
                  <c:v>49.333333333333336</c:v>
                </c:pt>
                <c:pt idx="12">
                  <c:v>50.199999999999996</c:v>
                </c:pt>
                <c:pt idx="13">
                  <c:v>49.533333333333331</c:v>
                </c:pt>
                <c:pt idx="14">
                  <c:v>31.833333333333329</c:v>
                </c:pt>
                <c:pt idx="15">
                  <c:v>39</c:v>
                </c:pt>
                <c:pt idx="16" formatCode="#,##0">
                  <c:v>24</c:v>
                </c:pt>
                <c:pt idx="17" formatCode="#,##0">
                  <c:v>30.7</c:v>
                </c:pt>
                <c:pt idx="18">
                  <c:v>50.6</c:v>
                </c:pt>
                <c:pt idx="19">
                  <c:v>34.799999999999997</c:v>
                </c:pt>
                <c:pt idx="20">
                  <c:v>33.6</c:v>
                </c:pt>
                <c:pt idx="21">
                  <c:v>40.799999999999997</c:v>
                </c:pt>
                <c:pt idx="22">
                  <c:v>69.8</c:v>
                </c:pt>
                <c:pt idx="23">
                  <c:v>65.599999999999994</c:v>
                </c:pt>
                <c:pt idx="24" formatCode="#,##0">
                  <c:v>30.5</c:v>
                </c:pt>
                <c:pt idx="25" formatCode="#,##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A-4824-B43D-9BAE904EB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7692032"/>
        <c:axId val="107693568"/>
      </c:barChart>
      <c:catAx>
        <c:axId val="1076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9356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33512134060165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920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- Total Phosphorus Average Trends</a:t>
            </a:r>
          </a:p>
        </c:rich>
      </c:tx>
      <c:layout>
        <c:manualLayout>
          <c:xMode val="edge"/>
          <c:yMode val="edge"/>
          <c:x val="0.37873386380062174"/>
          <c:y val="4.363889314851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12399934666029"/>
          <c:y val="0.14130434782608794"/>
          <c:w val="0.86017773452864565"/>
          <c:h val="0.69836956521739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Trends'!$E$78</c:f>
              <c:strCache>
                <c:ptCount val="1"/>
                <c:pt idx="0">
                  <c:v>Average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Trends'!$F$78:$F$103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'Phosphorus Trends'!$G$78:$G$103</c:f>
              <c:numCache>
                <c:formatCode>0</c:formatCode>
                <c:ptCount val="26"/>
                <c:pt idx="0">
                  <c:v>435.5</c:v>
                </c:pt>
                <c:pt idx="1">
                  <c:v>325</c:v>
                </c:pt>
                <c:pt idx="2">
                  <c:v>319.5</c:v>
                </c:pt>
                <c:pt idx="3">
                  <c:v>242.5</c:v>
                </c:pt>
                <c:pt idx="4">
                  <c:v>106.5</c:v>
                </c:pt>
                <c:pt idx="5">
                  <c:v>60</c:v>
                </c:pt>
                <c:pt idx="6">
                  <c:v>37.28125</c:v>
                </c:pt>
                <c:pt idx="7">
                  <c:v>71.546519746997504</c:v>
                </c:pt>
                <c:pt idx="8">
                  <c:v>36.9</c:v>
                </c:pt>
                <c:pt idx="9">
                  <c:v>42.5</c:v>
                </c:pt>
                <c:pt idx="10">
                  <c:v>28</c:v>
                </c:pt>
                <c:pt idx="11">
                  <c:v>22</c:v>
                </c:pt>
                <c:pt idx="12">
                  <c:v>76.100000000000009</c:v>
                </c:pt>
                <c:pt idx="13">
                  <c:v>67.95</c:v>
                </c:pt>
                <c:pt idx="14">
                  <c:v>27.9</c:v>
                </c:pt>
                <c:pt idx="15">
                  <c:v>33.5</c:v>
                </c:pt>
                <c:pt idx="16">
                  <c:v>14.45</c:v>
                </c:pt>
                <c:pt idx="17">
                  <c:v>32</c:v>
                </c:pt>
                <c:pt idx="18">
                  <c:v>26.25</c:v>
                </c:pt>
                <c:pt idx="19">
                  <c:v>27.3</c:v>
                </c:pt>
                <c:pt idx="20">
                  <c:v>32.6</c:v>
                </c:pt>
                <c:pt idx="21">
                  <c:v>24.7</c:v>
                </c:pt>
                <c:pt idx="22">
                  <c:v>47</c:v>
                </c:pt>
                <c:pt idx="23">
                  <c:v>34.6</c:v>
                </c:pt>
                <c:pt idx="24">
                  <c:v>24.15</c:v>
                </c:pt>
                <c:pt idx="25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26560"/>
        <c:axId val="107832448"/>
      </c:barChart>
      <c:lineChart>
        <c:grouping val="standard"/>
        <c:varyColors val="0"/>
        <c:ser>
          <c:idx val="1"/>
          <c:order val="1"/>
          <c:tx>
            <c:strRef>
              <c:f>'Phosphorus Trends'!$E$104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'Phosphorus Trends'!$F$78:$F$101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'Phosphorus Trends'!$G$104:$G$129</c:f>
              <c:numCache>
                <c:formatCode>0</c:formatCode>
                <c:ptCount val="26"/>
                <c:pt idx="0">
                  <c:v>307.5</c:v>
                </c:pt>
                <c:pt idx="1">
                  <c:v>144</c:v>
                </c:pt>
                <c:pt idx="2">
                  <c:v>162.5</c:v>
                </c:pt>
                <c:pt idx="3">
                  <c:v>65.5</c:v>
                </c:pt>
                <c:pt idx="4">
                  <c:v>14.5</c:v>
                </c:pt>
                <c:pt idx="5">
                  <c:v>24</c:v>
                </c:pt>
                <c:pt idx="6">
                  <c:v>2.34375</c:v>
                </c:pt>
                <c:pt idx="7">
                  <c:v>32.546519746997504</c:v>
                </c:pt>
                <c:pt idx="8">
                  <c:v>2.3999999999999986</c:v>
                </c:pt>
                <c:pt idx="9">
                  <c:v>7.5</c:v>
                </c:pt>
                <c:pt idx="10">
                  <c:v>-30</c:v>
                </c:pt>
                <c:pt idx="11">
                  <c:v>-24</c:v>
                </c:pt>
                <c:pt idx="12">
                  <c:v>29.20000000000001</c:v>
                </c:pt>
                <c:pt idx="13">
                  <c:v>4.6500000000000057</c:v>
                </c:pt>
                <c:pt idx="14">
                  <c:v>-2.2000000000000028</c:v>
                </c:pt>
                <c:pt idx="15">
                  <c:v>1.5</c:v>
                </c:pt>
                <c:pt idx="16">
                  <c:v>-8.3500000000000014</c:v>
                </c:pt>
                <c:pt idx="17">
                  <c:v>1</c:v>
                </c:pt>
                <c:pt idx="18">
                  <c:v>-2.75</c:v>
                </c:pt>
                <c:pt idx="19">
                  <c:v>3.1000000000000014</c:v>
                </c:pt>
                <c:pt idx="20">
                  <c:v>1.5</c:v>
                </c:pt>
                <c:pt idx="21">
                  <c:v>-14.8</c:v>
                </c:pt>
                <c:pt idx="22">
                  <c:v>-8.8999999999999986</c:v>
                </c:pt>
                <c:pt idx="23">
                  <c:v>-47.800000000000004</c:v>
                </c:pt>
                <c:pt idx="24">
                  <c:v>-0.85000000000000142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B-4A68-87FA-89CFC730313C}"/>
            </c:ext>
          </c:extLst>
        </c:ser>
        <c:ser>
          <c:idx val="2"/>
          <c:order val="2"/>
          <c:tx>
            <c:strRef>
              <c:f>'Phosphorus Trends'!$A$78</c:f>
              <c:strCache>
                <c:ptCount val="1"/>
                <c:pt idx="0">
                  <c:v>Bear Creek Outflow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'Phosphorus Trends'!$F$78:$F$101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'Phosphorus Trends'!$C$78:$C$103</c:f>
              <c:numCache>
                <c:formatCode>0</c:formatCode>
                <c:ptCount val="26"/>
                <c:pt idx="0">
                  <c:v>128</c:v>
                </c:pt>
                <c:pt idx="1">
                  <c:v>181</c:v>
                </c:pt>
                <c:pt idx="2">
                  <c:v>157</c:v>
                </c:pt>
                <c:pt idx="3">
                  <c:v>177</c:v>
                </c:pt>
                <c:pt idx="4">
                  <c:v>92</c:v>
                </c:pt>
                <c:pt idx="5">
                  <c:v>36</c:v>
                </c:pt>
                <c:pt idx="6">
                  <c:v>34.9375</c:v>
                </c:pt>
                <c:pt idx="7">
                  <c:v>39</c:v>
                </c:pt>
                <c:pt idx="8">
                  <c:v>34.5</c:v>
                </c:pt>
                <c:pt idx="9">
                  <c:v>35</c:v>
                </c:pt>
                <c:pt idx="10">
                  <c:v>58</c:v>
                </c:pt>
                <c:pt idx="11">
                  <c:v>46</c:v>
                </c:pt>
                <c:pt idx="12">
                  <c:v>46.9</c:v>
                </c:pt>
                <c:pt idx="13">
                  <c:v>63.3</c:v>
                </c:pt>
                <c:pt idx="14">
                  <c:v>30.1</c:v>
                </c:pt>
                <c:pt idx="15">
                  <c:v>32</c:v>
                </c:pt>
                <c:pt idx="16">
                  <c:v>22.8</c:v>
                </c:pt>
                <c:pt idx="17">
                  <c:v>31</c:v>
                </c:pt>
                <c:pt idx="18">
                  <c:v>29</c:v>
                </c:pt>
                <c:pt idx="19">
                  <c:v>24.2</c:v>
                </c:pt>
                <c:pt idx="20">
                  <c:v>31.1</c:v>
                </c:pt>
                <c:pt idx="21">
                  <c:v>39.5</c:v>
                </c:pt>
                <c:pt idx="22">
                  <c:v>55.9</c:v>
                </c:pt>
                <c:pt idx="23">
                  <c:v>82.4</c:v>
                </c:pt>
                <c:pt idx="24">
                  <c:v>25</c:v>
                </c:pt>
                <c:pt idx="2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6560"/>
        <c:axId val="107832448"/>
      </c:lineChart>
      <c:catAx>
        <c:axId val="1078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6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32448"/>
        <c:crossesAt val="-50"/>
        <c:auto val="1"/>
        <c:lblAlgn val="ctr"/>
        <c:lblOffset val="100"/>
        <c:tickLblSkip val="1"/>
        <c:tickMarkSkip val="1"/>
        <c:noMultiLvlLbl val="0"/>
      </c:catAx>
      <c:valAx>
        <c:axId val="107832448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
</a:t>
                </a:r>
              </a:p>
            </c:rich>
          </c:tx>
          <c:layout>
            <c:manualLayout>
              <c:xMode val="edge"/>
              <c:yMode val="edge"/>
              <c:x val="8.8495575221241747E-3"/>
              <c:y val="0.307065217391304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26560"/>
        <c:crosses val="autoZero"/>
        <c:crossBetween val="between"/>
        <c:majorUnit val="50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Watershed - Total Phosphorus Loading Trends 
</a:t>
            </a:r>
          </a:p>
        </c:rich>
      </c:tx>
      <c:layout>
        <c:manualLayout>
          <c:xMode val="edge"/>
          <c:yMode val="edge"/>
          <c:x val="0.19651347068145841"/>
          <c:y val="3.4482758620689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748087692594582E-2"/>
          <c:y val="0.1285268424992079"/>
          <c:w val="0.9033287497281951"/>
          <c:h val="0.70187925935816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Trends'!$F$3:$F$28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'Phosphorus Trends'!$G$3:$G$28</c:f>
              <c:numCache>
                <c:formatCode>0</c:formatCode>
                <c:ptCount val="26"/>
                <c:pt idx="0">
                  <c:v>334</c:v>
                </c:pt>
                <c:pt idx="1">
                  <c:v>267</c:v>
                </c:pt>
                <c:pt idx="2">
                  <c:v>277</c:v>
                </c:pt>
                <c:pt idx="3">
                  <c:v>216</c:v>
                </c:pt>
                <c:pt idx="4">
                  <c:v>122</c:v>
                </c:pt>
                <c:pt idx="5">
                  <c:v>73</c:v>
                </c:pt>
                <c:pt idx="6">
                  <c:v>58.5</c:v>
                </c:pt>
                <c:pt idx="7">
                  <c:v>63.093039493995008</c:v>
                </c:pt>
                <c:pt idx="8">
                  <c:v>40.799999999999997</c:v>
                </c:pt>
                <c:pt idx="9">
                  <c:v>38</c:v>
                </c:pt>
                <c:pt idx="10">
                  <c:v>37</c:v>
                </c:pt>
                <c:pt idx="11">
                  <c:v>22</c:v>
                </c:pt>
                <c:pt idx="12">
                  <c:v>137.30000000000001</c:v>
                </c:pt>
                <c:pt idx="13">
                  <c:v>113.3</c:v>
                </c:pt>
                <c:pt idx="14">
                  <c:v>34.1</c:v>
                </c:pt>
                <c:pt idx="15">
                  <c:v>44</c:v>
                </c:pt>
                <c:pt idx="16">
                  <c:v>21.3</c:v>
                </c:pt>
                <c:pt idx="17">
                  <c:v>41</c:v>
                </c:pt>
                <c:pt idx="18">
                  <c:v>37.700000000000003</c:v>
                </c:pt>
                <c:pt idx="19">
                  <c:v>19.100000000000001</c:v>
                </c:pt>
                <c:pt idx="20">
                  <c:v>45.9</c:v>
                </c:pt>
                <c:pt idx="21">
                  <c:v>36.9</c:v>
                </c:pt>
                <c:pt idx="22">
                  <c:v>61.7</c:v>
                </c:pt>
                <c:pt idx="23">
                  <c:v>47.4</c:v>
                </c:pt>
                <c:pt idx="24">
                  <c:v>28.4</c:v>
                </c:pt>
                <c:pt idx="2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F-4FF8-95C9-B55405DB1048}"/>
            </c:ext>
          </c:extLst>
        </c:ser>
        <c:ser>
          <c:idx val="1"/>
          <c:order val="1"/>
          <c:tx>
            <c:strRef>
              <c:f>'Phosphorus Trends'!$E$50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Trends'!$F$3:$F$28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'Phosphorus Trends'!$G$50:$G$75</c:f>
              <c:numCache>
                <c:formatCode>0</c:formatCode>
                <c:ptCount val="26"/>
                <c:pt idx="0" formatCode="#,##0">
                  <c:v>537</c:v>
                </c:pt>
                <c:pt idx="1">
                  <c:v>383</c:v>
                </c:pt>
                <c:pt idx="2">
                  <c:v>362</c:v>
                </c:pt>
                <c:pt idx="3">
                  <c:v>269</c:v>
                </c:pt>
                <c:pt idx="4">
                  <c:v>91</c:v>
                </c:pt>
                <c:pt idx="5">
                  <c:v>47</c:v>
                </c:pt>
                <c:pt idx="6">
                  <c:v>16.0625</c:v>
                </c:pt>
                <c:pt idx="7" formatCode="0.0_)">
                  <c:v>80</c:v>
                </c:pt>
                <c:pt idx="8" formatCode="0.0_)">
                  <c:v>33</c:v>
                </c:pt>
                <c:pt idx="9" formatCode="0.0_)">
                  <c:v>47</c:v>
                </c:pt>
                <c:pt idx="10" formatCode="0.0_)">
                  <c:v>19</c:v>
                </c:pt>
                <c:pt idx="11" formatCode="0.0_)">
                  <c:v>22</c:v>
                </c:pt>
                <c:pt idx="12" formatCode="0.0_)">
                  <c:v>14.9</c:v>
                </c:pt>
                <c:pt idx="13" formatCode="0.0_)">
                  <c:v>22.6</c:v>
                </c:pt>
                <c:pt idx="14" formatCode="0.0_)">
                  <c:v>21.7</c:v>
                </c:pt>
                <c:pt idx="15" formatCode="0.0_)">
                  <c:v>23</c:v>
                </c:pt>
                <c:pt idx="16" formatCode="0.0_)">
                  <c:v>7.6</c:v>
                </c:pt>
                <c:pt idx="17" formatCode="0.0_)">
                  <c:v>23</c:v>
                </c:pt>
                <c:pt idx="18" formatCode="0.0_)">
                  <c:v>14.8</c:v>
                </c:pt>
                <c:pt idx="19" formatCode="0.0_)">
                  <c:v>35.5</c:v>
                </c:pt>
                <c:pt idx="20" formatCode="0.0_)">
                  <c:v>19.3</c:v>
                </c:pt>
                <c:pt idx="21" formatCode="0.0_)">
                  <c:v>12.5</c:v>
                </c:pt>
                <c:pt idx="22" formatCode="0.0_)">
                  <c:v>32.299999999999997</c:v>
                </c:pt>
                <c:pt idx="23" formatCode="0.0_)">
                  <c:v>21.8</c:v>
                </c:pt>
                <c:pt idx="24" formatCode="0.0_)">
                  <c:v>19.899999999999999</c:v>
                </c:pt>
                <c:pt idx="25" formatCode="0.0_)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F-4FF8-95C9-B55405DB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7845120"/>
        <c:axId val="107846656"/>
      </c:barChart>
      <c:catAx>
        <c:axId val="1078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7.9239302694136312E-3"/>
              <c:y val="0.235110046980804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451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Phosphorus Distributon In Water Column</a:t>
            </a:r>
          </a:p>
        </c:rich>
      </c:tx>
      <c:layout>
        <c:manualLayout>
          <c:xMode val="edge"/>
          <c:yMode val="edge"/>
          <c:x val="0.29163652247916638"/>
          <c:y val="4.5593990406371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3134618933036"/>
          <c:y val="0.11794925634295711"/>
          <c:w val="0.84354168784855987"/>
          <c:h val="0.674981559172327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'Phosphorus Trends'!$A$3</c:f>
              <c:strCache>
                <c:ptCount val="1"/>
                <c:pt idx="0">
                  <c:v>Reservoir Bottom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Trends'!$B$50:$B$75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'Phosphorus Trends'!$C$3:$C$28</c:f>
              <c:numCache>
                <c:formatCode>0</c:formatCode>
                <c:ptCount val="26"/>
                <c:pt idx="0">
                  <c:v>119.5</c:v>
                </c:pt>
                <c:pt idx="1">
                  <c:v>270</c:v>
                </c:pt>
                <c:pt idx="2">
                  <c:v>201</c:v>
                </c:pt>
                <c:pt idx="3">
                  <c:v>240</c:v>
                </c:pt>
                <c:pt idx="4">
                  <c:v>100</c:v>
                </c:pt>
                <c:pt idx="5">
                  <c:v>52</c:v>
                </c:pt>
                <c:pt idx="6">
                  <c:v>66.1875</c:v>
                </c:pt>
                <c:pt idx="7">
                  <c:v>85.579818007202547</c:v>
                </c:pt>
                <c:pt idx="8">
                  <c:v>69.2</c:v>
                </c:pt>
                <c:pt idx="9">
                  <c:v>54</c:v>
                </c:pt>
                <c:pt idx="10">
                  <c:v>56</c:v>
                </c:pt>
                <c:pt idx="11">
                  <c:v>64</c:v>
                </c:pt>
                <c:pt idx="12">
                  <c:v>55.5</c:v>
                </c:pt>
                <c:pt idx="13">
                  <c:v>52.9</c:v>
                </c:pt>
                <c:pt idx="14">
                  <c:v>44.3</c:v>
                </c:pt>
                <c:pt idx="15">
                  <c:v>47</c:v>
                </c:pt>
                <c:pt idx="16">
                  <c:v>26</c:v>
                </c:pt>
                <c:pt idx="17">
                  <c:v>31</c:v>
                </c:pt>
                <c:pt idx="18">
                  <c:v>62.2</c:v>
                </c:pt>
                <c:pt idx="19">
                  <c:v>35.299999999999997</c:v>
                </c:pt>
                <c:pt idx="20">
                  <c:v>38.9</c:v>
                </c:pt>
                <c:pt idx="21">
                  <c:v>47.9</c:v>
                </c:pt>
                <c:pt idx="22">
                  <c:v>69.8</c:v>
                </c:pt>
                <c:pt idx="23">
                  <c:v>59.8</c:v>
                </c:pt>
                <c:pt idx="24">
                  <c:v>36.1</c:v>
                </c:pt>
                <c:pt idx="2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345-8250-025F4C5C5A25}"/>
            </c:ext>
          </c:extLst>
        </c:ser>
        <c:ser>
          <c:idx val="0"/>
          <c:order val="1"/>
          <c:tx>
            <c:strRef>
              <c:f>'Phosphorus Trends'!$A$50</c:f>
              <c:strCache>
                <c:ptCount val="1"/>
                <c:pt idx="0">
                  <c:v>Reservoir 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Trends'!$B$50:$B$75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'Phosphorus Trends'!$C$50:$C$75</c:f>
              <c:numCache>
                <c:formatCode>0</c:formatCode>
                <c:ptCount val="26"/>
                <c:pt idx="0">
                  <c:v>129</c:v>
                </c:pt>
                <c:pt idx="1">
                  <c:v>144</c:v>
                </c:pt>
                <c:pt idx="2">
                  <c:v>146</c:v>
                </c:pt>
                <c:pt idx="3">
                  <c:v>175</c:v>
                </c:pt>
                <c:pt idx="4">
                  <c:v>83</c:v>
                </c:pt>
                <c:pt idx="5">
                  <c:v>34</c:v>
                </c:pt>
                <c:pt idx="6">
                  <c:v>29.4375</c:v>
                </c:pt>
                <c:pt idx="7" formatCode="0.0_)">
                  <c:v>38</c:v>
                </c:pt>
                <c:pt idx="8" formatCode="0.0_)">
                  <c:v>33.299999999999997</c:v>
                </c:pt>
                <c:pt idx="9" formatCode="0.0_)">
                  <c:v>34</c:v>
                </c:pt>
                <c:pt idx="10" formatCode="0.0_)">
                  <c:v>59</c:v>
                </c:pt>
                <c:pt idx="11" formatCode="0.0_)">
                  <c:v>42</c:v>
                </c:pt>
                <c:pt idx="12" formatCode="0.0_)">
                  <c:v>46.1</c:v>
                </c:pt>
                <c:pt idx="13" formatCode="0.0_)">
                  <c:v>49.1</c:v>
                </c:pt>
                <c:pt idx="14" formatCode="0.0_)">
                  <c:v>24.3</c:v>
                </c:pt>
                <c:pt idx="15" formatCode="0.0_)">
                  <c:v>33</c:v>
                </c:pt>
                <c:pt idx="16" formatCode="0.0_)">
                  <c:v>21.6</c:v>
                </c:pt>
                <c:pt idx="17" formatCode="0.0_)">
                  <c:v>30</c:v>
                </c:pt>
                <c:pt idx="18" formatCode="0.0_)">
                  <c:v>39.799999999999997</c:v>
                </c:pt>
                <c:pt idx="19" formatCode="0.0_)">
                  <c:v>34.200000000000003</c:v>
                </c:pt>
                <c:pt idx="20" formatCode="0.0_)">
                  <c:v>28.3</c:v>
                </c:pt>
                <c:pt idx="21" formatCode="0.0_)">
                  <c:v>33.700000000000003</c:v>
                </c:pt>
                <c:pt idx="22" formatCode="0.0_)">
                  <c:v>53.4</c:v>
                </c:pt>
                <c:pt idx="23" formatCode="0.0_)">
                  <c:v>71.400000000000006</c:v>
                </c:pt>
                <c:pt idx="24" formatCode="0.0_)">
                  <c:v>24.8</c:v>
                </c:pt>
                <c:pt idx="25" formatCode="0.0_)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345-8250-025F4C5C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59328"/>
        <c:axId val="107746432"/>
      </c:barChart>
      <c:catAx>
        <c:axId val="1078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3.7099166951957092E-2"/>
              <c:y val="0.21503062117235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93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Total Suspended Sediment Load into Reservoir</a:t>
            </a:r>
          </a:p>
        </c:rich>
      </c:tx>
      <c:layout>
        <c:manualLayout>
          <c:xMode val="edge"/>
          <c:yMode val="edge"/>
          <c:x val="0.13186954288649202"/>
          <c:y val="4.8277375466315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</c:view3D>
    <c:floor>
      <c:thickness val="0"/>
    </c:floor>
    <c:sideWall>
      <c:thickness val="0"/>
      <c:spPr>
        <a:gradFill>
          <a:gsLst>
            <a:gs pos="0">
              <a:srgbClr val="4F81BD">
                <a:tint val="66000"/>
                <a:satMod val="160000"/>
                <a:alpha val="44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  <a:alpha val="44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620526632938225E-2"/>
          <c:y val="0.13428782231714126"/>
          <c:w val="0.85561008456377463"/>
          <c:h val="0.8657121776828588"/>
        </c:manualLayout>
      </c:layout>
      <c:pie3DChart>
        <c:varyColors val="1"/>
        <c:ser>
          <c:idx val="0"/>
          <c:order val="0"/>
          <c:tx>
            <c:strRef>
              <c:f>Loading!$N$58:$N$59</c:f>
              <c:strCache>
                <c:ptCount val="2"/>
                <c:pt idx="0">
                  <c:v>9,291,225</c:v>
                </c:pt>
                <c:pt idx="1">
                  <c:v>6,734,585</c:v>
                </c:pt>
              </c:strCache>
            </c:strRef>
          </c:tx>
          <c:dPt>
            <c:idx val="0"/>
            <c:bubble3D val="0"/>
            <c:explosion val="14"/>
            <c:extLst>
              <c:ext xmlns:c16="http://schemas.microsoft.com/office/drawing/2014/chart" uri="{C3380CC4-5D6E-409C-BE32-E72D297353CC}">
                <c16:uniqueId val="{00000004-025B-491D-890D-224294F6F7C0}"/>
              </c:ext>
            </c:extLst>
          </c:dPt>
          <c:dPt>
            <c:idx val="1"/>
            <c:bubble3D val="0"/>
            <c:explosion val="29"/>
            <c:extLst>
              <c:ext xmlns:c16="http://schemas.microsoft.com/office/drawing/2014/chart" uri="{C3380CC4-5D6E-409C-BE32-E72D297353CC}">
                <c16:uniqueId val="{00000003-025B-491D-890D-224294F6F7C0}"/>
              </c:ext>
            </c:extLst>
          </c:dPt>
          <c:dLbls>
            <c:dLbl>
              <c:idx val="0"/>
              <c:layout>
                <c:manualLayout>
                  <c:x val="-0.12556497175141243"/>
                  <c:y val="0.179405915274415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5B-491D-890D-224294F6F7C0}"/>
                </c:ext>
              </c:extLst>
            </c:dLbl>
            <c:dLbl>
              <c:idx val="1"/>
              <c:layout>
                <c:manualLayout>
                  <c:x val="7.0903954802259889E-2"/>
                  <c:y val="-0.102380520407299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5B-491D-890D-224294F6F7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Loading!$A$58:$A$59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Loading!$N$58:$N$59</c:f>
              <c:numCache>
                <c:formatCode>#,##0</c:formatCode>
                <c:ptCount val="2"/>
                <c:pt idx="0">
                  <c:v>9291224.8688321169</c:v>
                </c:pt>
                <c:pt idx="1">
                  <c:v>6734585.4755132254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B-491D-890D-224294F6F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BCR Total Suspended Sediment Load (pounds, %) </a:t>
            </a:r>
          </a:p>
        </c:rich>
      </c:tx>
      <c:layout>
        <c:manualLayout>
          <c:xMode val="edge"/>
          <c:yMode val="edge"/>
          <c:x val="0.18798138435962294"/>
          <c:y val="8.41340585578760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804644672580484E-2"/>
          <c:y val="0.17590561631023729"/>
          <c:w val="0.91820456492586056"/>
          <c:h val="0.713037844390221"/>
        </c:manualLayout>
      </c:layout>
      <c:pie3DChart>
        <c:varyColors val="1"/>
        <c:ser>
          <c:idx val="0"/>
          <c:order val="0"/>
          <c:tx>
            <c:strRef>
              <c:f>Loading!$A$57</c:f>
              <c:strCache>
                <c:ptCount val="1"/>
                <c:pt idx="0">
                  <c:v>TSS (Pounds)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explosion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3EB-4D02-8B9F-07F6FB19F238}"/>
              </c:ext>
            </c:extLst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EB-4D02-8B9F-07F6FB19F238}"/>
              </c:ext>
            </c:extLst>
          </c:dPt>
          <c:dLbls>
            <c:dLbl>
              <c:idx val="0"/>
              <c:layout>
                <c:manualLayout>
                  <c:x val="-0.21052631578947378"/>
                  <c:y val="-0.158782026831914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EB-4D02-8B9F-07F6FB19F238}"/>
                </c:ext>
              </c:extLst>
            </c:dLbl>
            <c:dLbl>
              <c:idx val="1"/>
              <c:layout>
                <c:manualLayout>
                  <c:x val="8.2165473417456225E-2"/>
                  <c:y val="-7.47312193142413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EB-4D02-8B9F-07F6FB19F238}"/>
                </c:ext>
              </c:extLst>
            </c:dLbl>
            <c:numFmt formatCode="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Loading!$A$58:$A$59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Loading!$N$58:$N$59</c:f>
              <c:numCache>
                <c:formatCode>#,##0</c:formatCode>
                <c:ptCount val="2"/>
                <c:pt idx="0">
                  <c:v>9291224.8688321169</c:v>
                </c:pt>
                <c:pt idx="1">
                  <c:v>6734585.4755132254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EB-4D02-8B9F-07F6FB19F238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BCR Nitrate Loading (Pounds, %) </a:t>
            </a:r>
          </a:p>
        </c:rich>
      </c:tx>
      <c:layout>
        <c:manualLayout>
          <c:xMode val="edge"/>
          <c:yMode val="edge"/>
          <c:x val="0.13585028193061768"/>
          <c:y val="3.9473814204843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28648236151098E-2"/>
          <c:y val="0.1325544940508534"/>
          <c:w val="0.9340027981083866"/>
          <c:h val="0.77674250881751461"/>
        </c:manualLayout>
      </c:layout>
      <c:pie3DChart>
        <c:varyColors val="1"/>
        <c:ser>
          <c:idx val="0"/>
          <c:order val="0"/>
          <c:tx>
            <c:strRef>
              <c:f>Loading!$A$16</c:f>
              <c:strCache>
                <c:ptCount val="1"/>
                <c:pt idx="0">
                  <c:v>Nitrate Pounds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1A-40F8-940C-C19CA25CBC7F}"/>
              </c:ext>
            </c:extLst>
          </c:dPt>
          <c:dPt>
            <c:idx val="1"/>
            <c:bubble3D val="0"/>
            <c:explosion val="21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1A-40F8-940C-C19CA25CBC7F}"/>
              </c:ext>
            </c:extLst>
          </c:dPt>
          <c:dLbls>
            <c:dLbl>
              <c:idx val="0"/>
              <c:layout>
                <c:manualLayout>
                  <c:x val="-5.7253158103438506E-2"/>
                  <c:y val="-0.15904622649897751"/>
                </c:manualLayout>
              </c:layout>
              <c:numFmt formatCode="0%" sourceLinked="0"/>
              <c:spPr>
                <a:gradFill>
                  <a:gsLst>
                    <a:gs pos="0">
                      <a:srgbClr val="4F81BD">
                        <a:tint val="66000"/>
                        <a:satMod val="160000"/>
                        <a:alpha val="51000"/>
                      </a:srgbClr>
                    </a:gs>
                    <a:gs pos="50000">
                      <a:srgbClr val="4F81BD">
                        <a:tint val="44500"/>
                        <a:satMod val="160000"/>
                      </a:srgbClr>
                    </a:gs>
                    <a:gs pos="100000">
                      <a:srgbClr val="4F81BD">
                        <a:tint val="23500"/>
                        <a:satMod val="160000"/>
                      </a:srgbClr>
                    </a:gs>
                  </a:gsLst>
                  <a:lin ang="5400000" scaled="0"/>
                </a:gra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A-40F8-940C-C19CA25CBC7F}"/>
                </c:ext>
              </c:extLst>
            </c:dLbl>
            <c:dLbl>
              <c:idx val="1"/>
              <c:layout>
                <c:manualLayout>
                  <c:x val="9.770474810510385E-2"/>
                  <c:y val="-0.386735362596613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A-40F8-940C-C19CA25CBC7F}"/>
                </c:ext>
              </c:extLst>
            </c:dLbl>
            <c:numFmt formatCode="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Loading!$A$17:$A$18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Loading!$N$17:$N$18</c:f>
              <c:numCache>
                <c:formatCode>#,##0</c:formatCode>
                <c:ptCount val="2"/>
                <c:pt idx="0">
                  <c:v>58488.108174477922</c:v>
                </c:pt>
                <c:pt idx="1">
                  <c:v>86406.653348518928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1A-40F8-940C-C19CA25CBC7F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BCR Total Phosphorus Load (Pounds, %) </a:t>
            </a:r>
          </a:p>
        </c:rich>
      </c:tx>
      <c:layout>
        <c:manualLayout>
          <c:xMode val="edge"/>
          <c:yMode val="edge"/>
          <c:x val="0.24322363791898488"/>
          <c:y val="4.03910889009440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657910733046092E-2"/>
          <c:y val="0.18965692962701169"/>
          <c:w val="0.96172883319168834"/>
          <c:h val="0.74369264977249061"/>
        </c:manualLayout>
      </c:layout>
      <c:pie3DChart>
        <c:varyColors val="1"/>
        <c:ser>
          <c:idx val="0"/>
          <c:order val="0"/>
          <c:tx>
            <c:strRef>
              <c:f>Loading!$A$42</c:f>
              <c:strCache>
                <c:ptCount val="1"/>
                <c:pt idx="0">
                  <c:v>Total Phosphorus Pounds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0143-475B-AE6E-8C9DE087EEA7}"/>
              </c:ext>
            </c:extLst>
          </c:dPt>
          <c:dPt>
            <c:idx val="1"/>
            <c:bubble3D val="0"/>
            <c:explosion val="1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43-475B-AE6E-8C9DE087EEA7}"/>
              </c:ext>
            </c:extLst>
          </c:dPt>
          <c:dLbls>
            <c:dLbl>
              <c:idx val="0"/>
              <c:layout>
                <c:manualLayout>
                  <c:x val="-0.10646385707736164"/>
                  <c:y val="-0.32526132563283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3-475B-AE6E-8C9DE087EEA7}"/>
                </c:ext>
              </c:extLst>
            </c:dLbl>
            <c:dLbl>
              <c:idx val="1"/>
              <c:layout>
                <c:manualLayout>
                  <c:x val="9.4417114374397093E-2"/>
                  <c:y val="-0.317853431160353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3-475B-AE6E-8C9DE087EEA7}"/>
                </c:ext>
              </c:extLst>
            </c:dLbl>
            <c:numFmt formatCode="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Loading!$A$43:$A$44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Loading!$N$43:$N$44</c:f>
              <c:numCache>
                <c:formatCode>#,##0</c:formatCode>
                <c:ptCount val="2"/>
                <c:pt idx="0">
                  <c:v>14670.033423094612</c:v>
                </c:pt>
                <c:pt idx="1">
                  <c:v>14516.267595510772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3-475B-AE6E-8C9DE087EEA7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ysClr val="window" lastClr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Bear Creek Reservoir Chlorophyll [ug/l] Trend</a:t>
            </a:r>
          </a:p>
        </c:rich>
      </c:tx>
      <c:layout>
        <c:manualLayout>
          <c:xMode val="edge"/>
          <c:yMode val="edge"/>
          <c:x val="0.23911147672253666"/>
          <c:y val="4.5644125944931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361262988193892"/>
          <c:w val="0.89357604946357594"/>
          <c:h val="0.6805996441456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Trends'!$C$4:$AA$4</c:f>
              <c:numCache>
                <c:formatCode>0.0</c:formatCode>
                <c:ptCount val="25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  <c:pt idx="18" formatCode="#,##0">
                  <c:v>12.5</c:v>
                </c:pt>
                <c:pt idx="19" formatCode="#,##0">
                  <c:v>10.6</c:v>
                </c:pt>
                <c:pt idx="20" formatCode="#,##0">
                  <c:v>10.8</c:v>
                </c:pt>
                <c:pt idx="21" formatCode="#,##0">
                  <c:v>14.9</c:v>
                </c:pt>
                <c:pt idx="22" formatCode="#,##0">
                  <c:v>14.6</c:v>
                </c:pt>
                <c:pt idx="23" formatCode="#,##0">
                  <c:v>5</c:v>
                </c:pt>
                <c:pt idx="24" formatCode="#,##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3-4F57-BD7E-42B3D9CF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4777600"/>
        <c:axId val="104779136"/>
      </c:barChart>
      <c:catAx>
        <c:axId val="10477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76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BCR</a:t>
            </a:r>
            <a:r>
              <a:rPr lang="en-US" sz="1100" baseline="0"/>
              <a:t> </a:t>
            </a:r>
            <a:r>
              <a:rPr lang="en-US" sz="1100"/>
              <a:t>Estimated Inflow  (acre-feet, %)</a:t>
            </a:r>
          </a:p>
        </c:rich>
      </c:tx>
      <c:layout>
        <c:manualLayout>
          <c:xMode val="edge"/>
          <c:yMode val="edge"/>
          <c:x val="0.12211358173380329"/>
          <c:y val="4.000001423551403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85319026293618E-2"/>
          <c:y val="0.13367158790068084"/>
          <c:w val="0.9140837395695649"/>
          <c:h val="0.73697913665063353"/>
        </c:manualLayout>
      </c:layout>
      <c:pie3DChart>
        <c:varyColors val="1"/>
        <c:ser>
          <c:idx val="0"/>
          <c:order val="0"/>
          <c:tx>
            <c:strRef>
              <c:f>Loading!$N$3</c:f>
              <c:strCache>
                <c:ptCount val="1"/>
                <c:pt idx="0">
                  <c:v>Annual ac-ft/yr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03-40E5-8566-1127F94942F0}"/>
              </c:ext>
            </c:extLst>
          </c:dPt>
          <c:dPt>
            <c:idx val="1"/>
            <c:bubble3D val="0"/>
            <c:explosion val="26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03-40E5-8566-1127F94942F0}"/>
              </c:ext>
            </c:extLst>
          </c:dPt>
          <c:dLbls>
            <c:dLbl>
              <c:idx val="0"/>
              <c:layout>
                <c:manualLayout>
                  <c:x val="-8.9886946154341563E-2"/>
                  <c:y val="-0.15204791987272478"/>
                </c:manualLayout>
              </c:layout>
              <c:spPr>
                <a:solidFill>
                  <a:srgbClr val="4BACC6">
                    <a:lumMod val="40000"/>
                    <a:lumOff val="60000"/>
                  </a:srgb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3-40E5-8566-1127F94942F0}"/>
                </c:ext>
              </c:extLst>
            </c:dLbl>
            <c:dLbl>
              <c:idx val="1"/>
              <c:layout>
                <c:manualLayout>
                  <c:x val="0.18033962147939081"/>
                  <c:y val="-0.26811905146894405"/>
                </c:manualLayout>
              </c:layout>
              <c:numFmt formatCode="0%" sourceLinked="0"/>
              <c:spPr>
                <a:solidFill>
                  <a:schemeClr val="accent5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3-40E5-8566-1127F94942F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[1]Loading!$A$4:$A$5</c:f>
              <c:strCache>
                <c:ptCount val="2"/>
                <c:pt idx="0">
                  <c:v>Turkey Creek Inflow</c:v>
                </c:pt>
                <c:pt idx="1">
                  <c:v>Bear Creek Inflow</c:v>
                </c:pt>
              </c:strCache>
            </c:strRef>
          </c:cat>
          <c:val>
            <c:numRef>
              <c:f>Loading!$N$4:$N$5</c:f>
              <c:numCache>
                <c:formatCode>#,##0</c:formatCode>
                <c:ptCount val="2"/>
                <c:pt idx="0">
                  <c:v>36024.576015000006</c:v>
                </c:pt>
                <c:pt idx="1">
                  <c:v>82904.532933999973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3-40E5-8566-1127F94942F0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Total Nitrogen Pounds</a:t>
            </a:r>
          </a:p>
        </c:rich>
      </c:tx>
      <c:layout>
        <c:manualLayout>
          <c:xMode val="edge"/>
          <c:yMode val="edge"/>
          <c:x val="0.36716759100766083"/>
          <c:y val="4.6165792893670614E-2"/>
        </c:manualLayout>
      </c:layout>
      <c:overlay val="0"/>
    </c:title>
    <c:autoTitleDeleted val="0"/>
    <c:view3D>
      <c:rotX val="30"/>
      <c:rotY val="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33206453458811E-2"/>
          <c:y val="0.1223883039147419"/>
          <c:w val="0.9489595800524937"/>
          <c:h val="0.79437593295218822"/>
        </c:manualLayout>
      </c:layout>
      <c:pie3DChart>
        <c:varyColors val="1"/>
        <c:ser>
          <c:idx val="1"/>
          <c:order val="0"/>
          <c:tx>
            <c:strRef>
              <c:f>Loading!$A$29</c:f>
              <c:strCache>
                <c:ptCount val="1"/>
                <c:pt idx="0">
                  <c:v>Total Nitrogen Pounds</c:v>
                </c:pt>
              </c:strCache>
            </c:strRef>
          </c:tx>
          <c:explosion val="17"/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DDD-453A-B918-FB381F19D357}"/>
              </c:ext>
            </c:extLst>
          </c:dPt>
          <c:dLbls>
            <c:dLbl>
              <c:idx val="0"/>
              <c:layout>
                <c:manualLayout>
                  <c:x val="2.9379162387310281E-2"/>
                  <c:y val="1.370676902484787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DD-453A-B918-FB381F19D357}"/>
                </c:ext>
              </c:extLst>
            </c:dLbl>
            <c:dLbl>
              <c:idx val="1"/>
              <c:layout>
                <c:manualLayout>
                  <c:x val="0.20046036254948904"/>
                  <c:y val="-0.277977117501196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DD-453A-B918-FB381F19D357}"/>
                </c:ext>
              </c:extLst>
            </c:dLbl>
            <c:spPr>
              <a:gradFill>
                <a:gsLst>
                  <a:gs pos="0">
                    <a:srgbClr val="4F81BD">
                      <a:tint val="66000"/>
                      <a:satMod val="160000"/>
                      <a:alpha val="51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Loading!$A$30:$A$31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Loading!$N$30:$N$31</c:f>
              <c:numCache>
                <c:formatCode>#,##0</c:formatCode>
                <c:ptCount val="2"/>
                <c:pt idx="0">
                  <c:v>7621.5</c:v>
                </c:pt>
                <c:pt idx="1">
                  <c:v>159083.16773444548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D-453A-B918-FB381F19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BCR Total Phosphorus Deposition Pounds/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Loading!$Q$25</c:f>
              <c:strCache>
                <c:ptCount val="1"/>
                <c:pt idx="0">
                  <c:v>BCR Total Phosphorus Deposition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Loading!$R$24:$Y$24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Loading!$R$25:$Y$25</c:f>
              <c:numCache>
                <c:formatCode>#,##0</c:formatCode>
                <c:ptCount val="8"/>
                <c:pt idx="0">
                  <c:v>667</c:v>
                </c:pt>
                <c:pt idx="1">
                  <c:v>1014</c:v>
                </c:pt>
                <c:pt idx="2">
                  <c:v>1395</c:v>
                </c:pt>
                <c:pt idx="3">
                  <c:v>223</c:v>
                </c:pt>
                <c:pt idx="4">
                  <c:v>374</c:v>
                </c:pt>
                <c:pt idx="5">
                  <c:v>6759</c:v>
                </c:pt>
                <c:pt idx="6">
                  <c:v>2030.6921468590576</c:v>
                </c:pt>
                <c:pt idx="7">
                  <c:v>18866.581804432863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3-41F1-B194-F6BB465AE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3186400"/>
        <c:axId val="363185744"/>
      </c:barChart>
      <c:catAx>
        <c:axId val="3631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85744"/>
        <c:crosses val="autoZero"/>
        <c:auto val="1"/>
        <c:lblAlgn val="ctr"/>
        <c:lblOffset val="100"/>
        <c:noMultiLvlLbl val="0"/>
      </c:catAx>
      <c:valAx>
        <c:axId val="36318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1864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166666666666667E-2"/>
          <c:y val="0.13671114027413239"/>
          <c:w val="0.94209780399707088"/>
          <c:h val="0.68590587634878963"/>
        </c:manualLayout>
      </c:layout>
      <c:pie3DChart>
        <c:varyColors val="1"/>
        <c:ser>
          <c:idx val="0"/>
          <c:order val="0"/>
          <c:tx>
            <c:strRef>
              <c:f>Loading!$Q$70</c:f>
              <c:strCache>
                <c:ptCount val="1"/>
                <c:pt idx="0">
                  <c:v>% Retained Within Reservoir</c:v>
                </c:pt>
              </c:strCache>
            </c:strRef>
          </c:tx>
          <c:spPr>
            <a:effectLst/>
            <a:scene3d>
              <a:camera prst="orthographicFront"/>
              <a:lightRig rig="threePt" dir="t"/>
            </a:scene3d>
            <a:sp3d>
              <a:contourClr>
                <a:srgbClr val="000000"/>
              </a:contourClr>
            </a:sp3d>
          </c:spPr>
          <c:explosion val="2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CD3-4440-A59B-D5E88534D8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DEA-4C02-8ED8-FBD76BD5D395}"/>
              </c:ext>
            </c:extLst>
          </c:dPt>
          <c:dPt>
            <c:idx val="2"/>
            <c:bubble3D val="0"/>
            <c:explosion val="19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DEA-4C02-8ED8-FBD76BD5D395}"/>
              </c:ext>
            </c:extLst>
          </c:dPt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A-4C02-8ED8-FBD76BD5D39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A-4C02-8ED8-FBD76BD5D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Loading!$R$63:$V$64</c:f>
              <c:multiLvlStrCache>
                <c:ptCount val="5"/>
                <c:lvl>
                  <c:pt idx="0">
                    <c:v>TN</c:v>
                  </c:pt>
                  <c:pt idx="1">
                    <c:v>NO3</c:v>
                  </c:pt>
                  <c:pt idx="2">
                    <c:v>TP</c:v>
                  </c:pt>
                  <c:pt idx="3">
                    <c:v>TSS</c:v>
                  </c:pt>
                  <c:pt idx="4">
                    <c:v>Ac-Ft</c:v>
                  </c:pt>
                </c:lvl>
                <c:lvl>
                  <c:pt idx="0">
                    <c:v>Annual Pounds</c:v>
                  </c:pt>
                  <c:pt idx="4">
                    <c:v>Annual Flow</c:v>
                  </c:pt>
                </c:lvl>
              </c:multiLvlStrCache>
            </c:multiLvlStrRef>
          </c:cat>
          <c:val>
            <c:numRef>
              <c:f>Loading!$R$70:$T$70</c:f>
              <c:numCache>
                <c:formatCode>0%</c:formatCode>
                <c:ptCount val="3"/>
                <c:pt idx="0">
                  <c:v>-3.2460700904168117E-2</c:v>
                </c:pt>
                <c:pt idx="1">
                  <c:v>0.41971318697269172</c:v>
                </c:pt>
                <c:pt idx="2">
                  <c:v>0.64641907833424961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A-4C02-8ED8-FBD76BD5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gradFill>
          <a:gsLst>
            <a:gs pos="0">
              <a:schemeClr val="accent1">
                <a:lumMod val="1000"/>
                <a:lumOff val="99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3"/>
          <c:tx>
            <c:strRef>
              <c:f>Loading!$AF$25:$AF$26</c:f>
              <c:strCache>
                <c:ptCount val="2"/>
                <c:pt idx="0">
                  <c:v>Total Phosphorus lbs/yr</c:v>
                </c:pt>
                <c:pt idx="1">
                  <c:v>%NPS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0B-4E67-A360-5C18E8C685B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0B-4E67-A360-5C18E8C685BA}"/>
              </c:ext>
            </c:extLst>
          </c:dPt>
          <c:cat>
            <c:strRef>
              <c:f>Loading!$AA$27:$AA$44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Median</c:v>
                </c:pt>
                <c:pt idx="17">
                  <c:v>Average</c:v>
                </c:pt>
              </c:strCache>
            </c:strRef>
          </c:cat>
          <c:val>
            <c:numRef>
              <c:f>Loading!$AF$27:$AF$44</c:f>
              <c:numCache>
                <c:formatCode>0%</c:formatCode>
                <c:ptCount val="18"/>
                <c:pt idx="0">
                  <c:v>0.25226151315789475</c:v>
                </c:pt>
                <c:pt idx="1">
                  <c:v>0.57230869001297013</c:v>
                </c:pt>
                <c:pt idx="2">
                  <c:v>0.02</c:v>
                </c:pt>
                <c:pt idx="3">
                  <c:v>0.33336395969176036</c:v>
                </c:pt>
                <c:pt idx="4">
                  <c:v>0.81491587575496116</c:v>
                </c:pt>
                <c:pt idx="5">
                  <c:v>0.8216788908765652</c:v>
                </c:pt>
                <c:pt idx="6">
                  <c:v>0.61987696850393703</c:v>
                </c:pt>
                <c:pt idx="7">
                  <c:v>0.92638744690891928</c:v>
                </c:pt>
                <c:pt idx="8">
                  <c:v>0.81251507840772019</c:v>
                </c:pt>
                <c:pt idx="9">
                  <c:v>0.86823157894736847</c:v>
                </c:pt>
                <c:pt idx="10">
                  <c:v>0.92327517788724689</c:v>
                </c:pt>
                <c:pt idx="11">
                  <c:v>0.73160861865407323</c:v>
                </c:pt>
                <c:pt idx="12">
                  <c:v>0.61675078864353317</c:v>
                </c:pt>
                <c:pt idx="13">
                  <c:v>0.98222525927777082</c:v>
                </c:pt>
                <c:pt idx="14">
                  <c:v>0.93293079800498746</c:v>
                </c:pt>
                <c:pt idx="15">
                  <c:v>0.98941975604742005</c:v>
                </c:pt>
                <c:pt idx="16">
                  <c:v>0.81371547708134062</c:v>
                </c:pt>
                <c:pt idx="17">
                  <c:v>0.70110940004857036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0B-4E67-A360-5C18E8C68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7"/>
        <c:axId val="324298672"/>
        <c:axId val="324299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Loading!$AB$25:$AB$26</c15:sqref>
                        </c15:formulaRef>
                      </c:ext>
                    </c:extLst>
                    <c:strCache>
                      <c:ptCount val="2"/>
                      <c:pt idx="0">
                        <c:v>Total Phosphorus lbs/yr</c:v>
                      </c:pt>
                      <c:pt idx="1">
                        <c:v>Discharge WWTF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Loading!$AA$27:$AA$44</c15:sqref>
                        </c15:formulaRef>
                      </c:ext>
                    </c:extLst>
                    <c:strCach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Median</c:v>
                      </c:pt>
                      <c:pt idx="17">
                        <c:v>Average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Loading!$AB$27:$AB$44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3637</c:v>
                      </c:pt>
                      <c:pt idx="1">
                        <c:v>2638</c:v>
                      </c:pt>
                      <c:pt idx="2">
                        <c:v>2721.5</c:v>
                      </c:pt>
                      <c:pt idx="3">
                        <c:v>4498.4600000000009</c:v>
                      </c:pt>
                      <c:pt idx="4">
                        <c:v>1716.1</c:v>
                      </c:pt>
                      <c:pt idx="5">
                        <c:v>1993.63</c:v>
                      </c:pt>
                      <c:pt idx="6">
                        <c:v>1544.82</c:v>
                      </c:pt>
                      <c:pt idx="7">
                        <c:v>1871.82</c:v>
                      </c:pt>
                      <c:pt idx="8">
                        <c:v>1243.4000000000001</c:v>
                      </c:pt>
                      <c:pt idx="9">
                        <c:v>1251.8000000000002</c:v>
                      </c:pt>
                      <c:pt idx="10">
                        <c:v>1121.4100000000001</c:v>
                      </c:pt>
                      <c:pt idx="11">
                        <c:v>909.31000000000006</c:v>
                      </c:pt>
                      <c:pt idx="12">
                        <c:v>971.91999999999985</c:v>
                      </c:pt>
                      <c:pt idx="13">
                        <c:v>1138.01</c:v>
                      </c:pt>
                      <c:pt idx="14">
                        <c:v>1075.79</c:v>
                      </c:pt>
                      <c:pt idx="15">
                        <c:v>1235.1799999999998</c:v>
                      </c:pt>
                      <c:pt idx="16">
                        <c:v>1398.31</c:v>
                      </c:pt>
                      <c:pt idx="17">
                        <c:v>1848.0093750000001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D0B-4E67-A360-5C18E8C685BA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Loading!$AD$25:$AD$26</c15:sqref>
                        </c15:formulaRef>
                      </c:ext>
                    </c:extLst>
                    <c:strCache>
                      <c:ptCount val="2"/>
                      <c:pt idx="0">
                        <c:v>Total Phosphorus lbs/yr</c:v>
                      </c:pt>
                      <c:pt idx="1">
                        <c:v>Reservoir Total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Loading!$AA$27:$AA$44</c15:sqref>
                        </c15:formulaRef>
                      </c:ext>
                    </c:extLst>
                    <c:strCach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Median</c:v>
                      </c:pt>
                      <c:pt idx="17">
                        <c:v>Average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Loading!$AD$27:$AD$44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1216</c:v>
                      </c:pt>
                      <c:pt idx="1">
                        <c:v>1542</c:v>
                      </c:pt>
                      <c:pt idx="2">
                        <c:v>442</c:v>
                      </c:pt>
                      <c:pt idx="3">
                        <c:v>1687</c:v>
                      </c:pt>
                      <c:pt idx="4">
                        <c:v>2318</c:v>
                      </c:pt>
                      <c:pt idx="5">
                        <c:v>2795</c:v>
                      </c:pt>
                      <c:pt idx="6">
                        <c:v>1016</c:v>
                      </c:pt>
                      <c:pt idx="7">
                        <c:v>6357</c:v>
                      </c:pt>
                      <c:pt idx="8">
                        <c:v>1658</c:v>
                      </c:pt>
                      <c:pt idx="9">
                        <c:v>2375</c:v>
                      </c:pt>
                      <c:pt idx="10">
                        <c:v>3654</c:v>
                      </c:pt>
                      <c:pt idx="11">
                        <c:v>847</c:v>
                      </c:pt>
                      <c:pt idx="12">
                        <c:v>634</c:v>
                      </c:pt>
                      <c:pt idx="13">
                        <c:v>16006</c:v>
                      </c:pt>
                      <c:pt idx="14">
                        <c:v>4010</c:v>
                      </c:pt>
                      <c:pt idx="15">
                        <c:v>29186</c:v>
                      </c:pt>
                      <c:pt idx="16">
                        <c:v>2002.5</c:v>
                      </c:pt>
                      <c:pt idx="17">
                        <c:v>4733.9375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D0B-4E67-A360-5C18E8C685BA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Loading!$AE$25:$AE$26</c15:sqref>
                        </c15:formulaRef>
                      </c:ext>
                    </c:extLst>
                    <c:strCache>
                      <c:ptCount val="2"/>
                      <c:pt idx="0">
                        <c:v>Total Phosphorus lbs/yr</c:v>
                      </c:pt>
                      <c:pt idx="1">
                        <c:v>Reservoir NPS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Loading!$AA$27:$AA$44</c15:sqref>
                        </c15:formulaRef>
                      </c:ext>
                    </c:extLst>
                    <c:strCach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Median</c:v>
                      </c:pt>
                      <c:pt idx="17">
                        <c:v>Average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Loading!$AE$27:$AE$44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306.75</c:v>
                      </c:pt>
                      <c:pt idx="1">
                        <c:v>882.5</c:v>
                      </c:pt>
                      <c:pt idx="2">
                        <c:v>-238.375</c:v>
                      </c:pt>
                      <c:pt idx="3">
                        <c:v>562.38499999999976</c:v>
                      </c:pt>
                      <c:pt idx="4">
                        <c:v>1888.9749999999999</c:v>
                      </c:pt>
                      <c:pt idx="5">
                        <c:v>2296.5924999999997</c:v>
                      </c:pt>
                      <c:pt idx="6">
                        <c:v>629.79500000000007</c:v>
                      </c:pt>
                      <c:pt idx="7">
                        <c:v>5889.0450000000001</c:v>
                      </c:pt>
                      <c:pt idx="8">
                        <c:v>1347.15</c:v>
                      </c:pt>
                      <c:pt idx="9">
                        <c:v>2062.0500000000002</c:v>
                      </c:pt>
                      <c:pt idx="10">
                        <c:v>3373.6475</c:v>
                      </c:pt>
                      <c:pt idx="11">
                        <c:v>619.67250000000001</c:v>
                      </c:pt>
                      <c:pt idx="12">
                        <c:v>391.02000000000004</c:v>
                      </c:pt>
                      <c:pt idx="13">
                        <c:v>15721.497499999999</c:v>
                      </c:pt>
                      <c:pt idx="14">
                        <c:v>3741.0524999999998</c:v>
                      </c:pt>
                      <c:pt idx="15">
                        <c:v>28877.205000000002</c:v>
                      </c:pt>
                      <c:pt idx="16">
                        <c:v>1618.0625</c:v>
                      </c:pt>
                      <c:pt idx="17">
                        <c:v>4271.9351562499996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0B-4E67-A360-5C18E8C685BA}"/>
                  </c:ext>
                </c:extLst>
              </c15:ser>
            </c15:filteredBarSeries>
          </c:ext>
        </c:extLst>
      </c:barChart>
      <c:catAx>
        <c:axId val="32429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99000"/>
        <c:crosses val="autoZero"/>
        <c:auto val="1"/>
        <c:lblAlgn val="ctr"/>
        <c:lblOffset val="100"/>
        <c:noMultiLvlLbl val="0"/>
      </c:catAx>
      <c:valAx>
        <c:axId val="32429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9867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Carlson Seasonal Trophic Status Index [TSI]</a:t>
            </a:r>
          </a:p>
        </c:rich>
      </c:tx>
      <c:layout>
        <c:manualLayout>
          <c:xMode val="edge"/>
          <c:yMode val="edge"/>
          <c:x val="0.23773006134969324"/>
          <c:y val="3.4591194968553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82692897654113E-2"/>
          <c:y val="0.12584117534088718"/>
          <c:w val="0.92357584931513192"/>
          <c:h val="0.77692305230142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Carlson!$A$18</c:f>
              <c:strCache>
                <c:ptCount val="1"/>
                <c:pt idx="0">
                  <c:v>Carlson's Annual</c:v>
                </c:pt>
              </c:strCache>
            </c:strRef>
          </c:tx>
          <c:invertIfNegative val="0"/>
          <c:cat>
            <c:numRef>
              <c:f>Carlson!$B$27:$AA$27</c:f>
              <c:numCache>
                <c:formatCode>General</c:formatCode>
                <c:ptCount val="26"/>
                <c:pt idx="0">
                  <c:v>1988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Carlson!$B$28:$AA$28</c:f>
              <c:numCache>
                <c:formatCode>0.00</c:formatCode>
                <c:ptCount val="26"/>
                <c:pt idx="0">
                  <c:v>60.39915070688658</c:v>
                </c:pt>
                <c:pt idx="1">
                  <c:v>62.922363589547444</c:v>
                </c:pt>
                <c:pt idx="2">
                  <c:v>62.111684953260315</c:v>
                </c:pt>
                <c:pt idx="3">
                  <c:v>58.344593382015127</c:v>
                </c:pt>
                <c:pt idx="4">
                  <c:v>60.120150932072441</c:v>
                </c:pt>
                <c:pt idx="5">
                  <c:v>51.089468090678203</c:v>
                </c:pt>
                <c:pt idx="6">
                  <c:v>52.699762908336595</c:v>
                </c:pt>
                <c:pt idx="7">
                  <c:v>53.361633839203677</c:v>
                </c:pt>
                <c:pt idx="8">
                  <c:v>50.833901052705436</c:v>
                </c:pt>
                <c:pt idx="9">
                  <c:v>52.427928247314178</c:v>
                </c:pt>
                <c:pt idx="10">
                  <c:v>55.711306281437082</c:v>
                </c:pt>
                <c:pt idx="11">
                  <c:v>56.840099404483801</c:v>
                </c:pt>
                <c:pt idx="12">
                  <c:v>54.070692957559743</c:v>
                </c:pt>
                <c:pt idx="13">
                  <c:v>56.601461813604963</c:v>
                </c:pt>
                <c:pt idx="14">
                  <c:v>49.808003998448534</c:v>
                </c:pt>
                <c:pt idx="15">
                  <c:v>54.616214061986739</c:v>
                </c:pt>
                <c:pt idx="16">
                  <c:v>49.875067908335467</c:v>
                </c:pt>
                <c:pt idx="17">
                  <c:v>52.785985215663082</c:v>
                </c:pt>
                <c:pt idx="18">
                  <c:v>55.561102668211014</c:v>
                </c:pt>
                <c:pt idx="19">
                  <c:v>52.133374222986525</c:v>
                </c:pt>
                <c:pt idx="20">
                  <c:v>53.647696846285726</c:v>
                </c:pt>
                <c:pt idx="21">
                  <c:v>53.403624208967244</c:v>
                </c:pt>
                <c:pt idx="22">
                  <c:v>56.414425174483391</c:v>
                </c:pt>
                <c:pt idx="23">
                  <c:v>57.478491848055995</c:v>
                </c:pt>
                <c:pt idx="24">
                  <c:v>50.183465718386536</c:v>
                </c:pt>
                <c:pt idx="25">
                  <c:v>58.571915412400962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540-B79F-EC03670A8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73184"/>
        <c:axId val="108174720"/>
      </c:barChart>
      <c:catAx>
        <c:axId val="108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74720"/>
        <c:scaling>
          <c:orientation val="minMax"/>
          <c:max val="6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73184"/>
        <c:crosses val="autoZero"/>
        <c:crossBetween val="between"/>
        <c:minorUnit val="10"/>
      </c:valAx>
      <c:spPr>
        <a:gradFill>
          <a:gsLst>
            <a:gs pos="67000">
              <a:srgbClr val="00B050">
                <a:alpha val="78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Carlson's Annual Trophic Status Index [TSI]  
</a:t>
            </a:r>
          </a:p>
        </c:rich>
      </c:tx>
      <c:layout>
        <c:manualLayout>
          <c:xMode val="edge"/>
          <c:yMode val="edge"/>
          <c:x val="0.2458521870286576"/>
          <c:y val="3.5031847133758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0669405625143E-2"/>
          <c:y val="0.11604644528129972"/>
          <c:w val="0.91237266492943359"/>
          <c:h val="0.749424087737064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Carlson!$C$38:$AA$38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Carlson!$C$39:$AA$39</c:f>
              <c:numCache>
                <c:formatCode>#,##0</c:formatCode>
                <c:ptCount val="25"/>
                <c:pt idx="0">
                  <c:v>57.974168699280114</c:v>
                </c:pt>
                <c:pt idx="1">
                  <c:v>61.044107370954897</c:v>
                </c:pt>
                <c:pt idx="2">
                  <c:v>62.083167664011228</c:v>
                </c:pt>
                <c:pt idx="3">
                  <c:v>61.487265569974134</c:v>
                </c:pt>
                <c:pt idx="4">
                  <c:v>57.92951834427955</c:v>
                </c:pt>
                <c:pt idx="5">
                  <c:v>53.975841238330908</c:v>
                </c:pt>
                <c:pt idx="6">
                  <c:v>53.435718133535012</c:v>
                </c:pt>
                <c:pt idx="7">
                  <c:v>49.371855280700778</c:v>
                </c:pt>
                <c:pt idx="8">
                  <c:v>50.904302358205541</c:v>
                </c:pt>
                <c:pt idx="9">
                  <c:v>54.339987917209079</c:v>
                </c:pt>
                <c:pt idx="10">
                  <c:v>57.759224255437537</c:v>
                </c:pt>
                <c:pt idx="11">
                  <c:v>55.556119488978311</c:v>
                </c:pt>
                <c:pt idx="12">
                  <c:v>58.735529951742912</c:v>
                </c:pt>
                <c:pt idx="13">
                  <c:v>53.019062124775537</c:v>
                </c:pt>
                <c:pt idx="14">
                  <c:v>56.959189884506621</c:v>
                </c:pt>
                <c:pt idx="15">
                  <c:v>51.382721957747123</c:v>
                </c:pt>
                <c:pt idx="16">
                  <c:v>49.42158492671539</c:v>
                </c:pt>
                <c:pt idx="17">
                  <c:v>60.055490460292823</c:v>
                </c:pt>
                <c:pt idx="18">
                  <c:v>57.771922969263748</c:v>
                </c:pt>
                <c:pt idx="19">
                  <c:v>55.8091919353976</c:v>
                </c:pt>
                <c:pt idx="20">
                  <c:v>54.26039610905358</c:v>
                </c:pt>
                <c:pt idx="21">
                  <c:v>62.436800570003612</c:v>
                </c:pt>
                <c:pt idx="22">
                  <c:v>64.325220193307089</c:v>
                </c:pt>
                <c:pt idx="23">
                  <c:v>55.398885311993162</c:v>
                </c:pt>
                <c:pt idx="24">
                  <c:v>62.845051870736228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A-45EA-8C9D-6AF30C7AB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07904"/>
        <c:axId val="108509440"/>
      </c:barChart>
      <c:catAx>
        <c:axId val="1085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0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0944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07904"/>
        <c:crosses val="autoZero"/>
        <c:crossBetween val="between"/>
        <c:minorUnit val="10"/>
      </c:valAx>
      <c:spPr>
        <a:gradFill>
          <a:gsLst>
            <a:gs pos="65000">
              <a:srgbClr val="00B050">
                <a:alpha val="86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Walker's Growing Season TSI Trophic Status
</a:t>
            </a:r>
          </a:p>
        </c:rich>
      </c:tx>
      <c:layout>
        <c:manualLayout>
          <c:xMode val="edge"/>
          <c:yMode val="edge"/>
          <c:x val="0.31267217630858746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164578849314181E-2"/>
          <c:y val="0.11725564209322047"/>
          <c:w val="0.9589508276935701"/>
          <c:h val="0.7094677279522207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Walker!$G$55</c:f>
              <c:strCache>
                <c:ptCount val="1"/>
                <c:pt idx="0">
                  <c:v>TSI Index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Walker!$AE$16:$BB$16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Walker!$AE$29:$BC$29</c:f>
              <c:numCache>
                <c:formatCode>0.0</c:formatCode>
                <c:ptCount val="25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8224"/>
        <c:axId val="108646400"/>
      </c:barChart>
      <c:lineChart>
        <c:grouping val="standard"/>
        <c:varyColors val="0"/>
        <c:ser>
          <c:idx val="0"/>
          <c:order val="0"/>
          <c:tx>
            <c:strRef>
              <c:f>Walker!$G$52</c:f>
              <c:strCache>
                <c:ptCount val="1"/>
                <c:pt idx="0">
                  <c:v>Chlorophyll-a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Walker!$AE$16:$BC$16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Walker!$AE$18:$BC$18</c:f>
              <c:numCache>
                <c:formatCode>0.00</c:formatCode>
                <c:ptCount val="25"/>
                <c:pt idx="0">
                  <c:v>39.954269549603552</c:v>
                </c:pt>
                <c:pt idx="1">
                  <c:v>55.565533829982016</c:v>
                </c:pt>
                <c:pt idx="2">
                  <c:v>58.461430738911787</c:v>
                </c:pt>
                <c:pt idx="3">
                  <c:v>67.201909026395739</c:v>
                </c:pt>
                <c:pt idx="4">
                  <c:v>54.525117899516516</c:v>
                </c:pt>
                <c:pt idx="5">
                  <c:v>65.712923624392289</c:v>
                </c:pt>
                <c:pt idx="6">
                  <c:v>45.83717154626855</c:v>
                </c:pt>
                <c:pt idx="7">
                  <c:v>34.269184011910241</c:v>
                </c:pt>
                <c:pt idx="8">
                  <c:v>36.314818447701668</c:v>
                </c:pt>
                <c:pt idx="9">
                  <c:v>58.660330444060072</c:v>
                </c:pt>
                <c:pt idx="10">
                  <c:v>65.523946072984643</c:v>
                </c:pt>
                <c:pt idx="11">
                  <c:v>63.413153176808436</c:v>
                </c:pt>
                <c:pt idx="12">
                  <c:v>62.074253956655305</c:v>
                </c:pt>
                <c:pt idx="13">
                  <c:v>50.859754077616223</c:v>
                </c:pt>
                <c:pt idx="14">
                  <c:v>59.522913145001397</c:v>
                </c:pt>
                <c:pt idx="15">
                  <c:v>57.206726682721325</c:v>
                </c:pt>
                <c:pt idx="16">
                  <c:v>46.991387390920949</c:v>
                </c:pt>
                <c:pt idx="17">
                  <c:v>66.870400173595584</c:v>
                </c:pt>
                <c:pt idx="18">
                  <c:v>65.400697459443251</c:v>
                </c:pt>
                <c:pt idx="19">
                  <c:v>59.241080069629163</c:v>
                </c:pt>
                <c:pt idx="20">
                  <c:v>51.683978405188284</c:v>
                </c:pt>
                <c:pt idx="21">
                  <c:v>66.47375434130619</c:v>
                </c:pt>
                <c:pt idx="22">
                  <c:v>67.201909026395739</c:v>
                </c:pt>
                <c:pt idx="23">
                  <c:v>50.516404523452806</c:v>
                </c:pt>
                <c:pt idx="24">
                  <c:v>63.833182872358428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4-48A0-B6AC-566EA1B45BDE}"/>
            </c:ext>
          </c:extLst>
        </c:ser>
        <c:ser>
          <c:idx val="1"/>
          <c:order val="1"/>
          <c:tx>
            <c:strRef>
              <c:f>Walker!$G$53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Walker!$AE$16:$BC$16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Walker!$AE$21:$BC$21</c:f>
              <c:numCache>
                <c:formatCode>0.00</c:formatCode>
                <c:ptCount val="25"/>
                <c:pt idx="0">
                  <c:v>105.23732345422789</c:v>
                </c:pt>
                <c:pt idx="1">
                  <c:v>104.14677889764283</c:v>
                </c:pt>
                <c:pt idx="2">
                  <c:v>106.75135640672498</c:v>
                </c:pt>
                <c:pt idx="3">
                  <c:v>90.584875613041092</c:v>
                </c:pt>
                <c:pt idx="4">
                  <c:v>81.427664114480308</c:v>
                </c:pt>
                <c:pt idx="5">
                  <c:v>68.683738801752057</c:v>
                </c:pt>
                <c:pt idx="6">
                  <c:v>73.344504155515523</c:v>
                </c:pt>
                <c:pt idx="7">
                  <c:v>71.178068191018056</c:v>
                </c:pt>
                <c:pt idx="8">
                  <c:v>76.822735173828832</c:v>
                </c:pt>
                <c:pt idx="9">
                  <c:v>75.017910212003002</c:v>
                </c:pt>
                <c:pt idx="10">
                  <c:v>82.689707094897571</c:v>
                </c:pt>
                <c:pt idx="11">
                  <c:v>78.715149167140993</c:v>
                </c:pt>
                <c:pt idx="12">
                  <c:v>82.753976813015143</c:v>
                </c:pt>
                <c:pt idx="13">
                  <c:v>74.00095640843179</c:v>
                </c:pt>
                <c:pt idx="14">
                  <c:v>76.562167504225187</c:v>
                </c:pt>
                <c:pt idx="15">
                  <c:v>64.838342612330891</c:v>
                </c:pt>
                <c:pt idx="16">
                  <c:v>67.135202490872658</c:v>
                </c:pt>
                <c:pt idx="17">
                  <c:v>82.430544899764982</c:v>
                </c:pt>
                <c:pt idx="18">
                  <c:v>77.95505787670551</c:v>
                </c:pt>
                <c:pt idx="19">
                  <c:v>73.241573337517138</c:v>
                </c:pt>
                <c:pt idx="20">
                  <c:v>80.299478324726664</c:v>
                </c:pt>
                <c:pt idx="21">
                  <c:v>91.626949643557182</c:v>
                </c:pt>
                <c:pt idx="22">
                  <c:v>94.410650455624605</c:v>
                </c:pt>
                <c:pt idx="23">
                  <c:v>76.075469502422848</c:v>
                </c:pt>
                <c:pt idx="24">
                  <c:v>89.590731242834238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4-48A0-B6AC-566EA1B45BDE}"/>
            </c:ext>
          </c:extLst>
        </c:ser>
        <c:ser>
          <c:idx val="2"/>
          <c:order val="2"/>
          <c:tx>
            <c:strRef>
              <c:f>Walker!$G$54</c:f>
              <c:strCache>
                <c:ptCount val="1"/>
                <c:pt idx="0">
                  <c:v>Sechhi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Walker!$AE$16:$BC$16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Walker!$AE$24:$BC$24</c:f>
              <c:numCache>
                <c:formatCode>0.00</c:formatCode>
                <c:ptCount val="25"/>
                <c:pt idx="0">
                  <c:v>58.073026973148814</c:v>
                </c:pt>
                <c:pt idx="1">
                  <c:v>57.060845376748709</c:v>
                </c:pt>
                <c:pt idx="2">
                  <c:v>55.869127614357176</c:v>
                </c:pt>
                <c:pt idx="3">
                  <c:v>62.129262586264701</c:v>
                </c:pt>
                <c:pt idx="4">
                  <c:v>69.080907012382241</c:v>
                </c:pt>
                <c:pt idx="5">
                  <c:v>52.807093237995446</c:v>
                </c:pt>
                <c:pt idx="6">
                  <c:v>66.440722664986438</c:v>
                </c:pt>
                <c:pt idx="7">
                  <c:v>62.129262586264701</c:v>
                </c:pt>
                <c:pt idx="8">
                  <c:v>60.835935291730678</c:v>
                </c:pt>
                <c:pt idx="9">
                  <c:v>55.031061001521465</c:v>
                </c:pt>
                <c:pt idx="10">
                  <c:v>55.134574086292005</c:v>
                </c:pt>
                <c:pt idx="11">
                  <c:v>51.235802304246434</c:v>
                </c:pt>
                <c:pt idx="12">
                  <c:v>63.488373835154341</c:v>
                </c:pt>
                <c:pt idx="13">
                  <c:v>58.41843895246609</c:v>
                </c:pt>
                <c:pt idx="14">
                  <c:v>64.922011586632749</c:v>
                </c:pt>
                <c:pt idx="15">
                  <c:v>54.114638300921229</c:v>
                </c:pt>
                <c:pt idx="16">
                  <c:v>53.126608849154415</c:v>
                </c:pt>
                <c:pt idx="17">
                  <c:v>64.922011586632749</c:v>
                </c:pt>
                <c:pt idx="18">
                  <c:v>60.835935291730678</c:v>
                </c:pt>
                <c:pt idx="19">
                  <c:v>63.488373835154341</c:v>
                </c:pt>
                <c:pt idx="20">
                  <c:v>56.189460550357225</c:v>
                </c:pt>
                <c:pt idx="21">
                  <c:v>66.129594978639489</c:v>
                </c:pt>
                <c:pt idx="22">
                  <c:v>70.889225718014615</c:v>
                </c:pt>
                <c:pt idx="23">
                  <c:v>67.561225556452669</c:v>
                </c:pt>
                <c:pt idx="24">
                  <c:v>72.846353865435603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8224"/>
        <c:axId val="108646400"/>
      </c:lineChart>
      <c:catAx>
        <c:axId val="1086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086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46400"/>
        <c:scaling>
          <c:orientation val="minMax"/>
          <c:max val="120"/>
          <c:min val="20"/>
        </c:scaling>
        <c:delete val="0"/>
        <c:axPos val="l"/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08628224"/>
        <c:crosses val="autoZero"/>
        <c:crossBetween val="between"/>
        <c:minorUnit val="10"/>
      </c:valAx>
      <c:spPr>
        <a:gradFill>
          <a:gsLst>
            <a:gs pos="65000">
              <a:srgbClr val="00B050">
                <a:alpha val="77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95779229331326"/>
          <c:y val="0.1534011918650631"/>
          <c:w val="0.41119711201263986"/>
          <c:h val="8.307520689954534E-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Walker Seasonal Trophic State Index</a:t>
            </a:r>
          </a:p>
        </c:rich>
      </c:tx>
      <c:layout>
        <c:manualLayout>
          <c:xMode val="edge"/>
          <c:yMode val="edge"/>
          <c:x val="0.2713085234093823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2586062132662"/>
          <c:y val="0.12736318407960198"/>
          <c:w val="0.89877413937869965"/>
          <c:h val="0.62487562189060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Walker!$A$52</c:f>
              <c:strCache>
                <c:ptCount val="1"/>
                <c:pt idx="0">
                  <c:v>Walker 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Walker!$AE$30:$BC$31</c:f>
              <c:multiLvlStrCache>
                <c:ptCount val="25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2003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</c:lvl>
                <c:lvl>
                  <c:pt idx="0">
                    <c:v>Hyp</c:v>
                  </c:pt>
                  <c:pt idx="1">
                    <c:v>Hyp</c:v>
                  </c:pt>
                  <c:pt idx="2">
                    <c:v>Hyp</c:v>
                  </c:pt>
                  <c:pt idx="3">
                    <c:v>Hyp</c:v>
                  </c:pt>
                  <c:pt idx="4">
                    <c:v>Hyp</c:v>
                  </c:pt>
                  <c:pt idx="5">
                    <c:v>Eu-hyp</c:v>
                  </c:pt>
                  <c:pt idx="6">
                    <c:v>Eu</c:v>
                  </c:pt>
                  <c:pt idx="7">
                    <c:v>Eu</c:v>
                  </c:pt>
                  <c:pt idx="8">
                    <c:v>Eu</c:v>
                  </c:pt>
                  <c:pt idx="9">
                    <c:v>Eu-hyp</c:v>
                  </c:pt>
                  <c:pt idx="10">
                    <c:v>Eu-hyp</c:v>
                  </c:pt>
                  <c:pt idx="11">
                    <c:v>Eu</c:v>
                  </c:pt>
                  <c:pt idx="12">
                    <c:v>Eu-hyp</c:v>
                  </c:pt>
                  <c:pt idx="13">
                    <c:v>Eu</c:v>
                  </c:pt>
                  <c:pt idx="14">
                    <c:v>Eu</c:v>
                  </c:pt>
                  <c:pt idx="15">
                    <c:v>Eu</c:v>
                  </c:pt>
                  <c:pt idx="16">
                    <c:v>Eu</c:v>
                  </c:pt>
                  <c:pt idx="17">
                    <c:v>Eu</c:v>
                  </c:pt>
                  <c:pt idx="18">
                    <c:v>Eu-hyp</c:v>
                  </c:pt>
                  <c:pt idx="19">
                    <c:v>EU</c:v>
                  </c:pt>
                  <c:pt idx="20">
                    <c:v>EU</c:v>
                  </c:pt>
                  <c:pt idx="21">
                    <c:v>EU</c:v>
                  </c:pt>
                  <c:pt idx="22">
                    <c:v>Eu-hyp</c:v>
                  </c:pt>
                  <c:pt idx="23">
                    <c:v>EU</c:v>
                  </c:pt>
                  <c:pt idx="24">
                    <c:v>Eu-hyp</c:v>
                  </c:pt>
                </c:lvl>
              </c:multiLvlStrCache>
            </c:multiLvlStrRef>
          </c:cat>
          <c:val>
            <c:numRef>
              <c:f>Walker!$AE$29:$BC$29</c:f>
              <c:numCache>
                <c:formatCode>0.0</c:formatCode>
                <c:ptCount val="25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9-4534-B143-2FB8C9B254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426368"/>
        <c:axId val="108427904"/>
      </c:barChart>
      <c:catAx>
        <c:axId val="10842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7904"/>
        <c:crosses val="autoZero"/>
        <c:auto val="1"/>
        <c:lblAlgn val="ctr"/>
        <c:lblOffset val="100"/>
        <c:tickMarkSkip val="1"/>
        <c:noMultiLvlLbl val="0"/>
      </c:catAx>
      <c:valAx>
        <c:axId val="108427904"/>
        <c:scaling>
          <c:orientation val="minMax"/>
          <c:max val="85"/>
          <c:min val="5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6368"/>
        <c:crosses val="autoZero"/>
        <c:crossBetween val="between"/>
        <c:majorUnit val="5"/>
      </c:valAx>
      <c:dTable>
        <c:showHorzBorder val="0"/>
        <c:showVertBorder val="1"/>
        <c:showOutline val="1"/>
        <c:showKeys val="0"/>
        <c:spPr>
          <a:ln w="25400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</c:dTable>
      <c:spPr>
        <a:gradFill>
          <a:gsLst>
            <a:gs pos="71000">
              <a:srgbClr val="00B050">
                <a:alpha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2015 In-Flow Estimates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Total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552.02754000000004</c:v>
                </c:pt>
                <c:pt idx="1">
                  <c:v>1343.3635199999999</c:v>
                </c:pt>
                <c:pt idx="2">
                  <c:v>1606.2894900000001</c:v>
                </c:pt>
                <c:pt idx="3">
                  <c:v>6169.1130000000012</c:v>
                </c:pt>
                <c:pt idx="4">
                  <c:v>55633.065000000002</c:v>
                </c:pt>
                <c:pt idx="5">
                  <c:v>36764.82</c:v>
                </c:pt>
                <c:pt idx="6">
                  <c:v>10204.518000000002</c:v>
                </c:pt>
                <c:pt idx="7">
                  <c:v>2803.476165</c:v>
                </c:pt>
                <c:pt idx="8">
                  <c:v>668.78657999999996</c:v>
                </c:pt>
                <c:pt idx="9">
                  <c:v>573.62505400000009</c:v>
                </c:pt>
                <c:pt idx="10">
                  <c:v>446.17500000000001</c:v>
                </c:pt>
                <c:pt idx="11">
                  <c:v>2163.8496000000005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C-4A00-B41A-53A89CDC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448000"/>
        <c:axId val="114028544"/>
      </c:barChart>
      <c:catAx>
        <c:axId val="10844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8544"/>
        <c:crosses val="autoZero"/>
        <c:auto val="1"/>
        <c:lblAlgn val="ctr"/>
        <c:lblOffset val="100"/>
        <c:noMultiLvlLbl val="0"/>
      </c:catAx>
      <c:valAx>
        <c:axId val="114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Acre-feet/month</a:t>
                </a:r>
              </a:p>
            </c:rich>
          </c:tx>
          <c:layout>
            <c:manualLayout>
              <c:xMode val="edge"/>
              <c:yMode val="edge"/>
              <c:x val="1.7116079815739343E-2"/>
              <c:y val="0.35615027097263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480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Total Phosphorus [ug/l] Trend</a:t>
            </a:r>
          </a:p>
        </c:rich>
      </c:tx>
      <c:layout>
        <c:manualLayout>
          <c:xMode val="edge"/>
          <c:yMode val="edge"/>
          <c:x val="0.33887345590317025"/>
          <c:y val="4.5059361103178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480801335559273E-2"/>
          <c:y val="0.15167441828838751"/>
          <c:w val="0.90150250417360756"/>
          <c:h val="0.67802177253750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Trends'!$B$14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Trends'!$C$14:$AA$14</c:f>
              <c:numCache>
                <c:formatCode>#,##0</c:formatCode>
                <c:ptCount val="25"/>
                <c:pt idx="0">
                  <c:v>144</c:v>
                </c:pt>
                <c:pt idx="1">
                  <c:v>146</c:v>
                </c:pt>
                <c:pt idx="2">
                  <c:v>175</c:v>
                </c:pt>
                <c:pt idx="3">
                  <c:v>83</c:v>
                </c:pt>
                <c:pt idx="4">
                  <c:v>34</c:v>
                </c:pt>
                <c:pt idx="5">
                  <c:v>29</c:v>
                </c:pt>
                <c:pt idx="6">
                  <c:v>38</c:v>
                </c:pt>
                <c:pt idx="7">
                  <c:v>33</c:v>
                </c:pt>
                <c:pt idx="8">
                  <c:v>34</c:v>
                </c:pt>
                <c:pt idx="9">
                  <c:v>59</c:v>
                </c:pt>
                <c:pt idx="10">
                  <c:v>42</c:v>
                </c:pt>
                <c:pt idx="11">
                  <c:v>46</c:v>
                </c:pt>
                <c:pt idx="12">
                  <c:v>79</c:v>
                </c:pt>
                <c:pt idx="13">
                  <c:v>24</c:v>
                </c:pt>
                <c:pt idx="14" formatCode="0">
                  <c:v>33.021419788316948</c:v>
                </c:pt>
                <c:pt idx="15" formatCode="0">
                  <c:v>66.601427985887796</c:v>
                </c:pt>
                <c:pt idx="16" formatCode="0.0">
                  <c:v>29.742840573556929</c:v>
                </c:pt>
                <c:pt idx="17" formatCode="0.0">
                  <c:v>39.799999999999997</c:v>
                </c:pt>
                <c:pt idx="18" formatCode="0.0">
                  <c:v>34.200000000000003</c:v>
                </c:pt>
                <c:pt idx="19" formatCode="0.0">
                  <c:v>28.3</c:v>
                </c:pt>
                <c:pt idx="20" formatCode="0.0">
                  <c:v>33.700000000000003</c:v>
                </c:pt>
                <c:pt idx="21" formatCode="0.0">
                  <c:v>53.4</c:v>
                </c:pt>
                <c:pt idx="22" formatCode="0.0">
                  <c:v>71.400000000000006</c:v>
                </c:pt>
                <c:pt idx="23" formatCode="0.0">
                  <c:v>25</c:v>
                </c:pt>
                <c:pt idx="24" formatCode="0.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F-4055-B9F3-997DC2FD8AB5}"/>
            </c:ext>
          </c:extLst>
        </c:ser>
        <c:ser>
          <c:idx val="3"/>
          <c:order val="1"/>
          <c:tx>
            <c:strRef>
              <c:f>'Annual Reservoir Trends'!$B$16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Trends'!$C$16:$AA$16</c:f>
              <c:numCache>
                <c:formatCode>#,##0</c:formatCode>
                <c:ptCount val="25"/>
                <c:pt idx="0">
                  <c:v>270</c:v>
                </c:pt>
                <c:pt idx="1">
                  <c:v>201</c:v>
                </c:pt>
                <c:pt idx="2">
                  <c:v>240</c:v>
                </c:pt>
                <c:pt idx="3">
                  <c:v>99</c:v>
                </c:pt>
                <c:pt idx="4">
                  <c:v>52</c:v>
                </c:pt>
                <c:pt idx="5">
                  <c:v>66</c:v>
                </c:pt>
                <c:pt idx="6">
                  <c:v>86</c:v>
                </c:pt>
                <c:pt idx="7">
                  <c:v>69</c:v>
                </c:pt>
                <c:pt idx="8">
                  <c:v>54</c:v>
                </c:pt>
                <c:pt idx="9">
                  <c:v>56</c:v>
                </c:pt>
                <c:pt idx="10">
                  <c:v>64</c:v>
                </c:pt>
                <c:pt idx="11">
                  <c:v>56</c:v>
                </c:pt>
                <c:pt idx="12">
                  <c:v>56</c:v>
                </c:pt>
                <c:pt idx="13">
                  <c:v>44</c:v>
                </c:pt>
                <c:pt idx="14" formatCode="0">
                  <c:v>47.091899981300472</c:v>
                </c:pt>
                <c:pt idx="15" formatCode="0">
                  <c:v>97.33945999875337</c:v>
                </c:pt>
                <c:pt idx="16" formatCode="0.0">
                  <c:v>30.821478699787626</c:v>
                </c:pt>
                <c:pt idx="17" formatCode="0.0">
                  <c:v>62.2</c:v>
                </c:pt>
                <c:pt idx="18" formatCode="0.0">
                  <c:v>35.299999999999997</c:v>
                </c:pt>
                <c:pt idx="19" formatCode="0.0">
                  <c:v>38.9</c:v>
                </c:pt>
                <c:pt idx="20" formatCode="0.0">
                  <c:v>47.9</c:v>
                </c:pt>
                <c:pt idx="21" formatCode="0.0">
                  <c:v>69.8</c:v>
                </c:pt>
                <c:pt idx="22" formatCode="0.0">
                  <c:v>59.8</c:v>
                </c:pt>
                <c:pt idx="23" formatCode="0.0">
                  <c:v>36</c:v>
                </c:pt>
                <c:pt idx="24" formatCode="0.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F-4055-B9F3-997DC2FD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4969344"/>
        <c:axId val="104970880"/>
      </c:barChart>
      <c:dateAx>
        <c:axId val="104969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70880"/>
        <c:crosses val="autoZero"/>
        <c:auto val="0"/>
        <c:lblOffset val="100"/>
        <c:baseTimeUnit val="days"/>
        <c:majorUnit val="1"/>
        <c:minorUnit val="1"/>
      </c:dateAx>
      <c:valAx>
        <c:axId val="1049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934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6907201279483204"/>
          <c:y val="0.24999944936952806"/>
          <c:w val="0.36999316691253009"/>
          <c:h val="7.2863204275631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2015 Reservoir Inflow [Ac-Ft Per Month] </a:t>
            </a:r>
          </a:p>
        </c:rich>
      </c:tx>
      <c:layout>
        <c:manualLayout>
          <c:xMode val="edge"/>
          <c:yMode val="edge"/>
          <c:x val="0.34678298800439816"/>
          <c:y val="3.2608695652176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85444401517969"/>
          <c:y val="0.10597826086956515"/>
          <c:w val="0.88115677757209077"/>
          <c:h val="0.75000000000001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'Monthly Discharge'!$A$20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Discharge'!$B$20:$M$20</c:f>
              <c:numCache>
                <c:formatCode>#,##0.0</c:formatCode>
                <c:ptCount val="12"/>
                <c:pt idx="0">
                  <c:v>152.45303999999999</c:v>
                </c:pt>
                <c:pt idx="1">
                  <c:v>135.71652</c:v>
                </c:pt>
                <c:pt idx="2">
                  <c:v>192.41048999999998</c:v>
                </c:pt>
                <c:pt idx="3">
                  <c:v>2480.7330000000002</c:v>
                </c:pt>
                <c:pt idx="4">
                  <c:v>22130.28</c:v>
                </c:pt>
                <c:pt idx="5">
                  <c:v>8804.52</c:v>
                </c:pt>
                <c:pt idx="6">
                  <c:v>1413.8790000000001</c:v>
                </c:pt>
                <c:pt idx="7">
                  <c:v>344.55616500000002</c:v>
                </c:pt>
                <c:pt idx="8">
                  <c:v>45.212400000000002</c:v>
                </c:pt>
                <c:pt idx="9">
                  <c:v>98.356800000000021</c:v>
                </c:pt>
                <c:pt idx="10">
                  <c:v>29.745000000000001</c:v>
                </c:pt>
                <c:pt idx="11">
                  <c:v>196.71360000000004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7-4FB0-A02D-6758BCFC8A1E}"/>
            </c:ext>
          </c:extLst>
        </c:ser>
        <c:ser>
          <c:idx val="1"/>
          <c:order val="1"/>
          <c:tx>
            <c:strRef>
              <c:f>'Monthly Discharge'!$A$21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Discharge'!$B$21:$M$21</c:f>
              <c:numCache>
                <c:formatCode>#,##0.0</c:formatCode>
                <c:ptCount val="12"/>
                <c:pt idx="0">
                  <c:v>399.5745</c:v>
                </c:pt>
                <c:pt idx="1">
                  <c:v>1207.6469999999999</c:v>
                </c:pt>
                <c:pt idx="2">
                  <c:v>1413.8790000000001</c:v>
                </c:pt>
                <c:pt idx="3">
                  <c:v>3688.3800000000006</c:v>
                </c:pt>
                <c:pt idx="4">
                  <c:v>33502.785000000003</c:v>
                </c:pt>
                <c:pt idx="5">
                  <c:v>27960.3</c:v>
                </c:pt>
                <c:pt idx="6">
                  <c:v>8790.639000000001</c:v>
                </c:pt>
                <c:pt idx="7">
                  <c:v>2458.92</c:v>
                </c:pt>
                <c:pt idx="8">
                  <c:v>623.57417999999996</c:v>
                </c:pt>
                <c:pt idx="9">
                  <c:v>475.26825400000013</c:v>
                </c:pt>
                <c:pt idx="10">
                  <c:v>416.43</c:v>
                </c:pt>
                <c:pt idx="11">
                  <c:v>1967.1360000000002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711616"/>
        <c:axId val="99721600"/>
      </c:barChart>
      <c:lineChart>
        <c:grouping val="standard"/>
        <c:varyColors val="0"/>
        <c:ser>
          <c:idx val="2"/>
          <c:order val="2"/>
          <c:tx>
            <c:strRef>
              <c:f>'Monthly Discharge'!$A$22</c:f>
              <c:strCache>
                <c:ptCount val="1"/>
                <c:pt idx="0">
                  <c:v>Total Inflow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552.02754000000004</c:v>
                </c:pt>
                <c:pt idx="1">
                  <c:v>1343.3635199999999</c:v>
                </c:pt>
                <c:pt idx="2">
                  <c:v>1606.2894900000001</c:v>
                </c:pt>
                <c:pt idx="3">
                  <c:v>6169.1130000000012</c:v>
                </c:pt>
                <c:pt idx="4">
                  <c:v>55633.065000000002</c:v>
                </c:pt>
                <c:pt idx="5">
                  <c:v>36764.82</c:v>
                </c:pt>
                <c:pt idx="6">
                  <c:v>10204.518000000002</c:v>
                </c:pt>
                <c:pt idx="7">
                  <c:v>2803.476165</c:v>
                </c:pt>
                <c:pt idx="8">
                  <c:v>668.78657999999996</c:v>
                </c:pt>
                <c:pt idx="9">
                  <c:v>573.62505400000009</c:v>
                </c:pt>
                <c:pt idx="10">
                  <c:v>446.17500000000001</c:v>
                </c:pt>
                <c:pt idx="11">
                  <c:v>2163.8496000000005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1616"/>
        <c:axId val="99721600"/>
      </c:lineChart>
      <c:catAx>
        <c:axId val="99711616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Monthly Inflow Acre-Feet</a:t>
                </a:r>
              </a:p>
            </c:rich>
          </c:tx>
          <c:layout>
            <c:manualLayout>
              <c:xMode val="edge"/>
              <c:yMode val="edge"/>
              <c:x val="1.0043103415451501E-2"/>
              <c:y val="0.2119565691996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161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Estimated Bear Creek Reservoir Inflow (Acre-Ft/Year)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88723430296601"/>
          <c:y val="0.11790411519660959"/>
          <c:w val="0.84641436497898903"/>
          <c:h val="0.71737165949157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'Monthly Discharge'!$B$55</c:f>
              <c:strCache>
                <c:ptCount val="1"/>
                <c:pt idx="0">
                  <c:v>Total Reservoir Inflow (Acre-Ft/Year)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'Monthly Discharge'!$A$56:$A$84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'Monthly Discharge'!$B$56:$B$84</c:f>
              <c:numCache>
                <c:formatCode>#,##0</c:formatCode>
                <c:ptCount val="29"/>
                <c:pt idx="0">
                  <c:v>61594.954499999993</c:v>
                </c:pt>
                <c:pt idx="1">
                  <c:v>26201.379000000001</c:v>
                </c:pt>
                <c:pt idx="2">
                  <c:v>7527.4679999999998</c:v>
                </c:pt>
                <c:pt idx="3">
                  <c:v>20266.259999999998</c:v>
                </c:pt>
                <c:pt idx="4">
                  <c:v>25694.7225</c:v>
                </c:pt>
                <c:pt idx="5">
                  <c:v>18384.392999999996</c:v>
                </c:pt>
                <c:pt idx="6">
                  <c:v>11291.201999999999</c:v>
                </c:pt>
                <c:pt idx="7">
                  <c:v>13173.069</c:v>
                </c:pt>
                <c:pt idx="8">
                  <c:v>69556.699499999988</c:v>
                </c:pt>
                <c:pt idx="9">
                  <c:v>22654.783499999998</c:v>
                </c:pt>
                <c:pt idx="10">
                  <c:v>38071.616999999998</c:v>
                </c:pt>
                <c:pt idx="11">
                  <c:v>69122.422500000001</c:v>
                </c:pt>
                <c:pt idx="12">
                  <c:v>52692.275999999998</c:v>
                </c:pt>
                <c:pt idx="13">
                  <c:v>13173.069</c:v>
                </c:pt>
                <c:pt idx="14">
                  <c:v>15134.171499999999</c:v>
                </c:pt>
                <c:pt idx="15">
                  <c:v>4248.6766499999994</c:v>
                </c:pt>
                <c:pt idx="16">
                  <c:v>21641.470499999999</c:v>
                </c:pt>
                <c:pt idx="17">
                  <c:v>20924.913449999996</c:v>
                </c:pt>
                <c:pt idx="18">
                  <c:v>36624.026999999995</c:v>
                </c:pt>
                <c:pt idx="19">
                  <c:v>8497.4680000000008</c:v>
                </c:pt>
                <c:pt idx="20">
                  <c:v>56500</c:v>
                </c:pt>
                <c:pt idx="21">
                  <c:v>19400</c:v>
                </c:pt>
                <c:pt idx="22">
                  <c:v>25943</c:v>
                </c:pt>
                <c:pt idx="23">
                  <c:v>29007</c:v>
                </c:pt>
                <c:pt idx="24">
                  <c:v>9432</c:v>
                </c:pt>
                <c:pt idx="25">
                  <c:v>5868</c:v>
                </c:pt>
                <c:pt idx="26">
                  <c:v>42275</c:v>
                </c:pt>
                <c:pt idx="27">
                  <c:v>32941</c:v>
                </c:pt>
                <c:pt idx="28">
                  <c:v>118929.10894900002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1-4C88-A0C4-0324637A3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07520"/>
        <c:axId val="114109056"/>
      </c:barChart>
      <c:catAx>
        <c:axId val="1141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 Per Year</a:t>
                </a:r>
              </a:p>
            </c:rich>
          </c:tx>
          <c:layout>
            <c:manualLayout>
              <c:xMode val="edge"/>
              <c:yMode val="edge"/>
              <c:x val="8.1844206002747062E-3"/>
              <c:y val="0.23232644751892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7520"/>
        <c:crosses val="autoZero"/>
        <c:crossBetween val="between"/>
        <c:majorUnit val="20000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Bear Creek Reservoir 2015 In-Flow Estimates</a:t>
            </a:r>
          </a:p>
        </c:rich>
      </c:tx>
      <c:layout>
        <c:manualLayout>
          <c:xMode val="edge"/>
          <c:yMode val="edge"/>
          <c:x val="0.29159713111771834"/>
          <c:y val="5.15789452308766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Discharge'!$A$20</c:f>
              <c:strCache>
                <c:ptCount val="1"/>
                <c:pt idx="0">
                  <c:v>Turkey Creek Inflow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'Monthly Discharge'!$B$19:$M$19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Discharge'!$B$20:$M$20</c:f>
              <c:numCache>
                <c:formatCode>#,##0.0</c:formatCode>
                <c:ptCount val="12"/>
                <c:pt idx="0">
                  <c:v>152.45303999999999</c:v>
                </c:pt>
                <c:pt idx="1">
                  <c:v>135.71652</c:v>
                </c:pt>
                <c:pt idx="2">
                  <c:v>192.41048999999998</c:v>
                </c:pt>
                <c:pt idx="3">
                  <c:v>2480.7330000000002</c:v>
                </c:pt>
                <c:pt idx="4">
                  <c:v>22130.28</c:v>
                </c:pt>
                <c:pt idx="5">
                  <c:v>8804.52</c:v>
                </c:pt>
                <c:pt idx="6">
                  <c:v>1413.8790000000001</c:v>
                </c:pt>
                <c:pt idx="7">
                  <c:v>344.55616500000002</c:v>
                </c:pt>
                <c:pt idx="8">
                  <c:v>45.212400000000002</c:v>
                </c:pt>
                <c:pt idx="9">
                  <c:v>98.356800000000021</c:v>
                </c:pt>
                <c:pt idx="10">
                  <c:v>29.745000000000001</c:v>
                </c:pt>
                <c:pt idx="11">
                  <c:v>196.71360000000004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E-490A-8EE5-A097B7133A6F}"/>
            </c:ext>
          </c:extLst>
        </c:ser>
        <c:ser>
          <c:idx val="1"/>
          <c:order val="1"/>
          <c:tx>
            <c:strRef>
              <c:f>'Monthly Discharge'!$A$21</c:f>
              <c:strCache>
                <c:ptCount val="1"/>
                <c:pt idx="0">
                  <c:v>Bear Creek Inflow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'Monthly Discharge'!$B$19:$M$19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Discharge'!$B$21:$M$21</c:f>
              <c:numCache>
                <c:formatCode>#,##0.0</c:formatCode>
                <c:ptCount val="12"/>
                <c:pt idx="0">
                  <c:v>399.5745</c:v>
                </c:pt>
                <c:pt idx="1">
                  <c:v>1207.6469999999999</c:v>
                </c:pt>
                <c:pt idx="2">
                  <c:v>1413.8790000000001</c:v>
                </c:pt>
                <c:pt idx="3">
                  <c:v>3688.3800000000006</c:v>
                </c:pt>
                <c:pt idx="4">
                  <c:v>33502.785000000003</c:v>
                </c:pt>
                <c:pt idx="5">
                  <c:v>27960.3</c:v>
                </c:pt>
                <c:pt idx="6">
                  <c:v>8790.639000000001</c:v>
                </c:pt>
                <c:pt idx="7">
                  <c:v>2458.92</c:v>
                </c:pt>
                <c:pt idx="8">
                  <c:v>623.57417999999996</c:v>
                </c:pt>
                <c:pt idx="9">
                  <c:v>475.26825400000013</c:v>
                </c:pt>
                <c:pt idx="10">
                  <c:v>416.43</c:v>
                </c:pt>
                <c:pt idx="11">
                  <c:v>1967.1360000000002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E-490A-8EE5-A097B713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46304"/>
        <c:axId val="114148096"/>
      </c:barChart>
      <c:catAx>
        <c:axId val="11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4148096"/>
        <c:crosses val="autoZero"/>
        <c:auto val="1"/>
        <c:lblAlgn val="ctr"/>
        <c:lblOffset val="100"/>
        <c:noMultiLvlLbl val="0"/>
      </c:catAx>
      <c:valAx>
        <c:axId val="11414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Acre-feet/month</a:t>
                </a:r>
              </a:p>
            </c:rich>
          </c:tx>
          <c:layout>
            <c:manualLayout>
              <c:xMode val="edge"/>
              <c:yMode val="edge"/>
              <c:x val="6.6553493287305393E-2"/>
              <c:y val="0.27132903972945144"/>
            </c:manualLayout>
          </c:layout>
          <c:overlay val="0"/>
        </c:title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14146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/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1000"/>
            <c:dispRSqr val="1"/>
            <c:dispEq val="1"/>
            <c:trendlineLbl>
              <c:layout>
                <c:manualLayout>
                  <c:x val="-0.11603507870010829"/>
                  <c:y val="0.150855900864507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trendline>
            <c:trendlineType val="exp"/>
            <c:dispRSqr val="0"/>
            <c:dispEq val="0"/>
          </c:trendline>
          <c:xVal>
            <c:numRef>
              <c:f>'Monthly Discharge'!$L$113:$L$139</c:f>
              <c:numCache>
                <c:formatCode>#,##0</c:formatCode>
                <c:ptCount val="27"/>
                <c:pt idx="0">
                  <c:v>44.4</c:v>
                </c:pt>
                <c:pt idx="1">
                  <c:v>46</c:v>
                </c:pt>
                <c:pt idx="2">
                  <c:v>46.1</c:v>
                </c:pt>
                <c:pt idx="3">
                  <c:v>44.2</c:v>
                </c:pt>
                <c:pt idx="4">
                  <c:v>42.6</c:v>
                </c:pt>
                <c:pt idx="5">
                  <c:v>39.4</c:v>
                </c:pt>
                <c:pt idx="6">
                  <c:v>36.1</c:v>
                </c:pt>
                <c:pt idx="7">
                  <c:v>36.299999999999997</c:v>
                </c:pt>
                <c:pt idx="8">
                  <c:v>48</c:v>
                </c:pt>
                <c:pt idx="9">
                  <c:v>132</c:v>
                </c:pt>
                <c:pt idx="10">
                  <c:v>391</c:v>
                </c:pt>
                <c:pt idx="11">
                  <c:v>405</c:v>
                </c:pt>
                <c:pt idx="12">
                  <c:v>845.3</c:v>
                </c:pt>
                <c:pt idx="13">
                  <c:v>747</c:v>
                </c:pt>
                <c:pt idx="14">
                  <c:v>551</c:v>
                </c:pt>
                <c:pt idx="15">
                  <c:v>427</c:v>
                </c:pt>
                <c:pt idx="16">
                  <c:v>345</c:v>
                </c:pt>
                <c:pt idx="17">
                  <c:v>315</c:v>
                </c:pt>
                <c:pt idx="18">
                  <c:v>248</c:v>
                </c:pt>
                <c:pt idx="19">
                  <c:v>216</c:v>
                </c:pt>
                <c:pt idx="20">
                  <c:v>191</c:v>
                </c:pt>
                <c:pt idx="21">
                  <c:v>188</c:v>
                </c:pt>
                <c:pt idx="22">
                  <c:v>183</c:v>
                </c:pt>
                <c:pt idx="23">
                  <c:v>160</c:v>
                </c:pt>
                <c:pt idx="24">
                  <c:v>146</c:v>
                </c:pt>
                <c:pt idx="25">
                  <c:v>1000</c:v>
                </c:pt>
                <c:pt idx="26">
                  <c:v>1800</c:v>
                </c:pt>
              </c:numCache>
            </c:numRef>
          </c:xVal>
          <c:yVal>
            <c:numRef>
              <c:f>'Monthly Discharge'!$M$113:$M$139</c:f>
              <c:numCache>
                <c:formatCode>#,##0</c:formatCode>
                <c:ptCount val="27"/>
                <c:pt idx="0">
                  <c:v>6.33</c:v>
                </c:pt>
                <c:pt idx="1">
                  <c:v>6.34</c:v>
                </c:pt>
                <c:pt idx="2">
                  <c:v>6.34</c:v>
                </c:pt>
                <c:pt idx="3">
                  <c:v>6.33</c:v>
                </c:pt>
                <c:pt idx="4">
                  <c:v>6.31</c:v>
                </c:pt>
                <c:pt idx="5">
                  <c:v>6.28</c:v>
                </c:pt>
                <c:pt idx="6">
                  <c:v>6.24</c:v>
                </c:pt>
                <c:pt idx="7">
                  <c:v>6.24</c:v>
                </c:pt>
                <c:pt idx="8">
                  <c:v>6.31</c:v>
                </c:pt>
                <c:pt idx="9">
                  <c:v>6.8</c:v>
                </c:pt>
                <c:pt idx="10">
                  <c:v>7.34</c:v>
                </c:pt>
                <c:pt idx="11">
                  <c:v>7.68</c:v>
                </c:pt>
                <c:pt idx="12">
                  <c:v>7.91</c:v>
                </c:pt>
                <c:pt idx="13">
                  <c:v>7.75</c:v>
                </c:pt>
                <c:pt idx="14">
                  <c:v>7.58</c:v>
                </c:pt>
                <c:pt idx="15">
                  <c:v>7.44</c:v>
                </c:pt>
                <c:pt idx="16">
                  <c:v>7.32</c:v>
                </c:pt>
                <c:pt idx="17">
                  <c:v>7.27</c:v>
                </c:pt>
                <c:pt idx="18">
                  <c:v>7.15</c:v>
                </c:pt>
                <c:pt idx="19">
                  <c:v>7.08</c:v>
                </c:pt>
                <c:pt idx="20">
                  <c:v>7.02</c:v>
                </c:pt>
                <c:pt idx="21">
                  <c:v>6.98</c:v>
                </c:pt>
                <c:pt idx="22">
                  <c:v>6.95</c:v>
                </c:pt>
                <c:pt idx="23">
                  <c:v>6.88</c:v>
                </c:pt>
                <c:pt idx="24">
                  <c:v>6.84</c:v>
                </c:pt>
                <c:pt idx="25">
                  <c:v>8</c:v>
                </c:pt>
                <c:pt idx="2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B9-42C3-9A34-F3D188C4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44288"/>
        <c:axId val="114054272"/>
      </c:scatterChart>
      <c:valAx>
        <c:axId val="114044288"/>
        <c:scaling>
          <c:orientation val="minMax"/>
        </c:scaling>
        <c:delete val="0"/>
        <c:axPos val="b"/>
        <c:minorGridlines/>
        <c:numFmt formatCode="#,##0" sourceLinked="1"/>
        <c:majorTickMark val="out"/>
        <c:minorTickMark val="none"/>
        <c:tickLblPos val="nextTo"/>
        <c:crossAx val="114054272"/>
        <c:crosses val="autoZero"/>
        <c:crossBetween val="midCat"/>
      </c:valAx>
      <c:valAx>
        <c:axId val="114054272"/>
        <c:scaling>
          <c:orientation val="minMax"/>
          <c:max val="10"/>
          <c:min val="6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140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BCR Flood Stage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'Monthly Discharge'!$AW$3:$AW$378</c:f>
              <c:numCache>
                <c:formatCode>m/d/yyyy</c:formatCode>
                <c:ptCount val="376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</c:numCache>
            </c:numRef>
          </c:cat>
          <c:val>
            <c:numRef>
              <c:f>'Monthly Discharge'!$AX$3:$AX$378</c:f>
              <c:numCache>
                <c:formatCode>#,##0</c:formatCode>
                <c:ptCount val="376"/>
                <c:pt idx="0">
                  <c:v>1931</c:v>
                </c:pt>
                <c:pt idx="1">
                  <c:v>1938</c:v>
                </c:pt>
                <c:pt idx="2">
                  <c:v>1940</c:v>
                </c:pt>
                <c:pt idx="3">
                  <c:v>1940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1946</c:v>
                </c:pt>
                <c:pt idx="8">
                  <c:v>1944</c:v>
                </c:pt>
                <c:pt idx="9">
                  <c:v>1942</c:v>
                </c:pt>
                <c:pt idx="10">
                  <c:v>1942</c:v>
                </c:pt>
                <c:pt idx="11">
                  <c:v>1941</c:v>
                </c:pt>
                <c:pt idx="12">
                  <c:v>1940</c:v>
                </c:pt>
                <c:pt idx="13">
                  <c:v>1940</c:v>
                </c:pt>
                <c:pt idx="14">
                  <c:v>1937</c:v>
                </c:pt>
                <c:pt idx="15">
                  <c:v>1939</c:v>
                </c:pt>
                <c:pt idx="16">
                  <c:v>1938</c:v>
                </c:pt>
                <c:pt idx="17">
                  <c:v>1938</c:v>
                </c:pt>
                <c:pt idx="18">
                  <c:v>1940</c:v>
                </c:pt>
                <c:pt idx="19">
                  <c:v>1940</c:v>
                </c:pt>
                <c:pt idx="20">
                  <c:v>1939</c:v>
                </c:pt>
                <c:pt idx="21">
                  <c:v>1934</c:v>
                </c:pt>
                <c:pt idx="22">
                  <c:v>1935</c:v>
                </c:pt>
                <c:pt idx="23">
                  <c:v>1940</c:v>
                </c:pt>
                <c:pt idx="24">
                  <c:v>1939</c:v>
                </c:pt>
                <c:pt idx="25">
                  <c:v>1942</c:v>
                </c:pt>
                <c:pt idx="26">
                  <c:v>1943</c:v>
                </c:pt>
                <c:pt idx="27">
                  <c:v>1943</c:v>
                </c:pt>
                <c:pt idx="28">
                  <c:v>1943</c:v>
                </c:pt>
                <c:pt idx="29">
                  <c:v>1942</c:v>
                </c:pt>
                <c:pt idx="30">
                  <c:v>1941</c:v>
                </c:pt>
                <c:pt idx="31">
                  <c:v>1939</c:v>
                </c:pt>
                <c:pt idx="32">
                  <c:v>1937</c:v>
                </c:pt>
                <c:pt idx="33">
                  <c:v>1939</c:v>
                </c:pt>
                <c:pt idx="34">
                  <c:v>1941</c:v>
                </c:pt>
                <c:pt idx="35">
                  <c:v>1940</c:v>
                </c:pt>
                <c:pt idx="36">
                  <c:v>1940</c:v>
                </c:pt>
                <c:pt idx="37">
                  <c:v>1941</c:v>
                </c:pt>
                <c:pt idx="38">
                  <c:v>1945</c:v>
                </c:pt>
                <c:pt idx="39">
                  <c:v>1945</c:v>
                </c:pt>
                <c:pt idx="40">
                  <c:v>1943</c:v>
                </c:pt>
                <c:pt idx="41">
                  <c:v>1948</c:v>
                </c:pt>
                <c:pt idx="42">
                  <c:v>1946</c:v>
                </c:pt>
                <c:pt idx="43">
                  <c:v>1944</c:v>
                </c:pt>
                <c:pt idx="44">
                  <c:v>1946</c:v>
                </c:pt>
                <c:pt idx="45">
                  <c:v>1944</c:v>
                </c:pt>
                <c:pt idx="46">
                  <c:v>1945</c:v>
                </c:pt>
                <c:pt idx="47">
                  <c:v>1938</c:v>
                </c:pt>
                <c:pt idx="48">
                  <c:v>1940</c:v>
                </c:pt>
                <c:pt idx="49">
                  <c:v>1948</c:v>
                </c:pt>
                <c:pt idx="50">
                  <c:v>1949</c:v>
                </c:pt>
                <c:pt idx="51">
                  <c:v>1948</c:v>
                </c:pt>
                <c:pt idx="52">
                  <c:v>1940</c:v>
                </c:pt>
                <c:pt idx="53">
                  <c:v>1933</c:v>
                </c:pt>
                <c:pt idx="54">
                  <c:v>1938</c:v>
                </c:pt>
                <c:pt idx="55">
                  <c:v>1947</c:v>
                </c:pt>
                <c:pt idx="56">
                  <c:v>1946</c:v>
                </c:pt>
                <c:pt idx="57">
                  <c:v>1942</c:v>
                </c:pt>
                <c:pt idx="58">
                  <c:v>1937</c:v>
                </c:pt>
                <c:pt idx="59">
                  <c:v>1939</c:v>
                </c:pt>
                <c:pt idx="60">
                  <c:v>1941</c:v>
                </c:pt>
                <c:pt idx="61">
                  <c:v>1945</c:v>
                </c:pt>
                <c:pt idx="62">
                  <c:v>1943</c:v>
                </c:pt>
                <c:pt idx="63">
                  <c:v>1937</c:v>
                </c:pt>
                <c:pt idx="64">
                  <c:v>1940</c:v>
                </c:pt>
                <c:pt idx="65">
                  <c:v>1946</c:v>
                </c:pt>
                <c:pt idx="66">
                  <c:v>1954</c:v>
                </c:pt>
                <c:pt idx="67">
                  <c:v>1956</c:v>
                </c:pt>
                <c:pt idx="68">
                  <c:v>1960</c:v>
                </c:pt>
                <c:pt idx="69">
                  <c:v>1962</c:v>
                </c:pt>
                <c:pt idx="70">
                  <c:v>1967</c:v>
                </c:pt>
                <c:pt idx="71">
                  <c:v>1971</c:v>
                </c:pt>
                <c:pt idx="72">
                  <c:v>1972</c:v>
                </c:pt>
                <c:pt idx="73">
                  <c:v>1970</c:v>
                </c:pt>
                <c:pt idx="74">
                  <c:v>1967</c:v>
                </c:pt>
                <c:pt idx="75">
                  <c:v>1958</c:v>
                </c:pt>
                <c:pt idx="76">
                  <c:v>1951</c:v>
                </c:pt>
                <c:pt idx="77">
                  <c:v>1948</c:v>
                </c:pt>
                <c:pt idx="78">
                  <c:v>1944</c:v>
                </c:pt>
                <c:pt idx="79">
                  <c:v>1937</c:v>
                </c:pt>
                <c:pt idx="80">
                  <c:v>1939</c:v>
                </c:pt>
                <c:pt idx="81">
                  <c:v>1943</c:v>
                </c:pt>
                <c:pt idx="82">
                  <c:v>1949</c:v>
                </c:pt>
                <c:pt idx="83">
                  <c:v>1951</c:v>
                </c:pt>
                <c:pt idx="84">
                  <c:v>1950</c:v>
                </c:pt>
                <c:pt idx="85">
                  <c:v>1954</c:v>
                </c:pt>
                <c:pt idx="86">
                  <c:v>1961</c:v>
                </c:pt>
                <c:pt idx="87">
                  <c:v>1963</c:v>
                </c:pt>
                <c:pt idx="88">
                  <c:v>1962</c:v>
                </c:pt>
                <c:pt idx="89">
                  <c:v>1959</c:v>
                </c:pt>
                <c:pt idx="90">
                  <c:v>1955</c:v>
                </c:pt>
                <c:pt idx="91">
                  <c:v>1956</c:v>
                </c:pt>
                <c:pt idx="92">
                  <c:v>1957</c:v>
                </c:pt>
                <c:pt idx="93">
                  <c:v>1961</c:v>
                </c:pt>
                <c:pt idx="94">
                  <c:v>1957</c:v>
                </c:pt>
                <c:pt idx="95">
                  <c:v>1953</c:v>
                </c:pt>
                <c:pt idx="96">
                  <c:v>1951</c:v>
                </c:pt>
                <c:pt idx="97">
                  <c:v>1952</c:v>
                </c:pt>
                <c:pt idx="98">
                  <c:v>1928</c:v>
                </c:pt>
                <c:pt idx="99">
                  <c:v>1951</c:v>
                </c:pt>
                <c:pt idx="100">
                  <c:v>1949</c:v>
                </c:pt>
                <c:pt idx="102">
                  <c:v>1943</c:v>
                </c:pt>
                <c:pt idx="103">
                  <c:v>1941</c:v>
                </c:pt>
                <c:pt idx="104">
                  <c:v>1941</c:v>
                </c:pt>
                <c:pt idx="105">
                  <c:v>1948</c:v>
                </c:pt>
                <c:pt idx="106">
                  <c:v>1997</c:v>
                </c:pt>
                <c:pt idx="107">
                  <c:v>2002</c:v>
                </c:pt>
                <c:pt idx="108">
                  <c:v>2008</c:v>
                </c:pt>
                <c:pt idx="109">
                  <c:v>2000</c:v>
                </c:pt>
                <c:pt idx="110">
                  <c:v>2008</c:v>
                </c:pt>
                <c:pt idx="111">
                  <c:v>2023</c:v>
                </c:pt>
                <c:pt idx="112">
                  <c:v>2053</c:v>
                </c:pt>
                <c:pt idx="113">
                  <c:v>2068</c:v>
                </c:pt>
                <c:pt idx="114">
                  <c:v>2061</c:v>
                </c:pt>
                <c:pt idx="115">
                  <c:v>2076</c:v>
                </c:pt>
                <c:pt idx="116">
                  <c:v>2119</c:v>
                </c:pt>
                <c:pt idx="117">
                  <c:v>2102</c:v>
                </c:pt>
                <c:pt idx="118">
                  <c:v>2100</c:v>
                </c:pt>
                <c:pt idx="119">
                  <c:v>2106</c:v>
                </c:pt>
                <c:pt idx="120">
                  <c:v>2122</c:v>
                </c:pt>
                <c:pt idx="121">
                  <c:v>2198</c:v>
                </c:pt>
                <c:pt idx="122">
                  <c:v>2227</c:v>
                </c:pt>
                <c:pt idx="123">
                  <c:v>2261</c:v>
                </c:pt>
                <c:pt idx="124">
                  <c:v>2691</c:v>
                </c:pt>
                <c:pt idx="125">
                  <c:v>3280</c:v>
                </c:pt>
                <c:pt idx="126">
                  <c:v>3777</c:v>
                </c:pt>
                <c:pt idx="127">
                  <c:v>4208</c:v>
                </c:pt>
                <c:pt idx="128">
                  <c:v>5259</c:v>
                </c:pt>
                <c:pt idx="129">
                  <c:v>7167</c:v>
                </c:pt>
                <c:pt idx="130">
                  <c:v>8567</c:v>
                </c:pt>
                <c:pt idx="131">
                  <c:v>9495</c:v>
                </c:pt>
                <c:pt idx="132">
                  <c:v>10018</c:v>
                </c:pt>
                <c:pt idx="133">
                  <c:v>10305</c:v>
                </c:pt>
                <c:pt idx="134">
                  <c:v>10391</c:v>
                </c:pt>
                <c:pt idx="135">
                  <c:v>10337</c:v>
                </c:pt>
                <c:pt idx="136">
                  <c:v>10175</c:v>
                </c:pt>
                <c:pt idx="137">
                  <c:v>9959</c:v>
                </c:pt>
                <c:pt idx="138">
                  <c:v>10121</c:v>
                </c:pt>
                <c:pt idx="139">
                  <c:v>10623</c:v>
                </c:pt>
                <c:pt idx="140">
                  <c:v>10921</c:v>
                </c:pt>
                <c:pt idx="141">
                  <c:v>11181</c:v>
                </c:pt>
                <c:pt idx="142">
                  <c:v>11554</c:v>
                </c:pt>
                <c:pt idx="143">
                  <c:v>11870</c:v>
                </c:pt>
                <c:pt idx="144">
                  <c:v>12107</c:v>
                </c:pt>
                <c:pt idx="145">
                  <c:v>12204</c:v>
                </c:pt>
                <c:pt idx="146">
                  <c:v>12178</c:v>
                </c:pt>
                <c:pt idx="147">
                  <c:v>12090</c:v>
                </c:pt>
                <c:pt idx="148">
                  <c:v>11949</c:v>
                </c:pt>
                <c:pt idx="149">
                  <c:v>11754</c:v>
                </c:pt>
                <c:pt idx="150">
                  <c:v>11446</c:v>
                </c:pt>
                <c:pt idx="151">
                  <c:v>11104</c:v>
                </c:pt>
                <c:pt idx="152">
                  <c:v>10763</c:v>
                </c:pt>
                <c:pt idx="153">
                  <c:v>10402</c:v>
                </c:pt>
                <c:pt idx="154">
                  <c:v>10080</c:v>
                </c:pt>
                <c:pt idx="155">
                  <c:v>9775</c:v>
                </c:pt>
                <c:pt idx="156">
                  <c:v>9641</c:v>
                </c:pt>
                <c:pt idx="157">
                  <c:v>9441</c:v>
                </c:pt>
                <c:pt idx="158">
                  <c:v>9171</c:v>
                </c:pt>
                <c:pt idx="159">
                  <c:v>8847</c:v>
                </c:pt>
                <c:pt idx="160">
                  <c:v>8561</c:v>
                </c:pt>
                <c:pt idx="161">
                  <c:v>8470</c:v>
                </c:pt>
                <c:pt idx="162">
                  <c:v>9197</c:v>
                </c:pt>
                <c:pt idx="163">
                  <c:v>9753</c:v>
                </c:pt>
                <c:pt idx="164">
                  <c:v>9692</c:v>
                </c:pt>
                <c:pt idx="165">
                  <c:v>9510</c:v>
                </c:pt>
                <c:pt idx="166">
                  <c:v>9361</c:v>
                </c:pt>
                <c:pt idx="167">
                  <c:v>9207</c:v>
                </c:pt>
                <c:pt idx="168">
                  <c:v>8975</c:v>
                </c:pt>
                <c:pt idx="169">
                  <c:v>8694</c:v>
                </c:pt>
                <c:pt idx="170">
                  <c:v>8347</c:v>
                </c:pt>
                <c:pt idx="171">
                  <c:v>7942</c:v>
                </c:pt>
                <c:pt idx="172">
                  <c:v>7518</c:v>
                </c:pt>
                <c:pt idx="173">
                  <c:v>7285</c:v>
                </c:pt>
                <c:pt idx="174">
                  <c:v>7053</c:v>
                </c:pt>
                <c:pt idx="175">
                  <c:v>6828</c:v>
                </c:pt>
                <c:pt idx="176">
                  <c:v>6576</c:v>
                </c:pt>
                <c:pt idx="177">
                  <c:v>6285</c:v>
                </c:pt>
                <c:pt idx="178">
                  <c:v>5965</c:v>
                </c:pt>
                <c:pt idx="179">
                  <c:v>5636</c:v>
                </c:pt>
                <c:pt idx="180">
                  <c:v>5280</c:v>
                </c:pt>
                <c:pt idx="181">
                  <c:v>4913</c:v>
                </c:pt>
                <c:pt idx="182">
                  <c:v>4656</c:v>
                </c:pt>
                <c:pt idx="183">
                  <c:v>4553</c:v>
                </c:pt>
                <c:pt idx="184">
                  <c:v>4428</c:v>
                </c:pt>
                <c:pt idx="185">
                  <c:v>4301</c:v>
                </c:pt>
                <c:pt idx="186">
                  <c:v>4210</c:v>
                </c:pt>
                <c:pt idx="187">
                  <c:v>4170</c:v>
                </c:pt>
                <c:pt idx="188">
                  <c:v>4183</c:v>
                </c:pt>
                <c:pt idx="189">
                  <c:v>4317</c:v>
                </c:pt>
                <c:pt idx="190">
                  <c:v>4392</c:v>
                </c:pt>
                <c:pt idx="191">
                  <c:v>4409</c:v>
                </c:pt>
                <c:pt idx="192">
                  <c:v>4361</c:v>
                </c:pt>
                <c:pt idx="193">
                  <c:v>4285</c:v>
                </c:pt>
                <c:pt idx="194">
                  <c:v>4272</c:v>
                </c:pt>
                <c:pt idx="195">
                  <c:v>4212</c:v>
                </c:pt>
                <c:pt idx="196">
                  <c:v>4136</c:v>
                </c:pt>
                <c:pt idx="197">
                  <c:v>4021</c:v>
                </c:pt>
                <c:pt idx="198">
                  <c:v>3877</c:v>
                </c:pt>
                <c:pt idx="199">
                  <c:v>3726</c:v>
                </c:pt>
                <c:pt idx="200">
                  <c:v>3575</c:v>
                </c:pt>
                <c:pt idx="201">
                  <c:v>3412</c:v>
                </c:pt>
                <c:pt idx="202">
                  <c:v>3270</c:v>
                </c:pt>
                <c:pt idx="203">
                  <c:v>3079</c:v>
                </c:pt>
                <c:pt idx="204">
                  <c:v>2869</c:v>
                </c:pt>
                <c:pt idx="205">
                  <c:v>2737</c:v>
                </c:pt>
                <c:pt idx="206">
                  <c:v>2606</c:v>
                </c:pt>
                <c:pt idx="207">
                  <c:v>2465</c:v>
                </c:pt>
                <c:pt idx="208">
                  <c:v>2304</c:v>
                </c:pt>
                <c:pt idx="209">
                  <c:v>2125</c:v>
                </c:pt>
                <c:pt idx="210">
                  <c:v>2012</c:v>
                </c:pt>
                <c:pt idx="211">
                  <c:v>1999</c:v>
                </c:pt>
                <c:pt idx="212">
                  <c:v>1999</c:v>
                </c:pt>
                <c:pt idx="213">
                  <c:v>1992</c:v>
                </c:pt>
                <c:pt idx="214">
                  <c:v>1992</c:v>
                </c:pt>
                <c:pt idx="215">
                  <c:v>1987</c:v>
                </c:pt>
                <c:pt idx="216">
                  <c:v>1979</c:v>
                </c:pt>
                <c:pt idx="217">
                  <c:v>1974</c:v>
                </c:pt>
                <c:pt idx="218">
                  <c:v>1970</c:v>
                </c:pt>
                <c:pt idx="219">
                  <c:v>1965</c:v>
                </c:pt>
                <c:pt idx="220">
                  <c:v>1965</c:v>
                </c:pt>
                <c:pt idx="221">
                  <c:v>1964</c:v>
                </c:pt>
                <c:pt idx="222">
                  <c:v>1979</c:v>
                </c:pt>
                <c:pt idx="223">
                  <c:v>1974</c:v>
                </c:pt>
                <c:pt idx="224">
                  <c:v>1969</c:v>
                </c:pt>
                <c:pt idx="225">
                  <c:v>1984</c:v>
                </c:pt>
                <c:pt idx="226">
                  <c:v>1974</c:v>
                </c:pt>
                <c:pt idx="227">
                  <c:v>1993</c:v>
                </c:pt>
                <c:pt idx="228">
                  <c:v>1993</c:v>
                </c:pt>
                <c:pt idx="229">
                  <c:v>1987</c:v>
                </c:pt>
                <c:pt idx="230">
                  <c:v>1974</c:v>
                </c:pt>
                <c:pt idx="231">
                  <c:v>1971</c:v>
                </c:pt>
                <c:pt idx="232">
                  <c:v>1964</c:v>
                </c:pt>
                <c:pt idx="233">
                  <c:v>1956</c:v>
                </c:pt>
                <c:pt idx="234">
                  <c:v>1952</c:v>
                </c:pt>
                <c:pt idx="235">
                  <c:v>1951</c:v>
                </c:pt>
                <c:pt idx="236">
                  <c:v>1945</c:v>
                </c:pt>
                <c:pt idx="237">
                  <c:v>1942</c:v>
                </c:pt>
                <c:pt idx="238">
                  <c:v>1941</c:v>
                </c:pt>
                <c:pt idx="239">
                  <c:v>1940</c:v>
                </c:pt>
                <c:pt idx="240">
                  <c:v>1939</c:v>
                </c:pt>
                <c:pt idx="241">
                  <c:v>1937</c:v>
                </c:pt>
                <c:pt idx="242">
                  <c:v>1934</c:v>
                </c:pt>
                <c:pt idx="243">
                  <c:v>1939</c:v>
                </c:pt>
                <c:pt idx="244">
                  <c:v>1940</c:v>
                </c:pt>
                <c:pt idx="245">
                  <c:v>1935</c:v>
                </c:pt>
                <c:pt idx="246">
                  <c:v>1934</c:v>
                </c:pt>
                <c:pt idx="247">
                  <c:v>1933</c:v>
                </c:pt>
                <c:pt idx="248">
                  <c:v>1930</c:v>
                </c:pt>
                <c:pt idx="249">
                  <c:v>1928</c:v>
                </c:pt>
                <c:pt idx="250">
                  <c:v>1927</c:v>
                </c:pt>
                <c:pt idx="251">
                  <c:v>1924</c:v>
                </c:pt>
                <c:pt idx="252">
                  <c:v>1922</c:v>
                </c:pt>
                <c:pt idx="253">
                  <c:v>1920</c:v>
                </c:pt>
                <c:pt idx="254">
                  <c:v>1921</c:v>
                </c:pt>
                <c:pt idx="255">
                  <c:v>1921</c:v>
                </c:pt>
                <c:pt idx="256">
                  <c:v>1919</c:v>
                </c:pt>
                <c:pt idx="257">
                  <c:v>1919</c:v>
                </c:pt>
                <c:pt idx="258">
                  <c:v>1917</c:v>
                </c:pt>
                <c:pt idx="259">
                  <c:v>1917</c:v>
                </c:pt>
                <c:pt idx="260">
                  <c:v>1918</c:v>
                </c:pt>
                <c:pt idx="261">
                  <c:v>1919</c:v>
                </c:pt>
                <c:pt idx="262">
                  <c:v>1918</c:v>
                </c:pt>
                <c:pt idx="263">
                  <c:v>1919</c:v>
                </c:pt>
                <c:pt idx="264">
                  <c:v>1918</c:v>
                </c:pt>
                <c:pt idx="265">
                  <c:v>1920</c:v>
                </c:pt>
                <c:pt idx="266">
                  <c:v>1917</c:v>
                </c:pt>
                <c:pt idx="267">
                  <c:v>1916</c:v>
                </c:pt>
                <c:pt idx="268">
                  <c:v>1916</c:v>
                </c:pt>
                <c:pt idx="269">
                  <c:v>1915</c:v>
                </c:pt>
                <c:pt idx="270">
                  <c:v>1913</c:v>
                </c:pt>
                <c:pt idx="271">
                  <c:v>1912</c:v>
                </c:pt>
                <c:pt idx="272">
                  <c:v>1913</c:v>
                </c:pt>
                <c:pt idx="273">
                  <c:v>1914</c:v>
                </c:pt>
                <c:pt idx="274">
                  <c:v>1914</c:v>
                </c:pt>
                <c:pt idx="275">
                  <c:v>1913</c:v>
                </c:pt>
                <c:pt idx="276">
                  <c:v>1914</c:v>
                </c:pt>
                <c:pt idx="277">
                  <c:v>1916</c:v>
                </c:pt>
                <c:pt idx="278">
                  <c:v>1941</c:v>
                </c:pt>
                <c:pt idx="279">
                  <c:v>1935</c:v>
                </c:pt>
                <c:pt idx="280">
                  <c:v>1941</c:v>
                </c:pt>
                <c:pt idx="281">
                  <c:v>1930</c:v>
                </c:pt>
                <c:pt idx="282">
                  <c:v>1925</c:v>
                </c:pt>
                <c:pt idx="283">
                  <c:v>1921</c:v>
                </c:pt>
                <c:pt idx="284">
                  <c:v>1922</c:v>
                </c:pt>
                <c:pt idx="285">
                  <c:v>1931</c:v>
                </c:pt>
                <c:pt idx="286">
                  <c:v>1928</c:v>
                </c:pt>
                <c:pt idx="287">
                  <c:v>1919</c:v>
                </c:pt>
                <c:pt idx="288">
                  <c:v>1914</c:v>
                </c:pt>
                <c:pt idx="289">
                  <c:v>1912</c:v>
                </c:pt>
                <c:pt idx="290">
                  <c:v>1910</c:v>
                </c:pt>
                <c:pt idx="291">
                  <c:v>1912</c:v>
                </c:pt>
                <c:pt idx="292">
                  <c:v>1914</c:v>
                </c:pt>
                <c:pt idx="293">
                  <c:v>1953</c:v>
                </c:pt>
                <c:pt idx="294">
                  <c:v>1980</c:v>
                </c:pt>
                <c:pt idx="295">
                  <c:v>1971</c:v>
                </c:pt>
                <c:pt idx="296">
                  <c:v>1899</c:v>
                </c:pt>
                <c:pt idx="297">
                  <c:v>1818</c:v>
                </c:pt>
                <c:pt idx="298">
                  <c:v>1724</c:v>
                </c:pt>
                <c:pt idx="299">
                  <c:v>1618</c:v>
                </c:pt>
                <c:pt idx="300">
                  <c:v>1512</c:v>
                </c:pt>
                <c:pt idx="301">
                  <c:v>1412</c:v>
                </c:pt>
                <c:pt idx="302">
                  <c:v>1398</c:v>
                </c:pt>
                <c:pt idx="303">
                  <c:v>1400</c:v>
                </c:pt>
                <c:pt idx="304">
                  <c:v>1401</c:v>
                </c:pt>
                <c:pt idx="305">
                  <c:v>1401</c:v>
                </c:pt>
                <c:pt idx="306">
                  <c:v>1413</c:v>
                </c:pt>
                <c:pt idx="307">
                  <c:v>1431</c:v>
                </c:pt>
                <c:pt idx="308">
                  <c:v>1463</c:v>
                </c:pt>
                <c:pt idx="309">
                  <c:v>1454</c:v>
                </c:pt>
                <c:pt idx="310">
                  <c:v>1494</c:v>
                </c:pt>
                <c:pt idx="311">
                  <c:v>1502</c:v>
                </c:pt>
                <c:pt idx="312">
                  <c:v>1523</c:v>
                </c:pt>
                <c:pt idx="313">
                  <c:v>1527</c:v>
                </c:pt>
                <c:pt idx="314">
                  <c:v>1567</c:v>
                </c:pt>
                <c:pt idx="315">
                  <c:v>1586</c:v>
                </c:pt>
                <c:pt idx="316">
                  <c:v>1593</c:v>
                </c:pt>
                <c:pt idx="317">
                  <c:v>1599</c:v>
                </c:pt>
                <c:pt idx="318">
                  <c:v>1603</c:v>
                </c:pt>
                <c:pt idx="319">
                  <c:v>1610</c:v>
                </c:pt>
                <c:pt idx="320">
                  <c:v>1603</c:v>
                </c:pt>
                <c:pt idx="321">
                  <c:v>1594</c:v>
                </c:pt>
                <c:pt idx="322">
                  <c:v>1602</c:v>
                </c:pt>
                <c:pt idx="323">
                  <c:v>1612</c:v>
                </c:pt>
                <c:pt idx="324">
                  <c:v>1609</c:v>
                </c:pt>
                <c:pt idx="325">
                  <c:v>1599</c:v>
                </c:pt>
                <c:pt idx="326">
                  <c:v>1602</c:v>
                </c:pt>
                <c:pt idx="327">
                  <c:v>1634</c:v>
                </c:pt>
                <c:pt idx="328">
                  <c:v>1685</c:v>
                </c:pt>
                <c:pt idx="329">
                  <c:v>1739</c:v>
                </c:pt>
                <c:pt idx="330">
                  <c:v>1786</c:v>
                </c:pt>
                <c:pt idx="331">
                  <c:v>1823</c:v>
                </c:pt>
                <c:pt idx="332">
                  <c:v>1858</c:v>
                </c:pt>
                <c:pt idx="333">
                  <c:v>1903</c:v>
                </c:pt>
                <c:pt idx="334">
                  <c:v>1937</c:v>
                </c:pt>
                <c:pt idx="335">
                  <c:v>1949</c:v>
                </c:pt>
                <c:pt idx="336">
                  <c:v>1950</c:v>
                </c:pt>
                <c:pt idx="340">
                  <c:v>1700</c:v>
                </c:pt>
                <c:pt idx="341">
                  <c:v>1952</c:v>
                </c:pt>
                <c:pt idx="342">
                  <c:v>1951</c:v>
                </c:pt>
                <c:pt idx="343">
                  <c:v>1952</c:v>
                </c:pt>
                <c:pt idx="344">
                  <c:v>1953</c:v>
                </c:pt>
                <c:pt idx="345">
                  <c:v>1953</c:v>
                </c:pt>
                <c:pt idx="346">
                  <c:v>1953</c:v>
                </c:pt>
                <c:pt idx="347">
                  <c:v>1949</c:v>
                </c:pt>
                <c:pt idx="348">
                  <c:v>1952</c:v>
                </c:pt>
                <c:pt idx="349">
                  <c:v>1945</c:v>
                </c:pt>
                <c:pt idx="350">
                  <c:v>1941</c:v>
                </c:pt>
                <c:pt idx="351">
                  <c:v>1942</c:v>
                </c:pt>
                <c:pt idx="352">
                  <c:v>1952</c:v>
                </c:pt>
                <c:pt idx="353">
                  <c:v>1934</c:v>
                </c:pt>
                <c:pt idx="354">
                  <c:v>1933</c:v>
                </c:pt>
                <c:pt idx="355">
                  <c:v>1932</c:v>
                </c:pt>
                <c:pt idx="356">
                  <c:v>1952</c:v>
                </c:pt>
                <c:pt idx="357">
                  <c:v>1945</c:v>
                </c:pt>
                <c:pt idx="358">
                  <c:v>1943</c:v>
                </c:pt>
                <c:pt idx="359">
                  <c:v>1946</c:v>
                </c:pt>
                <c:pt idx="360">
                  <c:v>1940</c:v>
                </c:pt>
                <c:pt idx="361">
                  <c:v>1939</c:v>
                </c:pt>
                <c:pt idx="362">
                  <c:v>1942</c:v>
                </c:pt>
                <c:pt idx="363">
                  <c:v>1942</c:v>
                </c:pt>
                <c:pt idx="364">
                  <c:v>1941</c:v>
                </c:pt>
                <c:pt idx="365">
                  <c:v>1938</c:v>
                </c:pt>
                <c:pt idx="366">
                  <c:v>1938</c:v>
                </c:pt>
                <c:pt idx="367">
                  <c:v>1939</c:v>
                </c:pt>
                <c:pt idx="368">
                  <c:v>1922</c:v>
                </c:pt>
                <c:pt idx="369">
                  <c:v>1943</c:v>
                </c:pt>
                <c:pt idx="370">
                  <c:v>1944</c:v>
                </c:pt>
                <c:pt idx="371">
                  <c:v>1945</c:v>
                </c:pt>
                <c:pt idx="372">
                  <c:v>1946</c:v>
                </c:pt>
                <c:pt idx="373">
                  <c:v>1945</c:v>
                </c:pt>
                <c:pt idx="374">
                  <c:v>1942</c:v>
                </c:pt>
                <c:pt idx="375">
                  <c:v>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4-44E6-89E6-E130FBC1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4059904"/>
        <c:axId val="114082176"/>
      </c:barChart>
      <c:dateAx>
        <c:axId val="1140599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82176"/>
        <c:crosses val="autoZero"/>
        <c:auto val="1"/>
        <c:lblOffset val="100"/>
        <c:baseTimeUnit val="days"/>
      </c:dateAx>
      <c:valAx>
        <c:axId val="11408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599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BCRTemperature Average 1/2-2 Meters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Temperature!$A$6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Temperature!$B$2:$P$2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Temperature!$B$22:$P$22</c:f>
              <c:numCache>
                <c:formatCode>0.00</c:formatCode>
                <c:ptCount val="15"/>
                <c:pt idx="0">
                  <c:v>1.4750000000000001</c:v>
                </c:pt>
                <c:pt idx="1">
                  <c:v>3.1749999999999998</c:v>
                </c:pt>
                <c:pt idx="2">
                  <c:v>8.1750000000000007</c:v>
                </c:pt>
                <c:pt idx="3">
                  <c:v>8.1750000000000007</c:v>
                </c:pt>
                <c:pt idx="4">
                  <c:v>10.7</c:v>
                </c:pt>
                <c:pt idx="5">
                  <c:v>18.350000000000001</c:v>
                </c:pt>
                <c:pt idx="6">
                  <c:v>20.475000000000001</c:v>
                </c:pt>
                <c:pt idx="7">
                  <c:v>17.899999999999999</c:v>
                </c:pt>
                <c:pt idx="8">
                  <c:v>18.274999999999999</c:v>
                </c:pt>
                <c:pt idx="9">
                  <c:v>17.96</c:v>
                </c:pt>
                <c:pt idx="10">
                  <c:v>17.55</c:v>
                </c:pt>
                <c:pt idx="11">
                  <c:v>17.25</c:v>
                </c:pt>
                <c:pt idx="12">
                  <c:v>14</c:v>
                </c:pt>
                <c:pt idx="13">
                  <c:v>5.4</c:v>
                </c:pt>
                <c:pt idx="14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4-44FF-8F99-D372F05DB07F}"/>
            </c:ext>
          </c:extLst>
        </c:ser>
        <c:ser>
          <c:idx val="1"/>
          <c:order val="1"/>
          <c:tx>
            <c:strRef>
              <c:f>Temperature!$A$24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Temperature!$B$22:$P$22</c:f>
              <c:numCache>
                <c:formatCode>0.00</c:formatCode>
                <c:ptCount val="15"/>
                <c:pt idx="0">
                  <c:v>1.4750000000000001</c:v>
                </c:pt>
                <c:pt idx="1">
                  <c:v>3.1749999999999998</c:v>
                </c:pt>
                <c:pt idx="2">
                  <c:v>8.1750000000000007</c:v>
                </c:pt>
                <c:pt idx="3">
                  <c:v>8.1750000000000007</c:v>
                </c:pt>
                <c:pt idx="4">
                  <c:v>10.7</c:v>
                </c:pt>
                <c:pt idx="5">
                  <c:v>18.350000000000001</c:v>
                </c:pt>
                <c:pt idx="6">
                  <c:v>20.475000000000001</c:v>
                </c:pt>
                <c:pt idx="7">
                  <c:v>17.899999999999999</c:v>
                </c:pt>
                <c:pt idx="8">
                  <c:v>18.274999999999999</c:v>
                </c:pt>
                <c:pt idx="9">
                  <c:v>17.96</c:v>
                </c:pt>
                <c:pt idx="10">
                  <c:v>17.55</c:v>
                </c:pt>
                <c:pt idx="11">
                  <c:v>17.25</c:v>
                </c:pt>
                <c:pt idx="12">
                  <c:v>14</c:v>
                </c:pt>
                <c:pt idx="13">
                  <c:v>5.4</c:v>
                </c:pt>
                <c:pt idx="14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4-44FF-8F99-D372F05DB07F}"/>
            </c:ext>
          </c:extLst>
        </c:ser>
        <c:ser>
          <c:idx val="2"/>
          <c:order val="2"/>
          <c:tx>
            <c:strRef>
              <c:f>Temperature!$A$39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Temperature!$B$52:$P$52</c:f>
              <c:numCache>
                <c:formatCode>0.00</c:formatCode>
                <c:ptCount val="15"/>
                <c:pt idx="0">
                  <c:v>3.2</c:v>
                </c:pt>
                <c:pt idx="2">
                  <c:v>8.4499999999999993</c:v>
                </c:pt>
                <c:pt idx="3">
                  <c:v>8.4749999999999996</c:v>
                </c:pt>
                <c:pt idx="4">
                  <c:v>10.75</c:v>
                </c:pt>
                <c:pt idx="5">
                  <c:v>18</c:v>
                </c:pt>
                <c:pt idx="6">
                  <c:v>20.225000000000001</c:v>
                </c:pt>
                <c:pt idx="7">
                  <c:v>18.05</c:v>
                </c:pt>
                <c:pt idx="8">
                  <c:v>18.3</c:v>
                </c:pt>
                <c:pt idx="9">
                  <c:v>18.399999999999999</c:v>
                </c:pt>
                <c:pt idx="10">
                  <c:v>17.725000000000001</c:v>
                </c:pt>
                <c:pt idx="11">
                  <c:v>17.174999999999997</c:v>
                </c:pt>
                <c:pt idx="12">
                  <c:v>14.1</c:v>
                </c:pt>
                <c:pt idx="13">
                  <c:v>5.4</c:v>
                </c:pt>
                <c:pt idx="14">
                  <c:v>0.77499999999999991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4-44FF-8F99-D372F05DB07F}"/>
            </c:ext>
          </c:extLst>
        </c:ser>
        <c:ser>
          <c:idx val="3"/>
          <c:order val="3"/>
          <c:tx>
            <c:strRef>
              <c:f>Temperature!$A$54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Temperature!$B$64:$P$64</c:f>
              <c:numCache>
                <c:formatCode>0.00</c:formatCode>
                <c:ptCount val="15"/>
                <c:pt idx="0">
                  <c:v>1.28</c:v>
                </c:pt>
                <c:pt idx="2">
                  <c:v>8.375</c:v>
                </c:pt>
                <c:pt idx="3">
                  <c:v>8.2750000000000004</c:v>
                </c:pt>
                <c:pt idx="4">
                  <c:v>11.375</c:v>
                </c:pt>
                <c:pt idx="5">
                  <c:v>18.75</c:v>
                </c:pt>
                <c:pt idx="6">
                  <c:v>20.5</c:v>
                </c:pt>
                <c:pt idx="7">
                  <c:v>17.700000000000003</c:v>
                </c:pt>
                <c:pt idx="8">
                  <c:v>18.75</c:v>
                </c:pt>
                <c:pt idx="9">
                  <c:v>18</c:v>
                </c:pt>
                <c:pt idx="10">
                  <c:v>17.75</c:v>
                </c:pt>
                <c:pt idx="11">
                  <c:v>17.475000000000001</c:v>
                </c:pt>
                <c:pt idx="12">
                  <c:v>14.025</c:v>
                </c:pt>
                <c:pt idx="13">
                  <c:v>5.55</c:v>
                </c:pt>
                <c:pt idx="14">
                  <c:v>0.17500000000000002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4-44FF-8F99-D372F05DB07F}"/>
            </c:ext>
          </c:extLst>
        </c:ser>
        <c:ser>
          <c:idx val="4"/>
          <c:order val="4"/>
          <c:tx>
            <c:strRef>
              <c:f>Temperature!$A$66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Temperature!$B$79:$P$79</c:f>
              <c:numCache>
                <c:formatCode>0.00</c:formatCode>
                <c:ptCount val="15"/>
                <c:pt idx="0">
                  <c:v>2.3818181818181823</c:v>
                </c:pt>
                <c:pt idx="2">
                  <c:v>7.5749999999999993</c:v>
                </c:pt>
                <c:pt idx="3">
                  <c:v>8.6750000000000007</c:v>
                </c:pt>
                <c:pt idx="4">
                  <c:v>11.174999999999999</c:v>
                </c:pt>
                <c:pt idx="5">
                  <c:v>18.3</c:v>
                </c:pt>
                <c:pt idx="6">
                  <c:v>20.575000000000003</c:v>
                </c:pt>
                <c:pt idx="7">
                  <c:v>18.375</c:v>
                </c:pt>
                <c:pt idx="8">
                  <c:v>18.925000000000001</c:v>
                </c:pt>
                <c:pt idx="9">
                  <c:v>18.350000000000001</c:v>
                </c:pt>
                <c:pt idx="10">
                  <c:v>17.75</c:v>
                </c:pt>
                <c:pt idx="11">
                  <c:v>17.424999999999997</c:v>
                </c:pt>
                <c:pt idx="12">
                  <c:v>14.1</c:v>
                </c:pt>
                <c:pt idx="13">
                  <c:v>5.5</c:v>
                </c:pt>
                <c:pt idx="14">
                  <c:v>1.0249999999999999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B4-44FF-8F99-D372F05DB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5632"/>
        <c:axId val="114247168"/>
      </c:lineChart>
      <c:dateAx>
        <c:axId val="114245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24716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424716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2456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Temperature Trends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16a-Turkey Creek Inflow</c:v>
                </c:pt>
              </c:strCache>
            </c:strRef>
          </c:tx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Temperature!$B$3:$P$3</c:f>
              <c:numCache>
                <c:formatCode>#,##0.0</c:formatCode>
                <c:ptCount val="15"/>
                <c:pt idx="0">
                  <c:v>0.9</c:v>
                </c:pt>
                <c:pt idx="1">
                  <c:v>0.1</c:v>
                </c:pt>
                <c:pt idx="2">
                  <c:v>5.4</c:v>
                </c:pt>
                <c:pt idx="3">
                  <c:v>3.5</c:v>
                </c:pt>
                <c:pt idx="4">
                  <c:v>7</c:v>
                </c:pt>
                <c:pt idx="5">
                  <c:v>12</c:v>
                </c:pt>
                <c:pt idx="6">
                  <c:v>14.4</c:v>
                </c:pt>
                <c:pt idx="7">
                  <c:v>13.4</c:v>
                </c:pt>
                <c:pt idx="8">
                  <c:v>13.9</c:v>
                </c:pt>
                <c:pt idx="9">
                  <c:v>13.9</c:v>
                </c:pt>
                <c:pt idx="10">
                  <c:v>12</c:v>
                </c:pt>
                <c:pt idx="11">
                  <c:v>11.2</c:v>
                </c:pt>
                <c:pt idx="12">
                  <c:v>10</c:v>
                </c:pt>
                <c:pt idx="13">
                  <c:v>4.0999999999999996</c:v>
                </c:pt>
                <c:pt idx="1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B-4D58-B7B5-35C3B7367F17}"/>
            </c:ext>
          </c:extLst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15a-Bear Creek Inflow</c:v>
                </c:pt>
              </c:strCache>
            </c:strRef>
          </c:tx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Temperature!$B$4:$P$4</c:f>
              <c:numCache>
                <c:formatCode>#,##0.0</c:formatCode>
                <c:ptCount val="15"/>
                <c:pt idx="0">
                  <c:v>0.3</c:v>
                </c:pt>
                <c:pt idx="1">
                  <c:v>0.5</c:v>
                </c:pt>
                <c:pt idx="2">
                  <c:v>4.3</c:v>
                </c:pt>
                <c:pt idx="3">
                  <c:v>4.3</c:v>
                </c:pt>
                <c:pt idx="4">
                  <c:v>6.6</c:v>
                </c:pt>
                <c:pt idx="5">
                  <c:v>10.8</c:v>
                </c:pt>
                <c:pt idx="6">
                  <c:v>14.1</c:v>
                </c:pt>
                <c:pt idx="7">
                  <c:v>12.2</c:v>
                </c:pt>
                <c:pt idx="8">
                  <c:v>13.9</c:v>
                </c:pt>
                <c:pt idx="9">
                  <c:v>12.9</c:v>
                </c:pt>
                <c:pt idx="10">
                  <c:v>11.3</c:v>
                </c:pt>
                <c:pt idx="11">
                  <c:v>11.6</c:v>
                </c:pt>
                <c:pt idx="12">
                  <c:v>9.3000000000000007</c:v>
                </c:pt>
                <c:pt idx="13">
                  <c:v>1.1000000000000001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B-4D58-B7B5-35C3B7367F17}"/>
            </c:ext>
          </c:extLst>
        </c:ser>
        <c:ser>
          <c:idx val="2"/>
          <c:order val="2"/>
          <c:tx>
            <c:strRef>
              <c:f>Temperature!$A$5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Temperature!$B$2:$P$2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Temperature!$B$5:$P$5</c:f>
              <c:numCache>
                <c:formatCode>#,##0.0</c:formatCode>
                <c:ptCount val="15"/>
                <c:pt idx="0">
                  <c:v>2.1</c:v>
                </c:pt>
                <c:pt idx="1">
                  <c:v>2.7</c:v>
                </c:pt>
                <c:pt idx="2">
                  <c:v>8.8000000000000007</c:v>
                </c:pt>
                <c:pt idx="3">
                  <c:v>9.1999999999999993</c:v>
                </c:pt>
                <c:pt idx="4">
                  <c:v>7.5</c:v>
                </c:pt>
                <c:pt idx="5">
                  <c:v>12.2</c:v>
                </c:pt>
                <c:pt idx="6">
                  <c:v>16.5</c:v>
                </c:pt>
                <c:pt idx="7">
                  <c:v>16.2</c:v>
                </c:pt>
                <c:pt idx="8">
                  <c:v>19</c:v>
                </c:pt>
                <c:pt idx="9">
                  <c:v>19.2</c:v>
                </c:pt>
                <c:pt idx="10">
                  <c:v>17.8</c:v>
                </c:pt>
                <c:pt idx="11">
                  <c:v>15.6</c:v>
                </c:pt>
                <c:pt idx="12">
                  <c:v>14</c:v>
                </c:pt>
                <c:pt idx="13">
                  <c:v>4.2</c:v>
                </c:pt>
                <c:pt idx="1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2B-4D58-B7B5-35C3B7367F17}"/>
            </c:ext>
          </c:extLst>
        </c:ser>
        <c:ser>
          <c:idx val="3"/>
          <c:order val="3"/>
          <c:tx>
            <c:strRef>
              <c:f>Temperature!$A$23</c:f>
              <c:strCache>
                <c:ptCount val="1"/>
                <c:pt idx="0">
                  <c:v>BCR Site 40 Profile Average</c:v>
                </c:pt>
              </c:strCache>
            </c:strRef>
          </c:tx>
          <c:val>
            <c:numRef>
              <c:f>Temperature!$B$23:$P$23</c:f>
              <c:numCache>
                <c:formatCode>0.00</c:formatCode>
                <c:ptCount val="15"/>
                <c:pt idx="0">
                  <c:v>2.6</c:v>
                </c:pt>
                <c:pt idx="1">
                  <c:v>3.6066666666666669</c:v>
                </c:pt>
                <c:pt idx="2">
                  <c:v>5.9333333333333336</c:v>
                </c:pt>
                <c:pt idx="3">
                  <c:v>7.6466666666666665</c:v>
                </c:pt>
                <c:pt idx="4">
                  <c:v>9.2266666666666666</c:v>
                </c:pt>
                <c:pt idx="5">
                  <c:v>14.780000000000001</c:v>
                </c:pt>
                <c:pt idx="6">
                  <c:v>17.333333333333336</c:v>
                </c:pt>
                <c:pt idx="7">
                  <c:v>16.04</c:v>
                </c:pt>
                <c:pt idx="8">
                  <c:v>17.12</c:v>
                </c:pt>
                <c:pt idx="9">
                  <c:v>17.442857142857143</c:v>
                </c:pt>
                <c:pt idx="10">
                  <c:v>17.314285714285713</c:v>
                </c:pt>
                <c:pt idx="11">
                  <c:v>16.742857142857144</c:v>
                </c:pt>
                <c:pt idx="12">
                  <c:v>13.921428571428574</c:v>
                </c:pt>
                <c:pt idx="13">
                  <c:v>5.4</c:v>
                </c:pt>
                <c:pt idx="14">
                  <c:v>2.0142857142857147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2B-4D58-B7B5-35C3B7367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4144"/>
        <c:axId val="114369664"/>
      </c:lineChart>
      <c:dateAx>
        <c:axId val="114294144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69664"/>
        <c:crosses val="autoZero"/>
        <c:auto val="1"/>
        <c:lblOffset val="100"/>
        <c:baseTimeUnit val="days"/>
        <c:majorUnit val="30"/>
        <c:majorTimeUnit val="days"/>
      </c:dateAx>
      <c:valAx>
        <c:axId val="11436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#,##0.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414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BCR Specific Conductance Average 1/2-2 meters </a:t>
            </a:r>
          </a:p>
        </c:rich>
      </c:tx>
      <c:layout>
        <c:manualLayout>
          <c:xMode val="edge"/>
          <c:yMode val="edge"/>
          <c:x val="0.27253815239736856"/>
          <c:y val="1.7495257683104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Conductance!$A$6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Conductance!$B$2:$P$2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Conductance!$B$22:$P$22</c:f>
              <c:numCache>
                <c:formatCode>0</c:formatCode>
                <c:ptCount val="15"/>
                <c:pt idx="0">
                  <c:v>427</c:v>
                </c:pt>
                <c:pt idx="1">
                  <c:v>448.25</c:v>
                </c:pt>
                <c:pt idx="2">
                  <c:v>566.75</c:v>
                </c:pt>
                <c:pt idx="3">
                  <c:v>568</c:v>
                </c:pt>
                <c:pt idx="4">
                  <c:v>260</c:v>
                </c:pt>
                <c:pt idx="5">
                  <c:v>276.5</c:v>
                </c:pt>
                <c:pt idx="6">
                  <c:v>288.25</c:v>
                </c:pt>
                <c:pt idx="7">
                  <c:v>266</c:v>
                </c:pt>
                <c:pt idx="8">
                  <c:v>310</c:v>
                </c:pt>
                <c:pt idx="9">
                  <c:v>348.5</c:v>
                </c:pt>
                <c:pt idx="10">
                  <c:v>409</c:v>
                </c:pt>
                <c:pt idx="11">
                  <c:v>436</c:v>
                </c:pt>
                <c:pt idx="12">
                  <c:v>483</c:v>
                </c:pt>
                <c:pt idx="13">
                  <c:v>635</c:v>
                </c:pt>
                <c:pt idx="14">
                  <c:v>552.5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C-4D69-ACE8-51068348639E}"/>
            </c:ext>
          </c:extLst>
        </c:ser>
        <c:ser>
          <c:idx val="1"/>
          <c:order val="1"/>
          <c:tx>
            <c:strRef>
              <c:f>Conductance!$A$24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Conductance!$B$37:$P$37</c:f>
              <c:numCache>
                <c:formatCode>0</c:formatCode>
                <c:ptCount val="15"/>
                <c:pt idx="0">
                  <c:v>430.4</c:v>
                </c:pt>
                <c:pt idx="2">
                  <c:v>566.25</c:v>
                </c:pt>
                <c:pt idx="3">
                  <c:v>567</c:v>
                </c:pt>
                <c:pt idx="4">
                  <c:v>260</c:v>
                </c:pt>
                <c:pt idx="5">
                  <c:v>273.25</c:v>
                </c:pt>
                <c:pt idx="6">
                  <c:v>285.75</c:v>
                </c:pt>
                <c:pt idx="7">
                  <c:v>266.75</c:v>
                </c:pt>
                <c:pt idx="8">
                  <c:v>310.5</c:v>
                </c:pt>
                <c:pt idx="9">
                  <c:v>354.75</c:v>
                </c:pt>
                <c:pt idx="10">
                  <c:v>409.5</c:v>
                </c:pt>
                <c:pt idx="11">
                  <c:v>436</c:v>
                </c:pt>
                <c:pt idx="12">
                  <c:v>482</c:v>
                </c:pt>
                <c:pt idx="13">
                  <c:v>633</c:v>
                </c:pt>
                <c:pt idx="14">
                  <c:v>571.79999999999995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C-4D69-ACE8-51068348639E}"/>
            </c:ext>
          </c:extLst>
        </c:ser>
        <c:ser>
          <c:idx val="2"/>
          <c:order val="2"/>
          <c:tx>
            <c:strRef>
              <c:f>Conductance!$A$39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Conductance!$B$52:$P$52</c:f>
              <c:numCache>
                <c:formatCode>0</c:formatCode>
                <c:ptCount val="15"/>
                <c:pt idx="0">
                  <c:v>453.75</c:v>
                </c:pt>
                <c:pt idx="2">
                  <c:v>566</c:v>
                </c:pt>
                <c:pt idx="3">
                  <c:v>570</c:v>
                </c:pt>
                <c:pt idx="4">
                  <c:v>260.5</c:v>
                </c:pt>
                <c:pt idx="5">
                  <c:v>276.5</c:v>
                </c:pt>
                <c:pt idx="6">
                  <c:v>287</c:v>
                </c:pt>
                <c:pt idx="7">
                  <c:v>264.75</c:v>
                </c:pt>
                <c:pt idx="8">
                  <c:v>311.5</c:v>
                </c:pt>
                <c:pt idx="9">
                  <c:v>356.25</c:v>
                </c:pt>
                <c:pt idx="10">
                  <c:v>411</c:v>
                </c:pt>
                <c:pt idx="11">
                  <c:v>436.25</c:v>
                </c:pt>
                <c:pt idx="12">
                  <c:v>483</c:v>
                </c:pt>
                <c:pt idx="13">
                  <c:v>630</c:v>
                </c:pt>
                <c:pt idx="14">
                  <c:v>537.75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C-4D69-ACE8-51068348639E}"/>
            </c:ext>
          </c:extLst>
        </c:ser>
        <c:ser>
          <c:idx val="3"/>
          <c:order val="3"/>
          <c:tx>
            <c:strRef>
              <c:f>Conductance!$A$54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Conductance!$B$64:$P$64</c:f>
              <c:numCache>
                <c:formatCode>0</c:formatCode>
                <c:ptCount val="15"/>
                <c:pt idx="0">
                  <c:v>418.33333333333331</c:v>
                </c:pt>
                <c:pt idx="2">
                  <c:v>576.5</c:v>
                </c:pt>
                <c:pt idx="3">
                  <c:v>588</c:v>
                </c:pt>
                <c:pt idx="4">
                  <c:v>261.75</c:v>
                </c:pt>
                <c:pt idx="5">
                  <c:v>278.5</c:v>
                </c:pt>
                <c:pt idx="6">
                  <c:v>288.75</c:v>
                </c:pt>
                <c:pt idx="7">
                  <c:v>268.5</c:v>
                </c:pt>
                <c:pt idx="8">
                  <c:v>320.25</c:v>
                </c:pt>
                <c:pt idx="9">
                  <c:v>359.5</c:v>
                </c:pt>
                <c:pt idx="10">
                  <c:v>409.25</c:v>
                </c:pt>
                <c:pt idx="11">
                  <c:v>435.5</c:v>
                </c:pt>
                <c:pt idx="12">
                  <c:v>483</c:v>
                </c:pt>
                <c:pt idx="13">
                  <c:v>632</c:v>
                </c:pt>
                <c:pt idx="14">
                  <c:v>552.5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C-4D69-ACE8-51068348639E}"/>
            </c:ext>
          </c:extLst>
        </c:ser>
        <c:ser>
          <c:idx val="4"/>
          <c:order val="4"/>
          <c:tx>
            <c:strRef>
              <c:f>Conductance!$A$66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Conductance!$B$78:$P$78</c:f>
              <c:numCache>
                <c:formatCode>0</c:formatCode>
                <c:ptCount val="15"/>
                <c:pt idx="0">
                  <c:v>423.5</c:v>
                </c:pt>
                <c:pt idx="2">
                  <c:v>544.5</c:v>
                </c:pt>
                <c:pt idx="3">
                  <c:v>569.75</c:v>
                </c:pt>
                <c:pt idx="4">
                  <c:v>259</c:v>
                </c:pt>
                <c:pt idx="5">
                  <c:v>275.25</c:v>
                </c:pt>
                <c:pt idx="6">
                  <c:v>291</c:v>
                </c:pt>
                <c:pt idx="7">
                  <c:v>266</c:v>
                </c:pt>
                <c:pt idx="8">
                  <c:v>313</c:v>
                </c:pt>
                <c:pt idx="9">
                  <c:v>376.25</c:v>
                </c:pt>
                <c:pt idx="10">
                  <c:v>409.25</c:v>
                </c:pt>
                <c:pt idx="11">
                  <c:v>435.5</c:v>
                </c:pt>
                <c:pt idx="12">
                  <c:v>483</c:v>
                </c:pt>
                <c:pt idx="13">
                  <c:v>634</c:v>
                </c:pt>
                <c:pt idx="14">
                  <c:v>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BC-4D69-ACE8-510683486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6832"/>
        <c:axId val="114538368"/>
      </c:lineChart>
      <c:dateAx>
        <c:axId val="114536832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38368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453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368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prstDash val="solid"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Watershed Specific Conductance Trends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Conductance!$A$5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Conductance!$B$5:$P$5</c:f>
              <c:numCache>
                <c:formatCode>0</c:formatCode>
                <c:ptCount val="15"/>
                <c:pt idx="0">
                  <c:v>420</c:v>
                </c:pt>
                <c:pt idx="1">
                  <c:v>494</c:v>
                </c:pt>
                <c:pt idx="2">
                  <c:v>575</c:v>
                </c:pt>
                <c:pt idx="3">
                  <c:v>571</c:v>
                </c:pt>
                <c:pt idx="4">
                  <c:v>258</c:v>
                </c:pt>
                <c:pt idx="5">
                  <c:v>218</c:v>
                </c:pt>
                <c:pt idx="6">
                  <c:v>265</c:v>
                </c:pt>
                <c:pt idx="7">
                  <c:v>258</c:v>
                </c:pt>
                <c:pt idx="8">
                  <c:v>312</c:v>
                </c:pt>
                <c:pt idx="9">
                  <c:v>359</c:v>
                </c:pt>
                <c:pt idx="10">
                  <c:v>416</c:v>
                </c:pt>
                <c:pt idx="11">
                  <c:v>446</c:v>
                </c:pt>
                <c:pt idx="12">
                  <c:v>491</c:v>
                </c:pt>
                <c:pt idx="13">
                  <c:v>724</c:v>
                </c:pt>
                <c:pt idx="14">
                  <c:v>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E-4B2E-9645-B75232296B87}"/>
            </c:ext>
          </c:extLst>
        </c:ser>
        <c:ser>
          <c:idx val="1"/>
          <c:order val="1"/>
          <c:tx>
            <c:strRef>
              <c:f>Conductance!$A$3</c:f>
              <c:strCache>
                <c:ptCount val="1"/>
                <c:pt idx="0">
                  <c:v>16a-Turkey Creek Inflow</c:v>
                </c:pt>
              </c:strCache>
            </c:strRef>
          </c:tx>
          <c:cat>
            <c:numRef>
              <c:f>Conductance!$B$2:$P$2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Conductance!$B$3:$P$3</c:f>
              <c:numCache>
                <c:formatCode>0</c:formatCode>
                <c:ptCount val="15"/>
                <c:pt idx="0">
                  <c:v>1193</c:v>
                </c:pt>
                <c:pt idx="1">
                  <c:v>1400</c:v>
                </c:pt>
                <c:pt idx="2">
                  <c:v>1256</c:v>
                </c:pt>
                <c:pt idx="3">
                  <c:v>785</c:v>
                </c:pt>
                <c:pt idx="4">
                  <c:v>334</c:v>
                </c:pt>
                <c:pt idx="5">
                  <c:v>416</c:v>
                </c:pt>
                <c:pt idx="6">
                  <c:v>695</c:v>
                </c:pt>
                <c:pt idx="7">
                  <c:v>707</c:v>
                </c:pt>
                <c:pt idx="8">
                  <c:v>248</c:v>
                </c:pt>
                <c:pt idx="9">
                  <c:v>1600</c:v>
                </c:pt>
                <c:pt idx="10">
                  <c:v>1950</c:v>
                </c:pt>
                <c:pt idx="11">
                  <c:v>2114</c:v>
                </c:pt>
                <c:pt idx="12">
                  <c:v>1600</c:v>
                </c:pt>
                <c:pt idx="13">
                  <c:v>1850</c:v>
                </c:pt>
                <c:pt idx="14">
                  <c:v>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E-4B2E-9645-B75232296B87}"/>
            </c:ext>
          </c:extLst>
        </c:ser>
        <c:ser>
          <c:idx val="2"/>
          <c:order val="2"/>
          <c:tx>
            <c:strRef>
              <c:f>Conductance!$A$4</c:f>
              <c:strCache>
                <c:ptCount val="1"/>
                <c:pt idx="0">
                  <c:v>15a-Bear Creek Inflow</c:v>
                </c:pt>
              </c:strCache>
            </c:strRef>
          </c:tx>
          <c:val>
            <c:numRef>
              <c:f>Conductance!$B$4:$P$4</c:f>
              <c:numCache>
                <c:formatCode>0</c:formatCode>
                <c:ptCount val="15"/>
                <c:pt idx="0">
                  <c:v>309</c:v>
                </c:pt>
                <c:pt idx="1">
                  <c:v>420</c:v>
                </c:pt>
                <c:pt idx="2">
                  <c:v>301</c:v>
                </c:pt>
                <c:pt idx="3">
                  <c:v>424</c:v>
                </c:pt>
                <c:pt idx="4">
                  <c:v>230</c:v>
                </c:pt>
                <c:pt idx="5">
                  <c:v>155</c:v>
                </c:pt>
                <c:pt idx="6">
                  <c:v>198</c:v>
                </c:pt>
                <c:pt idx="7">
                  <c:v>186</c:v>
                </c:pt>
                <c:pt idx="8">
                  <c:v>208</c:v>
                </c:pt>
                <c:pt idx="9">
                  <c:v>268</c:v>
                </c:pt>
                <c:pt idx="10">
                  <c:v>306</c:v>
                </c:pt>
                <c:pt idx="11">
                  <c:v>373</c:v>
                </c:pt>
                <c:pt idx="12">
                  <c:v>367</c:v>
                </c:pt>
                <c:pt idx="13">
                  <c:v>411</c:v>
                </c:pt>
                <c:pt idx="14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E-4B2E-9645-B75232296B87}"/>
            </c:ext>
          </c:extLst>
        </c:ser>
        <c:ser>
          <c:idx val="3"/>
          <c:order val="3"/>
          <c:tx>
            <c:strRef>
              <c:f>Conductance!$A$23</c:f>
              <c:strCache>
                <c:ptCount val="1"/>
                <c:pt idx="0">
                  <c:v>BCR Site 40 Profile Average</c:v>
                </c:pt>
              </c:strCache>
            </c:strRef>
          </c:tx>
          <c:val>
            <c:numRef>
              <c:f>Conductance!$B$23:$P$23</c:f>
              <c:numCache>
                <c:formatCode>0</c:formatCode>
                <c:ptCount val="15"/>
                <c:pt idx="0">
                  <c:v>571.20000000000005</c:v>
                </c:pt>
                <c:pt idx="1">
                  <c:v>595.5333333333333</c:v>
                </c:pt>
                <c:pt idx="2">
                  <c:v>653</c:v>
                </c:pt>
                <c:pt idx="3">
                  <c:v>587</c:v>
                </c:pt>
                <c:pt idx="4">
                  <c:v>248.8</c:v>
                </c:pt>
                <c:pt idx="5">
                  <c:v>236.73333333333332</c:v>
                </c:pt>
                <c:pt idx="6">
                  <c:v>270.2</c:v>
                </c:pt>
                <c:pt idx="7">
                  <c:v>258.53333333333336</c:v>
                </c:pt>
                <c:pt idx="8">
                  <c:v>304.46666666666664</c:v>
                </c:pt>
                <c:pt idx="9">
                  <c:v>349.28571428571428</c:v>
                </c:pt>
                <c:pt idx="10">
                  <c:v>409.85714285714283</c:v>
                </c:pt>
                <c:pt idx="11">
                  <c:v>437.64285714285717</c:v>
                </c:pt>
                <c:pt idx="12">
                  <c:v>482.78571428571428</c:v>
                </c:pt>
                <c:pt idx="13">
                  <c:v>635.92857142857144</c:v>
                </c:pt>
                <c:pt idx="14">
                  <c:v>759.71428571428567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E-4B2E-9645-B7523229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0912"/>
        <c:axId val="114472448"/>
      </c:lineChart>
      <c:dateAx>
        <c:axId val="114470912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72448"/>
        <c:crosses val="autoZero"/>
        <c:auto val="1"/>
        <c:lblOffset val="100"/>
        <c:baseTimeUnit val="days"/>
        <c:majorUnit val="31"/>
        <c:majorTimeUnit val="days"/>
        <c:minorUnit val="1"/>
        <c:minorTimeUnit val="days"/>
      </c:dateAx>
      <c:valAx>
        <c:axId val="1144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709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0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Watershed pH Trends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pH!$A$5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pH!$B$5:$P$5</c:f>
              <c:numCache>
                <c:formatCode>0.00</c:formatCode>
                <c:ptCount val="15"/>
                <c:pt idx="0">
                  <c:v>8.1300000000000008</c:v>
                </c:pt>
                <c:pt idx="1">
                  <c:v>8.6300000000000008</c:v>
                </c:pt>
                <c:pt idx="2">
                  <c:v>7.87</c:v>
                </c:pt>
                <c:pt idx="3">
                  <c:v>8.2899999999999991</c:v>
                </c:pt>
                <c:pt idx="4">
                  <c:v>7.79</c:v>
                </c:pt>
                <c:pt idx="5">
                  <c:v>7.76</c:v>
                </c:pt>
                <c:pt idx="6">
                  <c:v>8.02</c:v>
                </c:pt>
                <c:pt idx="7">
                  <c:v>7.83</c:v>
                </c:pt>
                <c:pt idx="8">
                  <c:v>8.23</c:v>
                </c:pt>
                <c:pt idx="9">
                  <c:v>8.06</c:v>
                </c:pt>
                <c:pt idx="10">
                  <c:v>7.89</c:v>
                </c:pt>
                <c:pt idx="11">
                  <c:v>8.1300000000000008</c:v>
                </c:pt>
                <c:pt idx="12">
                  <c:v>8.2200000000000006</c:v>
                </c:pt>
                <c:pt idx="13">
                  <c:v>8.0299999999999994</c:v>
                </c:pt>
                <c:pt idx="14">
                  <c:v>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C-40A3-B598-A2F8DFE29C76}"/>
            </c:ext>
          </c:extLst>
        </c:ser>
        <c:ser>
          <c:idx val="3"/>
          <c:order val="1"/>
          <c:tx>
            <c:strRef>
              <c:f>pH!$A$23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pH!$B$23:$P$23</c:f>
              <c:numCache>
                <c:formatCode>0.00</c:formatCode>
                <c:ptCount val="15"/>
                <c:pt idx="0">
                  <c:v>8.1159999999999997</c:v>
                </c:pt>
                <c:pt idx="1">
                  <c:v>8.3766666666666669</c:v>
                </c:pt>
                <c:pt idx="2">
                  <c:v>7.8873333333333324</c:v>
                </c:pt>
                <c:pt idx="3">
                  <c:v>8.3673333333333311</c:v>
                </c:pt>
                <c:pt idx="4">
                  <c:v>8.16</c:v>
                </c:pt>
                <c:pt idx="5">
                  <c:v>7.698666666666667</c:v>
                </c:pt>
                <c:pt idx="6">
                  <c:v>8.2493333333333343</c:v>
                </c:pt>
                <c:pt idx="7">
                  <c:v>8.1333333333333329</c:v>
                </c:pt>
                <c:pt idx="8">
                  <c:v>7.9466666666666681</c:v>
                </c:pt>
                <c:pt idx="9">
                  <c:v>7.9693333333333349</c:v>
                </c:pt>
                <c:pt idx="10">
                  <c:v>8.0135714285714279</c:v>
                </c:pt>
                <c:pt idx="11">
                  <c:v>7.9750000000000005</c:v>
                </c:pt>
                <c:pt idx="12">
                  <c:v>7.9935714285714283</c:v>
                </c:pt>
                <c:pt idx="13">
                  <c:v>8.4330769230769231</c:v>
                </c:pt>
                <c:pt idx="14">
                  <c:v>8.2914285714285718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C-40A3-B598-A2F8DFE29C76}"/>
            </c:ext>
          </c:extLst>
        </c:ser>
        <c:ser>
          <c:idx val="4"/>
          <c:order val="2"/>
          <c:tx>
            <c:strRef>
              <c:f>pH!$A$4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pH!$B$2:$P$2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pH!$B$4:$P$4</c:f>
              <c:numCache>
                <c:formatCode>0.00</c:formatCode>
                <c:ptCount val="15"/>
                <c:pt idx="0">
                  <c:v>8.1999999999999993</c:v>
                </c:pt>
                <c:pt idx="1">
                  <c:v>8.9600000000000009</c:v>
                </c:pt>
                <c:pt idx="2">
                  <c:v>8.24</c:v>
                </c:pt>
                <c:pt idx="3">
                  <c:v>8.89</c:v>
                </c:pt>
                <c:pt idx="4">
                  <c:v>8.52</c:v>
                </c:pt>
                <c:pt idx="5">
                  <c:v>7.86</c:v>
                </c:pt>
                <c:pt idx="6">
                  <c:v>8.1999999999999993</c:v>
                </c:pt>
                <c:pt idx="7">
                  <c:v>8.5</c:v>
                </c:pt>
                <c:pt idx="8">
                  <c:v>8.5399999999999991</c:v>
                </c:pt>
                <c:pt idx="9">
                  <c:v>8.01</c:v>
                </c:pt>
                <c:pt idx="10">
                  <c:v>8.56</c:v>
                </c:pt>
                <c:pt idx="11">
                  <c:v>8.3800000000000008</c:v>
                </c:pt>
                <c:pt idx="12">
                  <c:v>8.5</c:v>
                </c:pt>
                <c:pt idx="13">
                  <c:v>8.98</c:v>
                </c:pt>
                <c:pt idx="14">
                  <c:v>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FC-40A3-B598-A2F8DFE29C76}"/>
            </c:ext>
          </c:extLst>
        </c:ser>
        <c:ser>
          <c:idx val="0"/>
          <c:order val="3"/>
          <c:tx>
            <c:strRef>
              <c:f>pH!$A$3</c:f>
              <c:strCache>
                <c:ptCount val="1"/>
                <c:pt idx="0">
                  <c:v>16a-Turkey Creek Inflow</c:v>
                </c:pt>
              </c:strCache>
            </c:strRef>
          </c:tx>
          <c:val>
            <c:numRef>
              <c:f>pH!$B$3:$P$3</c:f>
              <c:numCache>
                <c:formatCode>0.00</c:formatCode>
                <c:ptCount val="15"/>
                <c:pt idx="0">
                  <c:v>8.09</c:v>
                </c:pt>
                <c:pt idx="1">
                  <c:v>8.91</c:v>
                </c:pt>
                <c:pt idx="2">
                  <c:v>8.1300000000000008</c:v>
                </c:pt>
                <c:pt idx="3">
                  <c:v>8.9700000000000006</c:v>
                </c:pt>
                <c:pt idx="4">
                  <c:v>8.61</c:v>
                </c:pt>
                <c:pt idx="5">
                  <c:v>7.53</c:v>
                </c:pt>
                <c:pt idx="6">
                  <c:v>8.74</c:v>
                </c:pt>
                <c:pt idx="7">
                  <c:v>8.35</c:v>
                </c:pt>
                <c:pt idx="8">
                  <c:v>8.56</c:v>
                </c:pt>
                <c:pt idx="9">
                  <c:v>7.7</c:v>
                </c:pt>
                <c:pt idx="10">
                  <c:v>8.26</c:v>
                </c:pt>
                <c:pt idx="11">
                  <c:v>8.18</c:v>
                </c:pt>
                <c:pt idx="12">
                  <c:v>8.5399999999999991</c:v>
                </c:pt>
                <c:pt idx="13">
                  <c:v>8.6999999999999993</c:v>
                </c:pt>
                <c:pt idx="14">
                  <c:v>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FC-40A3-B598-A2F8DFE29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9808"/>
        <c:axId val="114681344"/>
      </c:lineChart>
      <c:dateAx>
        <c:axId val="114679808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81344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4681344"/>
        <c:scaling>
          <c:orientation val="minMax"/>
          <c:max val="9.5"/>
          <c:min val="6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7980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Nitrate-Nitrogen [ug/l] Trend</a:t>
            </a:r>
          </a:p>
        </c:rich>
      </c:tx>
      <c:layout>
        <c:manualLayout>
          <c:xMode val="edge"/>
          <c:yMode val="edge"/>
          <c:x val="0.25850552970155538"/>
          <c:y val="4.0625684443343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519114688128479E-2"/>
          <c:y val="0.13001712679211971"/>
          <c:w val="0.89738430583491047"/>
          <c:h val="0.6929334927525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Trends'!$B$10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Trends'!$C$10:$AA$10</c:f>
              <c:numCache>
                <c:formatCode>0</c:formatCode>
                <c:ptCount val="25"/>
                <c:pt idx="0">
                  <c:v>442</c:v>
                </c:pt>
                <c:pt idx="1">
                  <c:v>289</c:v>
                </c:pt>
                <c:pt idx="2">
                  <c:v>504</c:v>
                </c:pt>
                <c:pt idx="3">
                  <c:v>382</c:v>
                </c:pt>
                <c:pt idx="4">
                  <c:v>474</c:v>
                </c:pt>
                <c:pt idx="5">
                  <c:v>578</c:v>
                </c:pt>
                <c:pt idx="6">
                  <c:v>393</c:v>
                </c:pt>
                <c:pt idx="7">
                  <c:v>388</c:v>
                </c:pt>
                <c:pt idx="8">
                  <c:v>224</c:v>
                </c:pt>
                <c:pt idx="9">
                  <c:v>431</c:v>
                </c:pt>
                <c:pt idx="10">
                  <c:v>401</c:v>
                </c:pt>
                <c:pt idx="11">
                  <c:v>289</c:v>
                </c:pt>
                <c:pt idx="12">
                  <c:v>268</c:v>
                </c:pt>
                <c:pt idx="13">
                  <c:v>268</c:v>
                </c:pt>
                <c:pt idx="14">
                  <c:v>193.23769230769227</c:v>
                </c:pt>
                <c:pt idx="15">
                  <c:v>158.27857142857144</c:v>
                </c:pt>
                <c:pt idx="16">
                  <c:v>221.96199999999999</c:v>
                </c:pt>
                <c:pt idx="17">
                  <c:v>233</c:v>
                </c:pt>
                <c:pt idx="18">
                  <c:v>291</c:v>
                </c:pt>
                <c:pt idx="19">
                  <c:v>287</c:v>
                </c:pt>
                <c:pt idx="20">
                  <c:v>158</c:v>
                </c:pt>
                <c:pt idx="21">
                  <c:v>165</c:v>
                </c:pt>
                <c:pt idx="22">
                  <c:v>161</c:v>
                </c:pt>
                <c:pt idx="23">
                  <c:v>307</c:v>
                </c:pt>
                <c:pt idx="2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E-4EE1-A0C9-D1B799A1AD0E}"/>
            </c:ext>
          </c:extLst>
        </c:ser>
        <c:ser>
          <c:idx val="3"/>
          <c:order val="1"/>
          <c:tx>
            <c:strRef>
              <c:f>'Annual Reservoir Trends'!$B$12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Trends'!$C$12:$AA$12</c:f>
              <c:numCache>
                <c:formatCode>0</c:formatCode>
                <c:ptCount val="25"/>
                <c:pt idx="0">
                  <c:v>341</c:v>
                </c:pt>
                <c:pt idx="1">
                  <c:v>228</c:v>
                </c:pt>
                <c:pt idx="2">
                  <c:v>333</c:v>
                </c:pt>
                <c:pt idx="3">
                  <c:v>308</c:v>
                </c:pt>
                <c:pt idx="4">
                  <c:v>503</c:v>
                </c:pt>
                <c:pt idx="5">
                  <c:v>561</c:v>
                </c:pt>
                <c:pt idx="6">
                  <c:v>341</c:v>
                </c:pt>
                <c:pt idx="7">
                  <c:v>342</c:v>
                </c:pt>
                <c:pt idx="8">
                  <c:v>231</c:v>
                </c:pt>
                <c:pt idx="9">
                  <c:v>483</c:v>
                </c:pt>
                <c:pt idx="10">
                  <c:v>390</c:v>
                </c:pt>
                <c:pt idx="11">
                  <c:v>268</c:v>
                </c:pt>
                <c:pt idx="12">
                  <c:v>259</c:v>
                </c:pt>
                <c:pt idx="13">
                  <c:v>224</c:v>
                </c:pt>
                <c:pt idx="14">
                  <c:v>220.75615384615381</c:v>
                </c:pt>
                <c:pt idx="15">
                  <c:v>151.27000000000001</c:v>
                </c:pt>
                <c:pt idx="16">
                  <c:v>232.79071428571427</c:v>
                </c:pt>
                <c:pt idx="17">
                  <c:v>230</c:v>
                </c:pt>
                <c:pt idx="18">
                  <c:v>244</c:v>
                </c:pt>
                <c:pt idx="19">
                  <c:v>222</c:v>
                </c:pt>
                <c:pt idx="20">
                  <c:v>186</c:v>
                </c:pt>
                <c:pt idx="21">
                  <c:v>102</c:v>
                </c:pt>
                <c:pt idx="22">
                  <c:v>144</c:v>
                </c:pt>
                <c:pt idx="23">
                  <c:v>274</c:v>
                </c:pt>
                <c:pt idx="2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E-4EE1-A0C9-D1B799A1A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6258816"/>
        <c:axId val="106260352"/>
      </c:barChart>
      <c:catAx>
        <c:axId val="106258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5881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27931338175408"/>
          <c:y val="0.18889595024972089"/>
          <c:w val="0.37921992917967551"/>
          <c:h val="7.6949922983293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BCR pH Average 1/2-2 Meters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pH!$B$2:$P$2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pH!$B$22:$P$22</c:f>
              <c:numCache>
                <c:formatCode>0.00</c:formatCode>
                <c:ptCount val="15"/>
                <c:pt idx="0">
                  <c:v>8.2275000000000009</c:v>
                </c:pt>
                <c:pt idx="1">
                  <c:v>8.64</c:v>
                </c:pt>
                <c:pt idx="2">
                  <c:v>7.9550000000000001</c:v>
                </c:pt>
                <c:pt idx="3">
                  <c:v>8.48</c:v>
                </c:pt>
                <c:pt idx="4">
                  <c:v>8.2899999999999991</c:v>
                </c:pt>
                <c:pt idx="5">
                  <c:v>7.7</c:v>
                </c:pt>
                <c:pt idx="6">
                  <c:v>8.3699999999999992</c:v>
                </c:pt>
                <c:pt idx="7">
                  <c:v>8.2850000000000001</c:v>
                </c:pt>
                <c:pt idx="8">
                  <c:v>8.11</c:v>
                </c:pt>
                <c:pt idx="9">
                  <c:v>8.0274999999999999</c:v>
                </c:pt>
                <c:pt idx="10">
                  <c:v>8.1275000000000013</c:v>
                </c:pt>
                <c:pt idx="11">
                  <c:v>8.1449999999999996</c:v>
                </c:pt>
                <c:pt idx="12">
                  <c:v>8.0875000000000004</c:v>
                </c:pt>
                <c:pt idx="13">
                  <c:v>8.504999999999999</c:v>
                </c:pt>
                <c:pt idx="14">
                  <c:v>8.3875000000000011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B-4A66-A230-E06D23E4E04F}"/>
            </c:ext>
          </c:extLst>
        </c:ser>
        <c:ser>
          <c:idx val="1"/>
          <c:order val="1"/>
          <c:tx>
            <c:strRef>
              <c:f>pH!$A$24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pH!$B$37:$P$37</c:f>
              <c:numCache>
                <c:formatCode>0.00</c:formatCode>
                <c:ptCount val="15"/>
                <c:pt idx="0">
                  <c:v>8.2250000000000014</c:v>
                </c:pt>
                <c:pt idx="2">
                  <c:v>7.8849999999999998</c:v>
                </c:pt>
                <c:pt idx="3">
                  <c:v>8.24</c:v>
                </c:pt>
                <c:pt idx="4">
                  <c:v>7.9350000000000005</c:v>
                </c:pt>
                <c:pt idx="5">
                  <c:v>7.5474999999999994</c:v>
                </c:pt>
                <c:pt idx="6">
                  <c:v>8.1050000000000004</c:v>
                </c:pt>
                <c:pt idx="7">
                  <c:v>8.2050000000000001</c:v>
                </c:pt>
                <c:pt idx="8">
                  <c:v>7.98</c:v>
                </c:pt>
                <c:pt idx="9">
                  <c:v>8.2149999999999999</c:v>
                </c:pt>
                <c:pt idx="10">
                  <c:v>7.87</c:v>
                </c:pt>
                <c:pt idx="11">
                  <c:v>8.11</c:v>
                </c:pt>
                <c:pt idx="12">
                  <c:v>7.8274999999999997</c:v>
                </c:pt>
                <c:pt idx="13">
                  <c:v>8.3025000000000002</c:v>
                </c:pt>
                <c:pt idx="14">
                  <c:v>8.7275000000000009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B-4A66-A230-E06D23E4E04F}"/>
            </c:ext>
          </c:extLst>
        </c:ser>
        <c:ser>
          <c:idx val="2"/>
          <c:order val="2"/>
          <c:tx>
            <c:strRef>
              <c:f>pH!$A$39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pH!$B$52:$P$52</c:f>
              <c:numCache>
                <c:formatCode>0.00</c:formatCode>
                <c:ptCount val="15"/>
                <c:pt idx="0">
                  <c:v>8.0724999999999998</c:v>
                </c:pt>
                <c:pt idx="2">
                  <c:v>7.9124999999999996</c:v>
                </c:pt>
                <c:pt idx="3">
                  <c:v>8.2050000000000001</c:v>
                </c:pt>
                <c:pt idx="4">
                  <c:v>7.8525</c:v>
                </c:pt>
                <c:pt idx="5">
                  <c:v>7.5299999999999994</c:v>
                </c:pt>
                <c:pt idx="6">
                  <c:v>7.99</c:v>
                </c:pt>
                <c:pt idx="7">
                  <c:v>8.2899999999999991</c:v>
                </c:pt>
                <c:pt idx="8">
                  <c:v>7.8150000000000004</c:v>
                </c:pt>
                <c:pt idx="9">
                  <c:v>8.2275000000000009</c:v>
                </c:pt>
                <c:pt idx="10">
                  <c:v>7.8650000000000002</c:v>
                </c:pt>
                <c:pt idx="11">
                  <c:v>7.995000000000001</c:v>
                </c:pt>
                <c:pt idx="12">
                  <c:v>7.74</c:v>
                </c:pt>
                <c:pt idx="13">
                  <c:v>8.2325000000000017</c:v>
                </c:pt>
                <c:pt idx="14">
                  <c:v>8.4550000000000001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B-4A66-A230-E06D23E4E04F}"/>
            </c:ext>
          </c:extLst>
        </c:ser>
        <c:ser>
          <c:idx val="3"/>
          <c:order val="3"/>
          <c:tx>
            <c:strRef>
              <c:f>pH!$A$54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pH!$B$65:$P$65</c:f>
              <c:numCache>
                <c:formatCode>0.00</c:formatCode>
                <c:ptCount val="15"/>
                <c:pt idx="0">
                  <c:v>8.5100000000000016</c:v>
                </c:pt>
                <c:pt idx="2">
                  <c:v>7.9074999999999998</c:v>
                </c:pt>
                <c:pt idx="3">
                  <c:v>8.1225000000000005</c:v>
                </c:pt>
                <c:pt idx="4">
                  <c:v>7.7850000000000001</c:v>
                </c:pt>
                <c:pt idx="5">
                  <c:v>7.4850000000000012</c:v>
                </c:pt>
                <c:pt idx="6">
                  <c:v>7.9625000000000004</c:v>
                </c:pt>
                <c:pt idx="7">
                  <c:v>8.1925000000000008</c:v>
                </c:pt>
                <c:pt idx="8">
                  <c:v>7.9325000000000001</c:v>
                </c:pt>
                <c:pt idx="9">
                  <c:v>8.1374999999999993</c:v>
                </c:pt>
                <c:pt idx="10">
                  <c:v>7.78</c:v>
                </c:pt>
                <c:pt idx="11">
                  <c:v>8.0449999999999999</c:v>
                </c:pt>
                <c:pt idx="12">
                  <c:v>7.7124999999999995</c:v>
                </c:pt>
                <c:pt idx="13">
                  <c:v>8.18</c:v>
                </c:pt>
                <c:pt idx="14">
                  <c:v>8.317499999999999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0B-4A66-A230-E06D23E4E04F}"/>
            </c:ext>
          </c:extLst>
        </c:ser>
        <c:ser>
          <c:idx val="4"/>
          <c:order val="4"/>
          <c:tx>
            <c:strRef>
              <c:f>pH!$A$67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pH!$B$80:$P$80</c:f>
              <c:numCache>
                <c:formatCode>0.00</c:formatCode>
                <c:ptCount val="15"/>
                <c:pt idx="0">
                  <c:v>8.3000000000000007</c:v>
                </c:pt>
                <c:pt idx="2">
                  <c:v>7.9425000000000008</c:v>
                </c:pt>
                <c:pt idx="3">
                  <c:v>8.1550000000000011</c:v>
                </c:pt>
                <c:pt idx="4">
                  <c:v>7.84</c:v>
                </c:pt>
                <c:pt idx="5">
                  <c:v>7.5374999999999996</c:v>
                </c:pt>
                <c:pt idx="6">
                  <c:v>7.93</c:v>
                </c:pt>
                <c:pt idx="7">
                  <c:v>8.31</c:v>
                </c:pt>
                <c:pt idx="8">
                  <c:v>7.9725000000000001</c:v>
                </c:pt>
                <c:pt idx="9">
                  <c:v>8.2249999999999996</c:v>
                </c:pt>
                <c:pt idx="10">
                  <c:v>7.7974999999999994</c:v>
                </c:pt>
                <c:pt idx="11">
                  <c:v>7.8849999999999998</c:v>
                </c:pt>
                <c:pt idx="12">
                  <c:v>7.6749999999999998</c:v>
                </c:pt>
                <c:pt idx="13">
                  <c:v>8.1449999999999996</c:v>
                </c:pt>
                <c:pt idx="14">
                  <c:v>9.0325000000000006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0B-4A66-A230-E06D23E4E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45376"/>
        <c:axId val="108246912"/>
      </c:lineChart>
      <c:dateAx>
        <c:axId val="10824537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8246912"/>
        <c:crosses val="autoZero"/>
        <c:auto val="1"/>
        <c:lblOffset val="100"/>
        <c:baseTimeUnit val="days"/>
      </c:dateAx>
      <c:valAx>
        <c:axId val="108246912"/>
        <c:scaling>
          <c:orientation val="minMax"/>
          <c:max val="9.5"/>
          <c:min val="7"/>
        </c:scaling>
        <c:delete val="0"/>
        <c:axPos val="l"/>
        <c:majorGridlines/>
        <c:min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824537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 cap="sq" cmpd="sng">
          <a:solidFill>
            <a:srgbClr val="000000"/>
          </a:solidFill>
          <a:prstDash val="solid"/>
          <a:round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 Black"/>
                <a:cs typeface="Arial Black"/>
              </a:defRPr>
            </a:pPr>
            <a:r>
              <a:rPr lang="en-US" sz="1400" b="1">
                <a:latin typeface="+mn-lt"/>
              </a:rPr>
              <a:t>BCR Dissolved Oxygen Average 1/2-2 Meters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Oxygen!$A$6</c:f>
              <c:strCache>
                <c:ptCount val="1"/>
                <c:pt idx="0">
                  <c:v>Site 40 Central Pool</c:v>
                </c:pt>
              </c:strCache>
            </c:strRef>
          </c:tx>
          <c:cat>
            <c:numRef>
              <c:f>Oxygen!$B$2:$P$2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Oxygen!$B$22:$P$22</c:f>
              <c:numCache>
                <c:formatCode>0.00</c:formatCode>
                <c:ptCount val="15"/>
                <c:pt idx="0">
                  <c:v>14.055</c:v>
                </c:pt>
                <c:pt idx="1">
                  <c:v>15.225000000000001</c:v>
                </c:pt>
                <c:pt idx="2">
                  <c:v>15.3125</c:v>
                </c:pt>
                <c:pt idx="3">
                  <c:v>10.244999999999999</c:v>
                </c:pt>
                <c:pt idx="4">
                  <c:v>8.84</c:v>
                </c:pt>
                <c:pt idx="5">
                  <c:v>7.7225000000000001</c:v>
                </c:pt>
                <c:pt idx="6">
                  <c:v>8.16</c:v>
                </c:pt>
                <c:pt idx="7">
                  <c:v>8.5350000000000001</c:v>
                </c:pt>
                <c:pt idx="8">
                  <c:v>8.0250000000000004</c:v>
                </c:pt>
                <c:pt idx="9">
                  <c:v>8.3674999999999997</c:v>
                </c:pt>
                <c:pt idx="10">
                  <c:v>6.9449999999999994</c:v>
                </c:pt>
                <c:pt idx="11">
                  <c:v>8.7725000000000009</c:v>
                </c:pt>
                <c:pt idx="12">
                  <c:v>6.6124999999999998</c:v>
                </c:pt>
                <c:pt idx="13">
                  <c:v>10.959999999999999</c:v>
                </c:pt>
                <c:pt idx="14">
                  <c:v>14.055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0-449F-B9BB-DF42B4540E27}"/>
            </c:ext>
          </c:extLst>
        </c:ser>
        <c:ser>
          <c:idx val="1"/>
          <c:order val="1"/>
          <c:tx>
            <c:strRef>
              <c:f>Oxygen!$A$24</c:f>
              <c:strCache>
                <c:ptCount val="1"/>
                <c:pt idx="0">
                  <c:v>Site 41- BC Outlet</c:v>
                </c:pt>
              </c:strCache>
            </c:strRef>
          </c:tx>
          <c:val>
            <c:numRef>
              <c:f>Oxygen!$B$37:$P$37</c:f>
              <c:numCache>
                <c:formatCode>0.00</c:formatCode>
                <c:ptCount val="15"/>
                <c:pt idx="0">
                  <c:v>13.47</c:v>
                </c:pt>
                <c:pt idx="2">
                  <c:v>15.265000000000001</c:v>
                </c:pt>
                <c:pt idx="3">
                  <c:v>10.3</c:v>
                </c:pt>
                <c:pt idx="4">
                  <c:v>8.6749999999999989</c:v>
                </c:pt>
                <c:pt idx="5">
                  <c:v>7.5925000000000002</c:v>
                </c:pt>
                <c:pt idx="6">
                  <c:v>8.26</c:v>
                </c:pt>
                <c:pt idx="7">
                  <c:v>9.4624999999999986</c:v>
                </c:pt>
                <c:pt idx="8">
                  <c:v>8.817499999999999</c:v>
                </c:pt>
                <c:pt idx="9">
                  <c:v>9.49</c:v>
                </c:pt>
                <c:pt idx="10">
                  <c:v>6.3900000000000006</c:v>
                </c:pt>
                <c:pt idx="11">
                  <c:v>11.55</c:v>
                </c:pt>
                <c:pt idx="12">
                  <c:v>6.7050000000000001</c:v>
                </c:pt>
                <c:pt idx="13">
                  <c:v>10.404999999999999</c:v>
                </c:pt>
                <c:pt idx="14">
                  <c:v>14.290000000000001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0-449F-B9BB-DF42B4540E27}"/>
            </c:ext>
          </c:extLst>
        </c:ser>
        <c:ser>
          <c:idx val="2"/>
          <c:order val="2"/>
          <c:tx>
            <c:strRef>
              <c:f>Oxygen!$A$39</c:f>
              <c:strCache>
                <c:ptCount val="1"/>
                <c:pt idx="0">
                  <c:v>Site 42 - South Dam</c:v>
                </c:pt>
              </c:strCache>
            </c:strRef>
          </c:tx>
          <c:val>
            <c:numRef>
              <c:f>Oxygen!$B$52:$P$52</c:f>
              <c:numCache>
                <c:formatCode>0.00</c:formatCode>
                <c:ptCount val="15"/>
                <c:pt idx="0">
                  <c:v>12.860000000000001</c:v>
                </c:pt>
                <c:pt idx="2">
                  <c:v>15.307499999999999</c:v>
                </c:pt>
                <c:pt idx="3">
                  <c:v>10.2775</c:v>
                </c:pt>
                <c:pt idx="4">
                  <c:v>8.9775000000000009</c:v>
                </c:pt>
                <c:pt idx="5">
                  <c:v>7.8975</c:v>
                </c:pt>
                <c:pt idx="6">
                  <c:v>8.59</c:v>
                </c:pt>
                <c:pt idx="7">
                  <c:v>9.3324999999999996</c:v>
                </c:pt>
                <c:pt idx="8">
                  <c:v>8.11</c:v>
                </c:pt>
                <c:pt idx="9">
                  <c:v>9.5175000000000001</c:v>
                </c:pt>
                <c:pt idx="10">
                  <c:v>6.1300000000000008</c:v>
                </c:pt>
                <c:pt idx="11">
                  <c:v>10.502500000000001</c:v>
                </c:pt>
                <c:pt idx="12">
                  <c:v>6.6274999999999995</c:v>
                </c:pt>
                <c:pt idx="13">
                  <c:v>10.702500000000001</c:v>
                </c:pt>
                <c:pt idx="14">
                  <c:v>13.942499999999999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0-449F-B9BB-DF42B4540E27}"/>
            </c:ext>
          </c:extLst>
        </c:ser>
        <c:ser>
          <c:idx val="3"/>
          <c:order val="3"/>
          <c:tx>
            <c:strRef>
              <c:f>Oxygen!$A$54</c:f>
              <c:strCache>
                <c:ptCount val="1"/>
                <c:pt idx="0">
                  <c:v>Site 43 - TC Inlet</c:v>
                </c:pt>
              </c:strCache>
            </c:strRef>
          </c:tx>
          <c:val>
            <c:numRef>
              <c:f>Oxygen!$B$65:$P$65</c:f>
              <c:numCache>
                <c:formatCode>0.00</c:formatCode>
                <c:ptCount val="15"/>
                <c:pt idx="0">
                  <c:v>14.05</c:v>
                </c:pt>
                <c:pt idx="2">
                  <c:v>14.86</c:v>
                </c:pt>
                <c:pt idx="3">
                  <c:v>10.25</c:v>
                </c:pt>
                <c:pt idx="4">
                  <c:v>9.5299999999999994</c:v>
                </c:pt>
                <c:pt idx="5">
                  <c:v>7.42</c:v>
                </c:pt>
                <c:pt idx="6">
                  <c:v>8.56</c:v>
                </c:pt>
                <c:pt idx="7">
                  <c:v>9.2550000000000008</c:v>
                </c:pt>
                <c:pt idx="8">
                  <c:v>9.3475000000000001</c:v>
                </c:pt>
                <c:pt idx="9">
                  <c:v>9.4049999999999994</c:v>
                </c:pt>
                <c:pt idx="10">
                  <c:v>5.51</c:v>
                </c:pt>
                <c:pt idx="11">
                  <c:v>11.695</c:v>
                </c:pt>
                <c:pt idx="12">
                  <c:v>6.5225</c:v>
                </c:pt>
                <c:pt idx="13">
                  <c:v>10.5025</c:v>
                </c:pt>
                <c:pt idx="14">
                  <c:v>14.025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0-449F-B9BB-DF42B4540E27}"/>
            </c:ext>
          </c:extLst>
        </c:ser>
        <c:ser>
          <c:idx val="4"/>
          <c:order val="4"/>
          <c:tx>
            <c:strRef>
              <c:f>Oxygen!$A$67</c:f>
              <c:strCache>
                <c:ptCount val="1"/>
                <c:pt idx="0">
                  <c:v>Site 44 - BC Inlet</c:v>
                </c:pt>
              </c:strCache>
            </c:strRef>
          </c:tx>
          <c:val>
            <c:numRef>
              <c:f>Oxygen!$B$80:$P$80</c:f>
              <c:numCache>
                <c:formatCode>0.00</c:formatCode>
                <c:ptCount val="15"/>
                <c:pt idx="0">
                  <c:v>13.2775</c:v>
                </c:pt>
                <c:pt idx="2">
                  <c:v>14.62</c:v>
                </c:pt>
                <c:pt idx="3">
                  <c:v>10.3025</c:v>
                </c:pt>
                <c:pt idx="4">
                  <c:v>9.4224999999999994</c:v>
                </c:pt>
                <c:pt idx="5">
                  <c:v>7.5575000000000001</c:v>
                </c:pt>
                <c:pt idx="6">
                  <c:v>8.6425000000000001</c:v>
                </c:pt>
                <c:pt idx="7">
                  <c:v>9.6275000000000013</c:v>
                </c:pt>
                <c:pt idx="8">
                  <c:v>9.1274999999999995</c:v>
                </c:pt>
                <c:pt idx="9">
                  <c:v>9.620000000000001</c:v>
                </c:pt>
                <c:pt idx="10">
                  <c:v>6.25</c:v>
                </c:pt>
                <c:pt idx="11">
                  <c:v>11.35</c:v>
                </c:pt>
                <c:pt idx="12">
                  <c:v>6.8024999999999993</c:v>
                </c:pt>
                <c:pt idx="13">
                  <c:v>10.399999999999999</c:v>
                </c:pt>
                <c:pt idx="14">
                  <c:v>14.327500000000001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60-449F-B9BB-DF42B454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0448"/>
        <c:axId val="115001984"/>
      </c:lineChart>
      <c:dateAx>
        <c:axId val="115000448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15001984"/>
        <c:crosses val="autoZero"/>
        <c:auto val="1"/>
        <c:lblOffset val="100"/>
        <c:baseTimeUnit val="days"/>
        <c:majorUnit val="30"/>
        <c:majorTimeUnit val="days"/>
        <c:minorUnit val="7"/>
        <c:minorTimeUnit val="days"/>
      </c:dateAx>
      <c:valAx>
        <c:axId val="115001984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15000448"/>
        <c:crosses val="autoZero"/>
        <c:crossBetween val="between"/>
        <c:majorUnit val="1"/>
        <c:minorUnit val="0.2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25400">
          <a:solidFill>
            <a:schemeClr val="tx1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Dissolved Oxygen Trends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Oxygen!$A$3</c:f>
              <c:strCache>
                <c:ptCount val="1"/>
                <c:pt idx="0">
                  <c:v>16a-Turkey Creek Inflow</c:v>
                </c:pt>
              </c:strCache>
            </c:strRef>
          </c:tx>
          <c:marker>
            <c:symbol val="none"/>
          </c:marker>
          <c:cat>
            <c:numRef>
              <c:f>Oxygen!$B$2:$P$2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Oxygen!$B$3:$P$3</c:f>
              <c:numCache>
                <c:formatCode>0.00</c:formatCode>
                <c:ptCount val="15"/>
                <c:pt idx="0">
                  <c:v>13.31</c:v>
                </c:pt>
                <c:pt idx="1">
                  <c:v>16.489999999999998</c:v>
                </c:pt>
                <c:pt idx="2">
                  <c:v>14.58</c:v>
                </c:pt>
                <c:pt idx="3">
                  <c:v>12.02</c:v>
                </c:pt>
                <c:pt idx="4">
                  <c:v>11.42</c:v>
                </c:pt>
                <c:pt idx="5">
                  <c:v>11.74</c:v>
                </c:pt>
                <c:pt idx="6">
                  <c:v>9.9499999999999993</c:v>
                </c:pt>
                <c:pt idx="7">
                  <c:v>9.9600000000000009</c:v>
                </c:pt>
                <c:pt idx="8">
                  <c:v>9.6</c:v>
                </c:pt>
                <c:pt idx="9">
                  <c:v>9.65</c:v>
                </c:pt>
                <c:pt idx="10">
                  <c:v>10.47</c:v>
                </c:pt>
                <c:pt idx="11">
                  <c:v>11.09</c:v>
                </c:pt>
                <c:pt idx="12">
                  <c:v>9.8699999999999992</c:v>
                </c:pt>
                <c:pt idx="13">
                  <c:v>12.66</c:v>
                </c:pt>
                <c:pt idx="14">
                  <c:v>15.15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9-4B89-8404-E0903221767C}"/>
            </c:ext>
          </c:extLst>
        </c:ser>
        <c:ser>
          <c:idx val="1"/>
          <c:order val="1"/>
          <c:tx>
            <c:strRef>
              <c:f>Oxygen!$A$4</c:f>
              <c:strCache>
                <c:ptCount val="1"/>
                <c:pt idx="0">
                  <c:v>15a-Bear Creek Inflow</c:v>
                </c:pt>
              </c:strCache>
            </c:strRef>
          </c:tx>
          <c:marker>
            <c:symbol val="none"/>
          </c:marker>
          <c:val>
            <c:numRef>
              <c:f>Oxygen!$B$4:$P$4</c:f>
              <c:numCache>
                <c:formatCode>0.00</c:formatCode>
                <c:ptCount val="15"/>
                <c:pt idx="0">
                  <c:v>14.1</c:v>
                </c:pt>
                <c:pt idx="1">
                  <c:v>16.12</c:v>
                </c:pt>
                <c:pt idx="2">
                  <c:v>14.39</c:v>
                </c:pt>
                <c:pt idx="3">
                  <c:v>11.86</c:v>
                </c:pt>
                <c:pt idx="4">
                  <c:v>12</c:v>
                </c:pt>
                <c:pt idx="5">
                  <c:v>11.72</c:v>
                </c:pt>
                <c:pt idx="6">
                  <c:v>10.34</c:v>
                </c:pt>
                <c:pt idx="7">
                  <c:v>10.31</c:v>
                </c:pt>
                <c:pt idx="8">
                  <c:v>9.41</c:v>
                </c:pt>
                <c:pt idx="9">
                  <c:v>9.5299999999999994</c:v>
                </c:pt>
                <c:pt idx="10">
                  <c:v>10.27</c:v>
                </c:pt>
                <c:pt idx="11">
                  <c:v>12.34</c:v>
                </c:pt>
                <c:pt idx="12">
                  <c:v>11.14</c:v>
                </c:pt>
                <c:pt idx="13">
                  <c:v>13.46</c:v>
                </c:pt>
                <c:pt idx="14">
                  <c:v>16.010000000000002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9-4B89-8404-E0903221767C}"/>
            </c:ext>
          </c:extLst>
        </c:ser>
        <c:ser>
          <c:idx val="2"/>
          <c:order val="2"/>
          <c:tx>
            <c:strRef>
              <c:f>Oxygen!$A$5</c:f>
              <c:strCache>
                <c:ptCount val="1"/>
                <c:pt idx="0">
                  <c:v>45-Bear Creek Discharge</c:v>
                </c:pt>
              </c:strCache>
            </c:strRef>
          </c:tx>
          <c:marker>
            <c:symbol val="none"/>
          </c:marker>
          <c:val>
            <c:numRef>
              <c:f>Oxygen!$B$5:$P$5</c:f>
              <c:numCache>
                <c:formatCode>0.00</c:formatCode>
                <c:ptCount val="15"/>
                <c:pt idx="0">
                  <c:v>12.78</c:v>
                </c:pt>
                <c:pt idx="1">
                  <c:v>15.49</c:v>
                </c:pt>
                <c:pt idx="2">
                  <c:v>11.83</c:v>
                </c:pt>
                <c:pt idx="3">
                  <c:v>10.4</c:v>
                </c:pt>
                <c:pt idx="4">
                  <c:v>12.29</c:v>
                </c:pt>
                <c:pt idx="5">
                  <c:v>11.96</c:v>
                </c:pt>
                <c:pt idx="6">
                  <c:v>10.95</c:v>
                </c:pt>
                <c:pt idx="7">
                  <c:v>7.61</c:v>
                </c:pt>
                <c:pt idx="8">
                  <c:v>8.5299999999999994</c:v>
                </c:pt>
                <c:pt idx="9">
                  <c:v>6.14</c:v>
                </c:pt>
                <c:pt idx="10">
                  <c:v>5.89</c:v>
                </c:pt>
                <c:pt idx="11">
                  <c:v>8.2100000000000009</c:v>
                </c:pt>
                <c:pt idx="12">
                  <c:v>10.67</c:v>
                </c:pt>
                <c:pt idx="13">
                  <c:v>3.28</c:v>
                </c:pt>
                <c:pt idx="14">
                  <c:v>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9-4B89-8404-E0903221767C}"/>
            </c:ext>
          </c:extLst>
        </c:ser>
        <c:ser>
          <c:idx val="3"/>
          <c:order val="3"/>
          <c:tx>
            <c:strRef>
              <c:f>Oxygen!$A$23</c:f>
              <c:strCache>
                <c:ptCount val="1"/>
                <c:pt idx="0">
                  <c:v>BCR Site 40 Profile Average</c:v>
                </c:pt>
              </c:strCache>
            </c:strRef>
          </c:tx>
          <c:marker>
            <c:symbol val="none"/>
          </c:marker>
          <c:val>
            <c:numRef>
              <c:f>Oxygen!$B$23:$P$23</c:f>
              <c:numCache>
                <c:formatCode>0.00</c:formatCode>
                <c:ptCount val="15"/>
                <c:pt idx="0">
                  <c:v>11.061333333333332</c:v>
                </c:pt>
                <c:pt idx="1">
                  <c:v>11.129999999999997</c:v>
                </c:pt>
                <c:pt idx="2">
                  <c:v>12.259333333333332</c:v>
                </c:pt>
                <c:pt idx="3">
                  <c:v>9.0920000000000005</c:v>
                </c:pt>
                <c:pt idx="4">
                  <c:v>9.325333333333333</c:v>
                </c:pt>
                <c:pt idx="5">
                  <c:v>8.09</c:v>
                </c:pt>
                <c:pt idx="6">
                  <c:v>6.5520000000000005</c:v>
                </c:pt>
                <c:pt idx="7">
                  <c:v>7.0633333333333344</c:v>
                </c:pt>
                <c:pt idx="8">
                  <c:v>5.8213333333333335</c:v>
                </c:pt>
                <c:pt idx="9">
                  <c:v>6.4414285714285695</c:v>
                </c:pt>
                <c:pt idx="10">
                  <c:v>4.9314285714285706</c:v>
                </c:pt>
                <c:pt idx="11">
                  <c:v>6.7900000000000009</c:v>
                </c:pt>
                <c:pt idx="12">
                  <c:v>6.3092857142857142</c:v>
                </c:pt>
                <c:pt idx="13">
                  <c:v>10.493076923076924</c:v>
                </c:pt>
                <c:pt idx="14">
                  <c:v>10.265714285714285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9-4B89-8404-E09032217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32832"/>
        <c:axId val="115034368"/>
      </c:lineChart>
      <c:dateAx>
        <c:axId val="115032832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034368"/>
        <c:crosses val="autoZero"/>
        <c:auto val="1"/>
        <c:lblOffset val="100"/>
        <c:baseTimeUnit val="days"/>
        <c:majorUnit val="30"/>
        <c:majorTimeUnit val="days"/>
      </c:dateAx>
      <c:valAx>
        <c:axId val="115034368"/>
        <c:scaling>
          <c:orientation val="minMax"/>
          <c:max val="17"/>
          <c:min val="3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032832"/>
        <c:crosses val="autoZero"/>
        <c:crossBetween val="between"/>
      </c:valAx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1F497D">
                <a:lumMod val="40000"/>
                <a:lumOff val="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000000"/>
          </a:solidFill>
        </a:ln>
      </c:spPr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BCR Temperature C (0.5-2m)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 DO Comp'!$A$4</c:f>
              <c:strCache>
                <c:ptCount val="1"/>
                <c:pt idx="0">
                  <c:v>site 40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'Temp DO Comp'!$B$4:$P$4</c:f>
              <c:numCache>
                <c:formatCode>0.00</c:formatCode>
                <c:ptCount val="15"/>
                <c:pt idx="0">
                  <c:v>1.4750000000000001</c:v>
                </c:pt>
                <c:pt idx="1">
                  <c:v>3.1749999999999998</c:v>
                </c:pt>
                <c:pt idx="2">
                  <c:v>8.1750000000000007</c:v>
                </c:pt>
                <c:pt idx="3">
                  <c:v>8.1750000000000007</c:v>
                </c:pt>
                <c:pt idx="4">
                  <c:v>10.7</c:v>
                </c:pt>
                <c:pt idx="5">
                  <c:v>18.350000000000001</c:v>
                </c:pt>
                <c:pt idx="6">
                  <c:v>20.475000000000001</c:v>
                </c:pt>
                <c:pt idx="7">
                  <c:v>17.899999999999999</c:v>
                </c:pt>
                <c:pt idx="8">
                  <c:v>18.274999999999999</c:v>
                </c:pt>
                <c:pt idx="9">
                  <c:v>17.96</c:v>
                </c:pt>
                <c:pt idx="10">
                  <c:v>17.55</c:v>
                </c:pt>
                <c:pt idx="11">
                  <c:v>17.25</c:v>
                </c:pt>
                <c:pt idx="12">
                  <c:v>14</c:v>
                </c:pt>
                <c:pt idx="13">
                  <c:v>5.4</c:v>
                </c:pt>
                <c:pt idx="14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E-414B-933A-BCA55D0D96CF}"/>
            </c:ext>
          </c:extLst>
        </c:ser>
        <c:ser>
          <c:idx val="1"/>
          <c:order val="1"/>
          <c:tx>
            <c:strRef>
              <c:f>'Temp DO Comp'!$A$5</c:f>
              <c:strCache>
                <c:ptCount val="1"/>
                <c:pt idx="0">
                  <c:v>Site 41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'Temp DO Comp'!$B$5:$P$5</c:f>
              <c:numCache>
                <c:formatCode>0.00</c:formatCode>
                <c:ptCount val="15"/>
                <c:pt idx="0">
                  <c:v>2.6666666666666661</c:v>
                </c:pt>
                <c:pt idx="2">
                  <c:v>8.2750000000000004</c:v>
                </c:pt>
                <c:pt idx="3">
                  <c:v>8.4499999999999993</c:v>
                </c:pt>
                <c:pt idx="4">
                  <c:v>10.6</c:v>
                </c:pt>
                <c:pt idx="5">
                  <c:v>17.875</c:v>
                </c:pt>
                <c:pt idx="6">
                  <c:v>20.350000000000001</c:v>
                </c:pt>
                <c:pt idx="7">
                  <c:v>18.174999999999997</c:v>
                </c:pt>
                <c:pt idx="8">
                  <c:v>18.575000000000003</c:v>
                </c:pt>
                <c:pt idx="9">
                  <c:v>18.575000000000003</c:v>
                </c:pt>
                <c:pt idx="10">
                  <c:v>17.700000000000003</c:v>
                </c:pt>
                <c:pt idx="11">
                  <c:v>17.425000000000001</c:v>
                </c:pt>
                <c:pt idx="12">
                  <c:v>14.05</c:v>
                </c:pt>
                <c:pt idx="13">
                  <c:v>5.3</c:v>
                </c:pt>
                <c:pt idx="14">
                  <c:v>0.82499999999999996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E-414B-933A-BCA55D0D96CF}"/>
            </c:ext>
          </c:extLst>
        </c:ser>
        <c:ser>
          <c:idx val="2"/>
          <c:order val="2"/>
          <c:tx>
            <c:strRef>
              <c:f>'Temp DO Comp'!$A$6</c:f>
              <c:strCache>
                <c:ptCount val="1"/>
                <c:pt idx="0">
                  <c:v>Site 42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'Temp DO Comp'!$B$6:$P$6</c:f>
              <c:numCache>
                <c:formatCode>0.00</c:formatCode>
                <c:ptCount val="15"/>
                <c:pt idx="0">
                  <c:v>3.2</c:v>
                </c:pt>
                <c:pt idx="2">
                  <c:v>8.4499999999999993</c:v>
                </c:pt>
                <c:pt idx="3">
                  <c:v>8.4749999999999996</c:v>
                </c:pt>
                <c:pt idx="4">
                  <c:v>10.75</c:v>
                </c:pt>
                <c:pt idx="5">
                  <c:v>18</c:v>
                </c:pt>
                <c:pt idx="6">
                  <c:v>20.225000000000001</c:v>
                </c:pt>
                <c:pt idx="7">
                  <c:v>18.05</c:v>
                </c:pt>
                <c:pt idx="8">
                  <c:v>18.3</c:v>
                </c:pt>
                <c:pt idx="9">
                  <c:v>18.399999999999999</c:v>
                </c:pt>
                <c:pt idx="10">
                  <c:v>17.725000000000001</c:v>
                </c:pt>
                <c:pt idx="11">
                  <c:v>17.174999999999997</c:v>
                </c:pt>
                <c:pt idx="12">
                  <c:v>14.1</c:v>
                </c:pt>
                <c:pt idx="13">
                  <c:v>5.4</c:v>
                </c:pt>
                <c:pt idx="14">
                  <c:v>0.77499999999999991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0E-414B-933A-BCA55D0D96CF}"/>
            </c:ext>
          </c:extLst>
        </c:ser>
        <c:ser>
          <c:idx val="3"/>
          <c:order val="3"/>
          <c:tx>
            <c:strRef>
              <c:f>'Temp DO Comp'!$A$7</c:f>
              <c:strCache>
                <c:ptCount val="1"/>
                <c:pt idx="0">
                  <c:v>Site 43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'Temp DO Comp'!$B$7:$P$7</c:f>
              <c:numCache>
                <c:formatCode>0.00</c:formatCode>
                <c:ptCount val="15"/>
                <c:pt idx="0">
                  <c:v>1.28</c:v>
                </c:pt>
                <c:pt idx="2">
                  <c:v>8.375</c:v>
                </c:pt>
                <c:pt idx="3">
                  <c:v>8.2750000000000004</c:v>
                </c:pt>
                <c:pt idx="4">
                  <c:v>11.375</c:v>
                </c:pt>
                <c:pt idx="5">
                  <c:v>18.75</c:v>
                </c:pt>
                <c:pt idx="6">
                  <c:v>20.5</c:v>
                </c:pt>
                <c:pt idx="7">
                  <c:v>17.700000000000003</c:v>
                </c:pt>
                <c:pt idx="8">
                  <c:v>18.75</c:v>
                </c:pt>
                <c:pt idx="9">
                  <c:v>18</c:v>
                </c:pt>
                <c:pt idx="10">
                  <c:v>17.75</c:v>
                </c:pt>
                <c:pt idx="11">
                  <c:v>17.475000000000001</c:v>
                </c:pt>
                <c:pt idx="12">
                  <c:v>14.025</c:v>
                </c:pt>
                <c:pt idx="13">
                  <c:v>5.55</c:v>
                </c:pt>
                <c:pt idx="14">
                  <c:v>0.17500000000000002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0E-414B-933A-BCA55D0D96CF}"/>
            </c:ext>
          </c:extLst>
        </c:ser>
        <c:ser>
          <c:idx val="4"/>
          <c:order val="4"/>
          <c:tx>
            <c:strRef>
              <c:f>'Temp DO Comp'!$A$8</c:f>
              <c:strCache>
                <c:ptCount val="1"/>
                <c:pt idx="0">
                  <c:v>Site 44</c:v>
                </c:pt>
              </c:strCache>
            </c:strRef>
          </c:tx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'Temp DO Comp'!$B$8:$P$8</c:f>
              <c:numCache>
                <c:formatCode>0.00</c:formatCode>
                <c:ptCount val="15"/>
                <c:pt idx="0">
                  <c:v>2.3818181818181823</c:v>
                </c:pt>
                <c:pt idx="2">
                  <c:v>7.5749999999999993</c:v>
                </c:pt>
                <c:pt idx="3">
                  <c:v>8.6750000000000007</c:v>
                </c:pt>
                <c:pt idx="4">
                  <c:v>11.174999999999999</c:v>
                </c:pt>
                <c:pt idx="5">
                  <c:v>18.3</c:v>
                </c:pt>
                <c:pt idx="6">
                  <c:v>20.575000000000003</c:v>
                </c:pt>
                <c:pt idx="7">
                  <c:v>18.375</c:v>
                </c:pt>
                <c:pt idx="8">
                  <c:v>18.925000000000001</c:v>
                </c:pt>
                <c:pt idx="9">
                  <c:v>18.350000000000001</c:v>
                </c:pt>
                <c:pt idx="10">
                  <c:v>17.75</c:v>
                </c:pt>
                <c:pt idx="11">
                  <c:v>17.424999999999997</c:v>
                </c:pt>
                <c:pt idx="12">
                  <c:v>14.1</c:v>
                </c:pt>
                <c:pt idx="13">
                  <c:v>5.5</c:v>
                </c:pt>
                <c:pt idx="14">
                  <c:v>1.0249999999999999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0E-414B-933A-BCA55D0D96CF}"/>
            </c:ext>
          </c:extLst>
        </c:ser>
        <c:ser>
          <c:idx val="5"/>
          <c:order val="5"/>
          <c:tx>
            <c:strRef>
              <c:f>'Temp DO Comp'!$A$9</c:f>
              <c:strCache>
                <c:ptCount val="1"/>
                <c:pt idx="0">
                  <c:v>S(Jan-Mar)</c:v>
                </c:pt>
              </c:strCache>
            </c:strRef>
          </c:tx>
          <c:spPr>
            <a:ln w="44450" cmpd="sng">
              <a:prstDash val="sysDash"/>
            </a:ln>
          </c:spPr>
          <c:marker>
            <c:symbol val="none"/>
          </c:marker>
          <c:val>
            <c:numRef>
              <c:f>'Temp DO Comp'!$B$9:$D$9</c:f>
              <c:numCache>
                <c:formatCode>0</c:formatCode>
                <c:ptCount val="3"/>
                <c:pt idx="0" formatCode="#,##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0E-414B-933A-BCA55D0D96CF}"/>
            </c:ext>
          </c:extLst>
        </c:ser>
        <c:ser>
          <c:idx val="6"/>
          <c:order val="6"/>
          <c:tx>
            <c:strRef>
              <c:f>'Temp DO Comp'!$A$10</c:f>
              <c:strCache>
                <c:ptCount val="1"/>
                <c:pt idx="0">
                  <c:v>S(Apr-Dec)</c:v>
                </c:pt>
              </c:strCache>
            </c:strRef>
          </c:tx>
          <c:spPr>
            <a:ln w="44450">
              <a:prstDash val="sysDash"/>
            </a:ln>
          </c:spPr>
          <c:marker>
            <c:symbol val="none"/>
          </c:marker>
          <c:val>
            <c:numRef>
              <c:f>'Temp DO Comp'!$B$10:$P$10</c:f>
              <c:numCache>
                <c:formatCode>0.00</c:formatCode>
                <c:ptCount val="15"/>
                <c:pt idx="3" formatCode="#,##0">
                  <c:v>23.3</c:v>
                </c:pt>
                <c:pt idx="4" formatCode="#,##0">
                  <c:v>23.3</c:v>
                </c:pt>
                <c:pt idx="5" formatCode="#,##0">
                  <c:v>23.3</c:v>
                </c:pt>
                <c:pt idx="6" formatCode="#,##0">
                  <c:v>23.3</c:v>
                </c:pt>
                <c:pt idx="7" formatCode="#,##0">
                  <c:v>23.3</c:v>
                </c:pt>
                <c:pt idx="8" formatCode="#,##0">
                  <c:v>23.3</c:v>
                </c:pt>
                <c:pt idx="9" formatCode="#,##0">
                  <c:v>23.3</c:v>
                </c:pt>
                <c:pt idx="10" formatCode="#,##0">
                  <c:v>23.3</c:v>
                </c:pt>
                <c:pt idx="11" formatCode="#,##0">
                  <c:v>23.3</c:v>
                </c:pt>
                <c:pt idx="12" formatCode="#,##0">
                  <c:v>23.3</c:v>
                </c:pt>
                <c:pt idx="13" formatCode="#,##0">
                  <c:v>23.3</c:v>
                </c:pt>
                <c:pt idx="14" formatCode="#,##0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0E-414B-933A-BCA55D0D9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96576"/>
        <c:axId val="115106560"/>
      </c:lineChart>
      <c:dateAx>
        <c:axId val="11509657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115106560"/>
        <c:crosses val="autoZero"/>
        <c:auto val="1"/>
        <c:lblOffset val="100"/>
        <c:baseTimeUnit val="days"/>
      </c:dateAx>
      <c:valAx>
        <c:axId val="1151065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C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50965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gradFill>
          <a:gsLst>
            <a:gs pos="0">
              <a:schemeClr val="tx2">
                <a:lumMod val="20000"/>
                <a:lumOff val="8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DO Compliance Bear Creek Reservoir Site 40 Central Pool</a:t>
            </a:r>
          </a:p>
        </c:rich>
      </c:tx>
      <c:layout>
        <c:manualLayout>
          <c:xMode val="edge"/>
          <c:yMode val="edge"/>
          <c:x val="0.37165956565939062"/>
          <c:y val="5.0375220954524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9891261514516"/>
          <c:y val="0.11462692163479567"/>
          <c:w val="0.76956317137299635"/>
          <c:h val="0.63168820791375524"/>
        </c:manualLayout>
      </c:layout>
      <c:lineChart>
        <c:grouping val="standard"/>
        <c:varyColors val="0"/>
        <c:ser>
          <c:idx val="2"/>
          <c:order val="0"/>
          <c:tx>
            <c:strRef>
              <c:f>'Temp DO Comp'!$R$5</c:f>
              <c:strCache>
                <c:ptCount val="1"/>
                <c:pt idx="0">
                  <c:v>Profile Average (mg/l)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numRef>
              <c:f>'Temp DO Comp'!$S$2:$AG$2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'Temp DO Comp'!$S$5:$AG$5</c:f>
              <c:numCache>
                <c:formatCode>0.00</c:formatCode>
                <c:ptCount val="15"/>
                <c:pt idx="0">
                  <c:v>11.061333333333332</c:v>
                </c:pt>
                <c:pt idx="1">
                  <c:v>11.129999999999997</c:v>
                </c:pt>
                <c:pt idx="2">
                  <c:v>12.259333333333332</c:v>
                </c:pt>
                <c:pt idx="3">
                  <c:v>9.0920000000000005</c:v>
                </c:pt>
                <c:pt idx="4">
                  <c:v>9.325333333333333</c:v>
                </c:pt>
                <c:pt idx="5">
                  <c:v>8.09</c:v>
                </c:pt>
                <c:pt idx="6">
                  <c:v>6.5520000000000005</c:v>
                </c:pt>
                <c:pt idx="7">
                  <c:v>7.0633333333333344</c:v>
                </c:pt>
                <c:pt idx="8">
                  <c:v>5.8213333333333335</c:v>
                </c:pt>
                <c:pt idx="9">
                  <c:v>6.4414285714285695</c:v>
                </c:pt>
                <c:pt idx="10">
                  <c:v>4.9314285714285706</c:v>
                </c:pt>
                <c:pt idx="11">
                  <c:v>6.7900000000000009</c:v>
                </c:pt>
                <c:pt idx="12">
                  <c:v>6.3092857142857142</c:v>
                </c:pt>
                <c:pt idx="13">
                  <c:v>10.493076923076924</c:v>
                </c:pt>
                <c:pt idx="14">
                  <c:v>10.265714285714285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F-4FDE-9CC8-559F1ADAF69F}"/>
            </c:ext>
          </c:extLst>
        </c:ser>
        <c:ser>
          <c:idx val="3"/>
          <c:order val="1"/>
          <c:tx>
            <c:strRef>
              <c:f>'Temp DO Comp'!$R$4</c:f>
              <c:strCache>
                <c:ptCount val="1"/>
                <c:pt idx="0">
                  <c:v>Average1/2-2m (mg/l)</c:v>
                </c:pt>
              </c:strCache>
            </c:strRef>
          </c:tx>
          <c:marker>
            <c:symbol val="circle"/>
            <c:size val="7"/>
          </c:marker>
          <c:cat>
            <c:numRef>
              <c:f>'Temp DO Comp'!$S$2:$AF$2</c:f>
              <c:numCache>
                <c:formatCode>[$-409]d\-mmm;@</c:formatCode>
                <c:ptCount val="14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</c:numCache>
            </c:numRef>
          </c:cat>
          <c:val>
            <c:numRef>
              <c:f>'Temp DO Comp'!$S$4:$AG$4</c:f>
              <c:numCache>
                <c:formatCode>0.00</c:formatCode>
                <c:ptCount val="15"/>
                <c:pt idx="0">
                  <c:v>14.055</c:v>
                </c:pt>
                <c:pt idx="1">
                  <c:v>15.225000000000001</c:v>
                </c:pt>
                <c:pt idx="2">
                  <c:v>15.3125</c:v>
                </c:pt>
                <c:pt idx="3">
                  <c:v>10.244999999999999</c:v>
                </c:pt>
                <c:pt idx="4">
                  <c:v>8.84</c:v>
                </c:pt>
                <c:pt idx="5">
                  <c:v>7.7225000000000001</c:v>
                </c:pt>
                <c:pt idx="6">
                  <c:v>8.16</c:v>
                </c:pt>
                <c:pt idx="7">
                  <c:v>8.5350000000000001</c:v>
                </c:pt>
                <c:pt idx="8">
                  <c:v>8.0250000000000004</c:v>
                </c:pt>
                <c:pt idx="9">
                  <c:v>8.3674999999999997</c:v>
                </c:pt>
                <c:pt idx="10">
                  <c:v>6.9449999999999994</c:v>
                </c:pt>
                <c:pt idx="11">
                  <c:v>8.7725000000000009</c:v>
                </c:pt>
                <c:pt idx="12">
                  <c:v>6.6124999999999998</c:v>
                </c:pt>
                <c:pt idx="13">
                  <c:v>10.959999999999999</c:v>
                </c:pt>
                <c:pt idx="14">
                  <c:v>14.055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F-4FDE-9CC8-559F1ADAF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40096"/>
        <c:axId val="115141632"/>
      </c:lineChart>
      <c:dateAx>
        <c:axId val="11514009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115141632"/>
        <c:crosses val="autoZero"/>
        <c:auto val="1"/>
        <c:lblOffset val="100"/>
        <c:baseTimeUnit val="days"/>
      </c:dateAx>
      <c:valAx>
        <c:axId val="115141632"/>
        <c:scaling>
          <c:orientation val="minMax"/>
          <c:max val="16"/>
          <c:min val="4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0.11858935912551909"/>
              <c:y val="0.2167558685608645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noFill/>
        </c:spPr>
        <c:crossAx val="1151400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60000"/>
                <a:lumOff val="40000"/>
              </a:schemeClr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  <a:tileRect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lumMod val="60000"/>
            <a:lumOff val="4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2015 Total Phosphorus Bear Creek Watershed</a:t>
            </a:r>
          </a:p>
        </c:rich>
      </c:tx>
      <c:layout>
        <c:manualLayout>
          <c:xMode val="edge"/>
          <c:yMode val="edge"/>
          <c:x val="0.39156360846268018"/>
          <c:y val="2.60042420627741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'T &amp; Diss Phosphorus'!$A$15</c:f>
              <c:strCache>
                <c:ptCount val="1"/>
                <c:pt idx="0">
                  <c:v>Site 16a-Turkey Creek Inflow</c:v>
                </c:pt>
              </c:strCache>
            </c:strRef>
          </c:tx>
          <c:invertIfNegative val="0"/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Phosphorus'!$B$15:$M$15</c:f>
              <c:numCache>
                <c:formatCode>0.0</c:formatCode>
                <c:ptCount val="12"/>
                <c:pt idx="0">
                  <c:v>13</c:v>
                </c:pt>
                <c:pt idx="1">
                  <c:v>8</c:v>
                </c:pt>
                <c:pt idx="2">
                  <c:v>32</c:v>
                </c:pt>
                <c:pt idx="3">
                  <c:v>66</c:v>
                </c:pt>
                <c:pt idx="4">
                  <c:v>199</c:v>
                </c:pt>
                <c:pt idx="5">
                  <c:v>78</c:v>
                </c:pt>
                <c:pt idx="6">
                  <c:v>51.5</c:v>
                </c:pt>
                <c:pt idx="7">
                  <c:v>143.5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F-4768-AE6B-46D2A3133848}"/>
            </c:ext>
          </c:extLst>
        </c:ser>
        <c:ser>
          <c:idx val="3"/>
          <c:order val="2"/>
          <c:tx>
            <c:strRef>
              <c:f>'T &amp; Diss Phosphorus'!$A$16</c:f>
              <c:strCache>
                <c:ptCount val="1"/>
                <c:pt idx="0">
                  <c:v>Site 15a-Bear Creek Inflow</c:v>
                </c:pt>
              </c:strCache>
            </c:strRef>
          </c:tx>
          <c:invertIfNegative val="0"/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Phosphorus'!$B$16:$M$16</c:f>
              <c:numCache>
                <c:formatCode>0.0</c:formatCode>
                <c:ptCount val="12"/>
                <c:pt idx="0">
                  <c:v>22</c:v>
                </c:pt>
                <c:pt idx="1">
                  <c:v>30</c:v>
                </c:pt>
                <c:pt idx="2">
                  <c:v>47</c:v>
                </c:pt>
                <c:pt idx="3">
                  <c:v>54</c:v>
                </c:pt>
                <c:pt idx="4">
                  <c:v>83</c:v>
                </c:pt>
                <c:pt idx="5">
                  <c:v>56</c:v>
                </c:pt>
                <c:pt idx="6">
                  <c:v>51.5</c:v>
                </c:pt>
                <c:pt idx="7">
                  <c:v>33</c:v>
                </c:pt>
                <c:pt idx="8">
                  <c:v>78</c:v>
                </c:pt>
                <c:pt idx="9">
                  <c:v>26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F-4768-AE6B-46D2A3133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70400"/>
        <c:axId val="115271936"/>
      </c:barChart>
      <c:lineChart>
        <c:grouping val="standard"/>
        <c:varyColors val="0"/>
        <c:ser>
          <c:idx val="0"/>
          <c:order val="0"/>
          <c:tx>
            <c:strRef>
              <c:f>'T &amp; Diss Phosphorus'!$A$17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Phosphorus'!$B$17:$M$17</c:f>
              <c:numCache>
                <c:formatCode>0.0</c:formatCode>
                <c:ptCount val="12"/>
                <c:pt idx="0">
                  <c:v>13</c:v>
                </c:pt>
                <c:pt idx="1">
                  <c:v>17</c:v>
                </c:pt>
                <c:pt idx="2">
                  <c:v>22</c:v>
                </c:pt>
                <c:pt idx="3">
                  <c:v>46</c:v>
                </c:pt>
                <c:pt idx="4">
                  <c:v>61</c:v>
                </c:pt>
                <c:pt idx="5">
                  <c:v>42</c:v>
                </c:pt>
                <c:pt idx="6">
                  <c:v>38</c:v>
                </c:pt>
                <c:pt idx="7">
                  <c:v>34</c:v>
                </c:pt>
                <c:pt idx="8">
                  <c:v>46</c:v>
                </c:pt>
                <c:pt idx="9">
                  <c:v>38</c:v>
                </c:pt>
                <c:pt idx="10">
                  <c:v>76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6F-4768-AE6B-46D2A3133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0400"/>
        <c:axId val="115271936"/>
        <c:extLst>
          <c:ext xmlns:c15="http://schemas.microsoft.com/office/drawing/2012/chart" uri="{02D57815-91ED-43cb-92C2-25804820EDAC}">
            <c15:filteredLineSeries>
              <c15:ser>
                <c:idx val="1"/>
                <c:order val="3"/>
                <c:tx>
                  <c:strRef>
                    <c:extLst>
                      <c:ext uri="{02D57815-91ED-43cb-92C2-25804820EDAC}">
                        <c15:formulaRef>
                          <c15:sqref>'T &amp; Diss Phosphorus'!$A$20</c15:sqref>
                        </c15:formulaRef>
                      </c:ext>
                    </c:extLst>
                    <c:strCache>
                      <c:ptCount val="1"/>
                      <c:pt idx="0">
                        <c:v>BCR Water Column Average TP</c:v>
                      </c:pt>
                    </c:strCache>
                  </c:strRef>
                </c:tx>
                <c:val>
                  <c:numRef>
                    <c:extLst>
                      <c:ext uri="{02D57815-91ED-43cb-92C2-25804820EDAC}">
                        <c15:formulaRef>
                          <c15:sqref>'T &amp; Diss Phosphorus'!$B$20:$M$20</c15:sqref>
                        </c15:formulaRef>
                      </c:ext>
                    </c:extLst>
                    <c:numCache>
                      <c:formatCode>0.0</c:formatCode>
                      <c:ptCount val="12"/>
                      <c:pt idx="0">
                        <c:v>35</c:v>
                      </c:pt>
                      <c:pt idx="1">
                        <c:v>19.5</c:v>
                      </c:pt>
                      <c:pt idx="2">
                        <c:v>14.5</c:v>
                      </c:pt>
                      <c:pt idx="3">
                        <c:v>27.5</c:v>
                      </c:pt>
                      <c:pt idx="4">
                        <c:v>67</c:v>
                      </c:pt>
                      <c:pt idx="5">
                        <c:v>46.5</c:v>
                      </c:pt>
                      <c:pt idx="6">
                        <c:v>77.75</c:v>
                      </c:pt>
                      <c:pt idx="7">
                        <c:v>72.75</c:v>
                      </c:pt>
                      <c:pt idx="8">
                        <c:v>113</c:v>
                      </c:pt>
                      <c:pt idx="9">
                        <c:v>61</c:v>
                      </c:pt>
                      <c:pt idx="10">
                        <c:v>27.5</c:v>
                      </c:pt>
                      <c:pt idx="11">
                        <c:v>6.5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A6F-4768-AE6B-46D2A3133848}"/>
                  </c:ext>
                </c:extLst>
              </c15:ser>
            </c15:filteredLineSeries>
          </c:ext>
        </c:extLst>
      </c:lineChart>
      <c:catAx>
        <c:axId val="11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/>
              <a:t>2015 Bear Creek Reservoir Total Phosphorus Trends</a:t>
            </a:r>
          </a:p>
        </c:rich>
      </c:tx>
      <c:layout>
        <c:manualLayout>
          <c:xMode val="edge"/>
          <c:yMode val="edge"/>
          <c:x val="0.35182485815497516"/>
          <c:y val="2.631578947368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54409001432931"/>
          <c:y val="0.11874999999999998"/>
          <c:w val="0.72797098031228058"/>
          <c:h val="0.704753677994200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 &amp; Diss Phosphorus'!$A$19</c:f>
              <c:strCache>
                <c:ptCount val="1"/>
                <c:pt idx="0">
                  <c:v>Site 40c-Reservoir - Lower TP</c:v>
                </c:pt>
              </c:strCache>
            </c:strRef>
          </c:tx>
          <c:spPr>
            <a:ln w="44450"/>
          </c:spPr>
          <c:invertIfNegative val="0"/>
          <c:cat>
            <c:strRef>
              <c:f>'T &amp; Diss Phosphorus'!$B$14:$M$14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Phosphorus'!$B$19:$M$19</c:f>
              <c:numCache>
                <c:formatCode>0.0</c:formatCode>
                <c:ptCount val="12"/>
                <c:pt idx="0">
                  <c:v>49</c:v>
                </c:pt>
                <c:pt idx="1">
                  <c:v>22</c:v>
                </c:pt>
                <c:pt idx="2">
                  <c:v>13</c:v>
                </c:pt>
                <c:pt idx="3">
                  <c:v>27</c:v>
                </c:pt>
                <c:pt idx="4">
                  <c:v>78</c:v>
                </c:pt>
                <c:pt idx="5">
                  <c:v>57</c:v>
                </c:pt>
                <c:pt idx="6">
                  <c:v>96</c:v>
                </c:pt>
                <c:pt idx="7">
                  <c:v>103</c:v>
                </c:pt>
                <c:pt idx="8">
                  <c:v>148</c:v>
                </c:pt>
                <c:pt idx="9">
                  <c:v>62</c:v>
                </c:pt>
                <c:pt idx="10">
                  <c:v>28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E-4408-9659-1F0EE5273135}"/>
            </c:ext>
          </c:extLst>
        </c:ser>
        <c:ser>
          <c:idx val="0"/>
          <c:order val="1"/>
          <c:tx>
            <c:strRef>
              <c:f>'T &amp; Diss Phosphorus'!$A$18</c:f>
              <c:strCache>
                <c:ptCount val="1"/>
                <c:pt idx="0">
                  <c:v>Site 40a-Reservoir - Top TP</c:v>
                </c:pt>
              </c:strCache>
            </c:strRef>
          </c:tx>
          <c:invertIfNegative val="0"/>
          <c:val>
            <c:numRef>
              <c:f>'T &amp; Diss Phosphorus'!$B$18:$M$18</c:f>
              <c:numCache>
                <c:formatCode>0.0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16</c:v>
                </c:pt>
                <c:pt idx="3">
                  <c:v>28</c:v>
                </c:pt>
                <c:pt idx="4">
                  <c:v>56</c:v>
                </c:pt>
                <c:pt idx="5">
                  <c:v>36</c:v>
                </c:pt>
                <c:pt idx="6">
                  <c:v>59.5</c:v>
                </c:pt>
                <c:pt idx="7">
                  <c:v>42.5</c:v>
                </c:pt>
                <c:pt idx="8">
                  <c:v>78</c:v>
                </c:pt>
                <c:pt idx="9">
                  <c:v>60</c:v>
                </c:pt>
                <c:pt idx="10">
                  <c:v>27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E-4408-9659-1F0EE527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Phosphorus, ug/l</a:t>
                </a:r>
              </a:p>
            </c:rich>
          </c:tx>
          <c:layout>
            <c:manualLayout>
              <c:xMode val="edge"/>
              <c:yMode val="edge"/>
              <c:x val="0.12784090909090909"/>
              <c:y val="0.3534130232076417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2015 Bear Creek Reservoir TP versus TDP Surface</a:t>
            </a:r>
          </a:p>
        </c:rich>
      </c:tx>
      <c:layout>
        <c:manualLayout>
          <c:xMode val="edge"/>
          <c:yMode val="edge"/>
          <c:x val="0.39119361399086328"/>
          <c:y val="2.88278722429865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79049129230497"/>
          <c:y val="0.10108470845459515"/>
          <c:w val="0.72134917831840939"/>
          <c:h val="0.65085517277038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&amp; Diss Phosphorus'!$A$18</c:f>
              <c:strCache>
                <c:ptCount val="1"/>
                <c:pt idx="0">
                  <c:v>Site 40a-Reservoir - Top TP</c:v>
                </c:pt>
              </c:strCache>
            </c:strRef>
          </c:tx>
          <c:invertIfNegative val="0"/>
          <c:cat>
            <c:strRef>
              <c:f>'T &amp; Diss Phosphorus'!$B$54:$M$54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Phosphorus'!$B$18:$M$18</c:f>
              <c:numCache>
                <c:formatCode>0.0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16</c:v>
                </c:pt>
                <c:pt idx="3">
                  <c:v>28</c:v>
                </c:pt>
                <c:pt idx="4">
                  <c:v>56</c:v>
                </c:pt>
                <c:pt idx="5">
                  <c:v>36</c:v>
                </c:pt>
                <c:pt idx="6">
                  <c:v>59.5</c:v>
                </c:pt>
                <c:pt idx="7">
                  <c:v>42.5</c:v>
                </c:pt>
                <c:pt idx="8">
                  <c:v>78</c:v>
                </c:pt>
                <c:pt idx="9">
                  <c:v>60</c:v>
                </c:pt>
                <c:pt idx="10">
                  <c:v>27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7-473C-92EC-58FE29ADD2AD}"/>
            </c:ext>
          </c:extLst>
        </c:ser>
        <c:ser>
          <c:idx val="1"/>
          <c:order val="1"/>
          <c:tx>
            <c:strRef>
              <c:f>'T &amp; Diss Phosphorus'!$A$58</c:f>
              <c:strCache>
                <c:ptCount val="1"/>
                <c:pt idx="0">
                  <c:v>Site 40a-Reservoir - Top TDP</c:v>
                </c:pt>
              </c:strCache>
            </c:strRef>
          </c:tx>
          <c:invertIfNegative val="0"/>
          <c:cat>
            <c:strRef>
              <c:f>'T &amp; Diss Phosphorus'!$B$54:$M$54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&amp; Diss Phosphorus'!$B$58:$M$58</c:f>
              <c:numCache>
                <c:formatCode>0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14</c:v>
                </c:pt>
                <c:pt idx="3">
                  <c:v>11</c:v>
                </c:pt>
                <c:pt idx="4">
                  <c:v>20</c:v>
                </c:pt>
                <c:pt idx="5">
                  <c:v>19</c:v>
                </c:pt>
                <c:pt idx="6">
                  <c:v>9</c:v>
                </c:pt>
                <c:pt idx="7">
                  <c:v>7.5</c:v>
                </c:pt>
                <c:pt idx="8">
                  <c:v>12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7-473C-92EC-58FE29ADD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92032"/>
        <c:axId val="115293568"/>
      </c:barChart>
      <c:lineChart>
        <c:grouping val="standard"/>
        <c:varyColors val="0"/>
        <c:ser>
          <c:idx val="2"/>
          <c:order val="2"/>
          <c:tx>
            <c:strRef>
              <c:f>'T &amp; Diss Phosphorus'!$A$19</c:f>
              <c:strCache>
                <c:ptCount val="1"/>
                <c:pt idx="0">
                  <c:v>Site 40c-Reservoir - Lower TP</c:v>
                </c:pt>
              </c:strCache>
            </c:strRef>
          </c:tx>
          <c:val>
            <c:numRef>
              <c:f>'T &amp; Diss Phosphorus'!$B$19:$M$19</c:f>
              <c:numCache>
                <c:formatCode>0.0</c:formatCode>
                <c:ptCount val="12"/>
                <c:pt idx="0">
                  <c:v>49</c:v>
                </c:pt>
                <c:pt idx="1">
                  <c:v>22</c:v>
                </c:pt>
                <c:pt idx="2">
                  <c:v>13</c:v>
                </c:pt>
                <c:pt idx="3">
                  <c:v>27</c:v>
                </c:pt>
                <c:pt idx="4">
                  <c:v>78</c:v>
                </c:pt>
                <c:pt idx="5">
                  <c:v>57</c:v>
                </c:pt>
                <c:pt idx="6">
                  <c:v>96</c:v>
                </c:pt>
                <c:pt idx="7">
                  <c:v>103</c:v>
                </c:pt>
                <c:pt idx="8">
                  <c:v>148</c:v>
                </c:pt>
                <c:pt idx="9">
                  <c:v>62</c:v>
                </c:pt>
                <c:pt idx="10">
                  <c:v>28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7-473C-92EC-58FE29ADD2AD}"/>
            </c:ext>
          </c:extLst>
        </c:ser>
        <c:ser>
          <c:idx val="3"/>
          <c:order val="3"/>
          <c:tx>
            <c:strRef>
              <c:f>'T &amp; Diss Phosphorus'!$A$59</c:f>
              <c:strCache>
                <c:ptCount val="1"/>
                <c:pt idx="0">
                  <c:v>Site 40c-Reservoir - Lower TDP</c:v>
                </c:pt>
              </c:strCache>
            </c:strRef>
          </c:tx>
          <c:val>
            <c:numRef>
              <c:f>'T &amp; Diss Phosphorus'!$B$59:$M$59</c:f>
              <c:numCache>
                <c:formatCode>0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28</c:v>
                </c:pt>
                <c:pt idx="5">
                  <c:v>34</c:v>
                </c:pt>
                <c:pt idx="6">
                  <c:v>39</c:v>
                </c:pt>
                <c:pt idx="7">
                  <c:v>11</c:v>
                </c:pt>
                <c:pt idx="8">
                  <c:v>5</c:v>
                </c:pt>
                <c:pt idx="9">
                  <c:v>17</c:v>
                </c:pt>
                <c:pt idx="10">
                  <c:v>2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E7-473C-92EC-58FE29ADD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92032"/>
        <c:axId val="115293568"/>
      </c:lineChart>
      <c:catAx>
        <c:axId val="11529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293568"/>
        <c:crosses val="autoZero"/>
        <c:auto val="1"/>
        <c:lblAlgn val="ctr"/>
        <c:lblOffset val="100"/>
        <c:noMultiLvlLbl val="0"/>
      </c:catAx>
      <c:valAx>
        <c:axId val="1152935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Phosphorus, ug/l</a:t>
                </a:r>
              </a:p>
            </c:rich>
          </c:tx>
          <c:layout>
            <c:manualLayout>
              <c:xMode val="edge"/>
              <c:yMode val="edge"/>
              <c:x val="0.11622964767116427"/>
              <c:y val="0.3732100123513972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115292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="1"/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r>
              <a:rPr lang="en-US" sz="1200">
                <a:latin typeface="+mj-lt"/>
              </a:rPr>
              <a:t>Bear Creek P-1 Sites Nitrate-Nitrogen</a:t>
            </a:r>
          </a:p>
        </c:rich>
      </c:tx>
      <c:layout>
        <c:manualLayout>
          <c:xMode val="edge"/>
          <c:yMode val="edge"/>
          <c:x val="0.34838709677419388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8370821789202"/>
          <c:y val="0.10516939059088203"/>
          <c:w val="0.86951501154734412"/>
          <c:h val="0.758698407891352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Nitrogen'!$A$5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Nitrogen'!$B$13:$M$13</c:f>
              <c:numCache>
                <c:formatCode>0</c:formatCode>
                <c:ptCount val="12"/>
                <c:pt idx="0">
                  <c:v>614</c:v>
                </c:pt>
                <c:pt idx="1">
                  <c:v>473</c:v>
                </c:pt>
                <c:pt idx="2">
                  <c:v>644</c:v>
                </c:pt>
                <c:pt idx="3">
                  <c:v>591</c:v>
                </c:pt>
                <c:pt idx="4">
                  <c:v>668</c:v>
                </c:pt>
                <c:pt idx="5">
                  <c:v>452</c:v>
                </c:pt>
                <c:pt idx="6">
                  <c:v>399.5</c:v>
                </c:pt>
                <c:pt idx="7">
                  <c:v>513.5</c:v>
                </c:pt>
                <c:pt idx="8">
                  <c:v>970.5</c:v>
                </c:pt>
                <c:pt idx="9">
                  <c:v>417</c:v>
                </c:pt>
                <c:pt idx="10">
                  <c:v>916</c:v>
                </c:pt>
                <c:pt idx="11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3-4437-9D32-F20E10979170}"/>
            </c:ext>
          </c:extLst>
        </c:ser>
        <c:ser>
          <c:idx val="1"/>
          <c:order val="1"/>
          <c:tx>
            <c:strRef>
              <c:f>'Nitrate &amp; T Nitrogen'!$A$6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Nitrogen'!$B$14:$M$14</c:f>
              <c:numCache>
                <c:formatCode>0</c:formatCode>
                <c:ptCount val="12"/>
                <c:pt idx="0">
                  <c:v>971</c:v>
                </c:pt>
                <c:pt idx="1">
                  <c:v>751</c:v>
                </c:pt>
                <c:pt idx="2">
                  <c:v>640</c:v>
                </c:pt>
                <c:pt idx="3">
                  <c:v>746</c:v>
                </c:pt>
                <c:pt idx="4">
                  <c:v>447</c:v>
                </c:pt>
                <c:pt idx="5">
                  <c:v>233</c:v>
                </c:pt>
                <c:pt idx="6">
                  <c:v>247</c:v>
                </c:pt>
                <c:pt idx="7">
                  <c:v>381</c:v>
                </c:pt>
                <c:pt idx="8">
                  <c:v>702.5</c:v>
                </c:pt>
                <c:pt idx="9">
                  <c:v>740</c:v>
                </c:pt>
                <c:pt idx="10">
                  <c:v>585</c:v>
                </c:pt>
                <c:pt idx="11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3-4437-9D32-F20E10979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417088"/>
        <c:axId val="115418624"/>
      </c:barChart>
      <c:lineChart>
        <c:grouping val="standard"/>
        <c:varyColors val="0"/>
        <c:ser>
          <c:idx val="2"/>
          <c:order val="2"/>
          <c:tx>
            <c:strRef>
              <c:f>'Nitrate &amp; T Nitrogen'!$A$7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B05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Nitrogen'!$B$15:$M$15</c:f>
              <c:numCache>
                <c:formatCode>0</c:formatCode>
                <c:ptCount val="12"/>
                <c:pt idx="0">
                  <c:v>623</c:v>
                </c:pt>
                <c:pt idx="1">
                  <c:v>595</c:v>
                </c:pt>
                <c:pt idx="2">
                  <c:v>522</c:v>
                </c:pt>
                <c:pt idx="3">
                  <c:v>452</c:v>
                </c:pt>
                <c:pt idx="4">
                  <c:v>562</c:v>
                </c:pt>
                <c:pt idx="5">
                  <c:v>245</c:v>
                </c:pt>
                <c:pt idx="6">
                  <c:v>179</c:v>
                </c:pt>
                <c:pt idx="7">
                  <c:v>198.5</c:v>
                </c:pt>
                <c:pt idx="8">
                  <c:v>148.5</c:v>
                </c:pt>
                <c:pt idx="9">
                  <c:v>336</c:v>
                </c:pt>
                <c:pt idx="10">
                  <c:v>1118</c:v>
                </c:pt>
                <c:pt idx="11">
                  <c:v>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3-4437-9D32-F20E10979170}"/>
            </c:ext>
          </c:extLst>
        </c:ser>
        <c:ser>
          <c:idx val="3"/>
          <c:order val="3"/>
          <c:tx>
            <c:strRef>
              <c:f>'Nitrate &amp; T Nitrogen'!$A$10</c:f>
              <c:strCache>
                <c:ptCount val="1"/>
                <c:pt idx="0">
                  <c:v>BCR Water Column Average NO3</c:v>
                </c:pt>
              </c:strCache>
            </c:strRef>
          </c:tx>
          <c:spPr>
            <a:ln w="38100"/>
          </c:spPr>
          <c:cat>
            <c:strRef>
              <c:f>'Nitrate &amp; T Nitrogen'!$B$12:$M$12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Nitrogen'!$B$18:$M$18</c:f>
              <c:numCache>
                <c:formatCode>0</c:formatCode>
                <c:ptCount val="12"/>
                <c:pt idx="0">
                  <c:v>653</c:v>
                </c:pt>
                <c:pt idx="1">
                  <c:v>461</c:v>
                </c:pt>
                <c:pt idx="2">
                  <c:v>505.5</c:v>
                </c:pt>
                <c:pt idx="3">
                  <c:v>433.5</c:v>
                </c:pt>
                <c:pt idx="4">
                  <c:v>550</c:v>
                </c:pt>
                <c:pt idx="5">
                  <c:v>281</c:v>
                </c:pt>
                <c:pt idx="6">
                  <c:v>127.5</c:v>
                </c:pt>
                <c:pt idx="7">
                  <c:v>197.25</c:v>
                </c:pt>
                <c:pt idx="8">
                  <c:v>119.75</c:v>
                </c:pt>
                <c:pt idx="9">
                  <c:v>307</c:v>
                </c:pt>
                <c:pt idx="10">
                  <c:v>431.5</c:v>
                </c:pt>
                <c:pt idx="11">
                  <c:v>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03-4437-9D32-F20E10979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17088"/>
        <c:axId val="115418624"/>
      </c:lineChart>
      <c:catAx>
        <c:axId val="1154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1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Nitrate ug/l</a:t>
                </a:r>
              </a:p>
            </c:rich>
          </c:tx>
          <c:layout>
            <c:manualLayout>
              <c:xMode val="edge"/>
              <c:yMode val="edge"/>
              <c:x val="1.3901476478970765E-2"/>
              <c:y val="0.330338684217893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170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  <a:alpha val="51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47488897464993"/>
          <c:y val="9.9996691590021836E-2"/>
          <c:w val="0.32248040136170036"/>
          <c:h val="0.1671125438364363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  <a:alpha val="51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Bear Creek Reservoir Total Nitrogen Trend</a:t>
            </a:r>
          </a:p>
        </c:rich>
      </c:tx>
      <c:layout>
        <c:manualLayout>
          <c:xMode val="edge"/>
          <c:yMode val="edge"/>
          <c:x val="0.11339529136487324"/>
          <c:y val="3.1775781220535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0884310729815502"/>
          <c:w val="0.8498532074072459"/>
          <c:h val="0.74144482312853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Nitrogen'!$A$22</c:f>
              <c:strCache>
                <c:ptCount val="1"/>
                <c:pt idx="0">
                  <c:v>Site 16a-Turkey Creek Inflow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Nitrogen'!$B$30:$M$30</c:f>
              <c:numCache>
                <c:formatCode>0</c:formatCode>
                <c:ptCount val="12"/>
                <c:pt idx="0">
                  <c:v>1056</c:v>
                </c:pt>
                <c:pt idx="1">
                  <c:v>772</c:v>
                </c:pt>
                <c:pt idx="2">
                  <c:v>1372</c:v>
                </c:pt>
                <c:pt idx="3">
                  <c:v>818</c:v>
                </c:pt>
                <c:pt idx="4">
                  <c:v>1114</c:v>
                </c:pt>
                <c:pt idx="5">
                  <c:v>887</c:v>
                </c:pt>
                <c:pt idx="6">
                  <c:v>790</c:v>
                </c:pt>
                <c:pt idx="7">
                  <c:v>1184.5</c:v>
                </c:pt>
                <c:pt idx="8">
                  <c:v>1151</c:v>
                </c:pt>
                <c:pt idx="9">
                  <c:v>718</c:v>
                </c:pt>
                <c:pt idx="10">
                  <c:v>997</c:v>
                </c:pt>
                <c:pt idx="11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B-4B9B-A59B-3C395AF79BB3}"/>
            </c:ext>
          </c:extLst>
        </c:ser>
        <c:ser>
          <c:idx val="1"/>
          <c:order val="1"/>
          <c:tx>
            <c:strRef>
              <c:f>'Nitrate &amp; T Nitrogen'!$A$23</c:f>
              <c:strCache>
                <c:ptCount val="1"/>
                <c:pt idx="0">
                  <c:v>Site 15a-Bear Creek Inflow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Nitrogen'!$B$31:$M$31</c:f>
              <c:numCache>
                <c:formatCode>0</c:formatCode>
                <c:ptCount val="12"/>
                <c:pt idx="0">
                  <c:v>1316</c:v>
                </c:pt>
                <c:pt idx="1">
                  <c:v>1089</c:v>
                </c:pt>
                <c:pt idx="2">
                  <c:v>939</c:v>
                </c:pt>
                <c:pt idx="3">
                  <c:v>947</c:v>
                </c:pt>
                <c:pt idx="4">
                  <c:v>818</c:v>
                </c:pt>
                <c:pt idx="5">
                  <c:v>581</c:v>
                </c:pt>
                <c:pt idx="6">
                  <c:v>441</c:v>
                </c:pt>
                <c:pt idx="7">
                  <c:v>575.5</c:v>
                </c:pt>
                <c:pt idx="8">
                  <c:v>946.5</c:v>
                </c:pt>
                <c:pt idx="9">
                  <c:v>1028</c:v>
                </c:pt>
                <c:pt idx="10">
                  <c:v>753</c:v>
                </c:pt>
                <c:pt idx="11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B-4B9B-A59B-3C395AF7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442816"/>
        <c:axId val="115444352"/>
      </c:barChart>
      <c:lineChart>
        <c:grouping val="standard"/>
        <c:varyColors val="0"/>
        <c:ser>
          <c:idx val="2"/>
          <c:order val="2"/>
          <c:tx>
            <c:strRef>
              <c:f>'Nitrate &amp; T Nitrogen'!$A$24</c:f>
              <c:strCache>
                <c:ptCount val="1"/>
                <c:pt idx="0">
                  <c:v>Site 45-Reservoir Discharge</c:v>
                </c:pt>
              </c:strCache>
            </c:strRef>
          </c:tx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Nitrogen'!$B$32:$M$32</c:f>
              <c:numCache>
                <c:formatCode>0</c:formatCode>
                <c:ptCount val="12"/>
                <c:pt idx="0">
                  <c:v>1050</c:v>
                </c:pt>
                <c:pt idx="1">
                  <c:v>915</c:v>
                </c:pt>
                <c:pt idx="2">
                  <c:v>1077</c:v>
                </c:pt>
                <c:pt idx="3">
                  <c:v>916</c:v>
                </c:pt>
                <c:pt idx="4">
                  <c:v>975</c:v>
                </c:pt>
                <c:pt idx="5">
                  <c:v>591</c:v>
                </c:pt>
                <c:pt idx="6">
                  <c:v>549.5</c:v>
                </c:pt>
                <c:pt idx="7">
                  <c:v>653.5</c:v>
                </c:pt>
                <c:pt idx="8">
                  <c:v>623</c:v>
                </c:pt>
                <c:pt idx="9">
                  <c:v>714</c:v>
                </c:pt>
                <c:pt idx="10">
                  <c:v>1746</c:v>
                </c:pt>
                <c:pt idx="11">
                  <c:v>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B-4B9B-A59B-3C395AF7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42816"/>
        <c:axId val="11544435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'Nitrate &amp; T Nitrogen'!$A$25</c15:sqref>
                        </c15:formulaRef>
                      </c:ext>
                    </c:extLst>
                    <c:strCache>
                      <c:ptCount val="1"/>
                      <c:pt idx="0">
                        <c:v>Site 40a-Reservoir - Top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'Nitrate &amp; T Nitrogen'!$B$29:$M$29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'Nitrate &amp; T Nitrogen'!$B$33:$M$33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1294</c:v>
                      </c:pt>
                      <c:pt idx="1">
                        <c:v>1113</c:v>
                      </c:pt>
                      <c:pt idx="2">
                        <c:v>910</c:v>
                      </c:pt>
                      <c:pt idx="3">
                        <c:v>820</c:v>
                      </c:pt>
                      <c:pt idx="4">
                        <c:v>927</c:v>
                      </c:pt>
                      <c:pt idx="5">
                        <c:v>889</c:v>
                      </c:pt>
                      <c:pt idx="6">
                        <c:v>748.5</c:v>
                      </c:pt>
                      <c:pt idx="7">
                        <c:v>795.5</c:v>
                      </c:pt>
                      <c:pt idx="8">
                        <c:v>939.5</c:v>
                      </c:pt>
                      <c:pt idx="9">
                        <c:v>787</c:v>
                      </c:pt>
                      <c:pt idx="10">
                        <c:v>874</c:v>
                      </c:pt>
                      <c:pt idx="11">
                        <c:v>1308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B0B-4B9B-A59B-3C395AF79BB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'Nitrate &amp; T Nitrogen'!$A$26</c15:sqref>
                        </c15:formulaRef>
                      </c:ext>
                    </c:extLst>
                    <c:strCache>
                      <c:ptCount val="1"/>
                      <c:pt idx="0">
                        <c:v>Site 40c-Reservoir - Lower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'Nitrate &amp; T Nitrogen'!$B$29:$M$29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'Nitrate &amp; T Nitrogen'!$B$34:$M$34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1192</c:v>
                      </c:pt>
                      <c:pt idx="1">
                        <c:v>1283</c:v>
                      </c:pt>
                      <c:pt idx="2">
                        <c:v>1206</c:v>
                      </c:pt>
                      <c:pt idx="3">
                        <c:v>786</c:v>
                      </c:pt>
                      <c:pt idx="4">
                        <c:v>1048</c:v>
                      </c:pt>
                      <c:pt idx="5">
                        <c:v>1015</c:v>
                      </c:pt>
                      <c:pt idx="6">
                        <c:v>782.5</c:v>
                      </c:pt>
                      <c:pt idx="7">
                        <c:v>780</c:v>
                      </c:pt>
                      <c:pt idx="8">
                        <c:v>746</c:v>
                      </c:pt>
                      <c:pt idx="9">
                        <c:v>711</c:v>
                      </c:pt>
                      <c:pt idx="10">
                        <c:v>832</c:v>
                      </c:pt>
                      <c:pt idx="11">
                        <c:v>1245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B0B-4B9B-A59B-3C395AF79BB3}"/>
                  </c:ext>
                </c:extLst>
              </c15:ser>
            </c15:filteredLineSeries>
          </c:ext>
        </c:extLst>
      </c:lineChart>
      <c:catAx>
        <c:axId val="1154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5444352"/>
        <c:crosses val="autoZero"/>
        <c:auto val="1"/>
        <c:lblAlgn val="ctr"/>
        <c:lblOffset val="100"/>
        <c:noMultiLvlLbl val="0"/>
      </c:catAx>
      <c:valAx>
        <c:axId val="115444352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spPr>
          <a:noFill/>
        </c:spPr>
        <c:crossAx val="11544281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63118228543635724"/>
          <c:y val="1.8661082080014085E-2"/>
          <c:w val="0.31976995780369138"/>
          <c:h val="0.15339454308498823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Total Suspended Sediments [mg/l] Trend</a:t>
            </a:r>
          </a:p>
        </c:rich>
      </c:tx>
      <c:layout>
        <c:manualLayout>
          <c:xMode val="edge"/>
          <c:yMode val="edge"/>
          <c:x val="0.22063492063492063"/>
          <c:y val="4.065040650406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84924981063934E-2"/>
          <c:y val="0.14769733051664197"/>
          <c:w val="0.92268983282716865"/>
          <c:h val="0.7365057457705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Trends'!$B$18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Trends'!$C$18:$AA$18</c:f>
              <c:numCache>
                <c:formatCode>#,##0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3</c:v>
                </c:pt>
                <c:pt idx="14" formatCode="0.0">
                  <c:v>5.4026666666666667</c:v>
                </c:pt>
                <c:pt idx="15" formatCode="0.0">
                  <c:v>6.2935111111111111</c:v>
                </c:pt>
                <c:pt idx="16" formatCode="0.0">
                  <c:v>5.7373968253968224</c:v>
                </c:pt>
                <c:pt idx="17" formatCode="0.0">
                  <c:v>11.2</c:v>
                </c:pt>
                <c:pt idx="18" formatCode="0.0">
                  <c:v>6.9</c:v>
                </c:pt>
                <c:pt idx="19" formatCode="0.0">
                  <c:v>7.3</c:v>
                </c:pt>
                <c:pt idx="20" formatCode="0.0">
                  <c:v>6.2</c:v>
                </c:pt>
                <c:pt idx="21" formatCode="0.0">
                  <c:v>6.4</c:v>
                </c:pt>
                <c:pt idx="22" formatCode="0.0">
                  <c:v>7.1</c:v>
                </c:pt>
                <c:pt idx="23" formatCode="0.0">
                  <c:v>5</c:v>
                </c:pt>
                <c:pt idx="24" formatCode="0.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784-A785-75F3F067115B}"/>
            </c:ext>
          </c:extLst>
        </c:ser>
        <c:ser>
          <c:idx val="3"/>
          <c:order val="1"/>
          <c:tx>
            <c:strRef>
              <c:f>'Annual Reservoir Trends'!$B$20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Trends'!$C$20:$AA$20</c:f>
              <c:numCache>
                <c:formatCode>#,##0</c:formatCode>
                <c:ptCount val="25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7</c:v>
                </c:pt>
                <c:pt idx="6">
                  <c:v>22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 formatCode="0.0">
                  <c:v>7.4459215686274529</c:v>
                </c:pt>
                <c:pt idx="15" formatCode="0.0">
                  <c:v>10.296394771241831</c:v>
                </c:pt>
                <c:pt idx="16" formatCode="0.0">
                  <c:v>6.033309794757165</c:v>
                </c:pt>
                <c:pt idx="17" formatCode="0.0">
                  <c:v>20.9</c:v>
                </c:pt>
                <c:pt idx="18" formatCode="0.0">
                  <c:v>10</c:v>
                </c:pt>
                <c:pt idx="19" formatCode="0.0">
                  <c:v>8.9</c:v>
                </c:pt>
                <c:pt idx="20" formatCode="0.0">
                  <c:v>10.5</c:v>
                </c:pt>
                <c:pt idx="21" formatCode="0.0">
                  <c:v>13.4</c:v>
                </c:pt>
                <c:pt idx="22" formatCode="0.0">
                  <c:v>10.7</c:v>
                </c:pt>
                <c:pt idx="23" formatCode="0.0">
                  <c:v>10</c:v>
                </c:pt>
                <c:pt idx="24" formatCode="0.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9-4784-A785-75F3F067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6277888"/>
        <c:axId val="106312448"/>
      </c:barChart>
      <c:catAx>
        <c:axId val="106277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1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778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12031912492825"/>
          <c:y val="0.18664110806373915"/>
          <c:w val="0.33717780842804851"/>
          <c:h val="8.4270252735262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Bear Creek Site 15a Inflow Nitrate vs Total Nitrogen</a:t>
            </a:r>
          </a:p>
        </c:rich>
      </c:tx>
      <c:layout>
        <c:manualLayout>
          <c:xMode val="edge"/>
          <c:yMode val="edge"/>
          <c:x val="0.39035216423375607"/>
          <c:y val="2.1092351914817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38479507120875"/>
          <c:y val="8.977216803865426E-2"/>
          <c:w val="0.73993398076549333"/>
          <c:h val="0.68365330842877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Nitrogen'!$B$3:$N$3</c:f>
              <c:strCache>
                <c:ptCount val="13"/>
                <c:pt idx="0">
                  <c:v>Nitrate-Nitrogen (ug/l)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Nitrogen'!$B$14:$M$14</c:f>
              <c:numCache>
                <c:formatCode>0</c:formatCode>
                <c:ptCount val="12"/>
                <c:pt idx="0">
                  <c:v>971</c:v>
                </c:pt>
                <c:pt idx="1">
                  <c:v>751</c:v>
                </c:pt>
                <c:pt idx="2">
                  <c:v>640</c:v>
                </c:pt>
                <c:pt idx="3">
                  <c:v>746</c:v>
                </c:pt>
                <c:pt idx="4">
                  <c:v>447</c:v>
                </c:pt>
                <c:pt idx="5">
                  <c:v>233</c:v>
                </c:pt>
                <c:pt idx="6">
                  <c:v>247</c:v>
                </c:pt>
                <c:pt idx="7">
                  <c:v>381</c:v>
                </c:pt>
                <c:pt idx="8">
                  <c:v>702.5</c:v>
                </c:pt>
                <c:pt idx="9">
                  <c:v>740</c:v>
                </c:pt>
                <c:pt idx="10">
                  <c:v>585</c:v>
                </c:pt>
                <c:pt idx="11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6-4F4B-9E8D-4D4321BA90E9}"/>
            </c:ext>
          </c:extLst>
        </c:ser>
        <c:ser>
          <c:idx val="1"/>
          <c:order val="1"/>
          <c:tx>
            <c:strRef>
              <c:f>'Nitrate &amp; T Nitrogen'!$B$20</c:f>
              <c:strCache>
                <c:ptCount val="1"/>
                <c:pt idx="0">
                  <c:v>Total Nitrogen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Nitrogen'!$B$31:$M$31</c:f>
              <c:numCache>
                <c:formatCode>0</c:formatCode>
                <c:ptCount val="12"/>
                <c:pt idx="0">
                  <c:v>1316</c:v>
                </c:pt>
                <c:pt idx="1">
                  <c:v>1089</c:v>
                </c:pt>
                <c:pt idx="2">
                  <c:v>939</c:v>
                </c:pt>
                <c:pt idx="3">
                  <c:v>947</c:v>
                </c:pt>
                <c:pt idx="4">
                  <c:v>818</c:v>
                </c:pt>
                <c:pt idx="5">
                  <c:v>581</c:v>
                </c:pt>
                <c:pt idx="6">
                  <c:v>441</c:v>
                </c:pt>
                <c:pt idx="7">
                  <c:v>575.5</c:v>
                </c:pt>
                <c:pt idx="8">
                  <c:v>946.5</c:v>
                </c:pt>
                <c:pt idx="9">
                  <c:v>1028</c:v>
                </c:pt>
                <c:pt idx="10">
                  <c:v>753</c:v>
                </c:pt>
                <c:pt idx="11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6-4F4B-9E8D-4D4321BA9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551232"/>
        <c:axId val="115557120"/>
      </c:barChart>
      <c:catAx>
        <c:axId val="1155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557120"/>
        <c:crosses val="autoZero"/>
        <c:auto val="1"/>
        <c:lblAlgn val="ctr"/>
        <c:lblOffset val="100"/>
        <c:tickLblSkip val="30"/>
        <c:noMultiLvlLbl val="0"/>
      </c:catAx>
      <c:valAx>
        <c:axId val="1155571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Nitrogen, ug/l</a:t>
                </a:r>
              </a:p>
            </c:rich>
          </c:tx>
          <c:layout>
            <c:manualLayout>
              <c:xMode val="edge"/>
              <c:yMode val="edge"/>
              <c:x val="8.8365825409040685E-2"/>
              <c:y val="0.2992938146882583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155512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/>
            </a:pPr>
            <a:endParaRPr lang="en-US"/>
          </a:p>
        </c:txPr>
      </c:dTable>
      <c:spPr>
        <a:gradFill>
          <a:gsLst>
            <a:gs pos="0">
              <a:srgbClr val="9BBB59">
                <a:lumMod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5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Bear Reservoir Nitrate vs Total Nitrogen, water column Average</a:t>
            </a:r>
          </a:p>
        </c:rich>
      </c:tx>
      <c:layout>
        <c:manualLayout>
          <c:xMode val="edge"/>
          <c:yMode val="edge"/>
          <c:x val="0.38979306094370558"/>
          <c:y val="2.164601881608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92720818959868"/>
          <c:y val="0.14025529869802394"/>
          <c:w val="0.67196540956903428"/>
          <c:h val="0.66355767643720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'Nitrate &amp; T Nitrogen'!$A$10</c:f>
              <c:strCache>
                <c:ptCount val="1"/>
                <c:pt idx="0">
                  <c:v>BCR Water Column Average NO3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Nitrogen'!$B$18:$M$18</c:f>
              <c:numCache>
                <c:formatCode>0</c:formatCode>
                <c:ptCount val="12"/>
                <c:pt idx="0">
                  <c:v>653</c:v>
                </c:pt>
                <c:pt idx="1">
                  <c:v>461</c:v>
                </c:pt>
                <c:pt idx="2">
                  <c:v>505.5</c:v>
                </c:pt>
                <c:pt idx="3">
                  <c:v>433.5</c:v>
                </c:pt>
                <c:pt idx="4">
                  <c:v>550</c:v>
                </c:pt>
                <c:pt idx="5">
                  <c:v>281</c:v>
                </c:pt>
                <c:pt idx="6">
                  <c:v>127.5</c:v>
                </c:pt>
                <c:pt idx="7">
                  <c:v>197.25</c:v>
                </c:pt>
                <c:pt idx="8">
                  <c:v>119.75</c:v>
                </c:pt>
                <c:pt idx="9">
                  <c:v>307</c:v>
                </c:pt>
                <c:pt idx="10">
                  <c:v>431.5</c:v>
                </c:pt>
                <c:pt idx="11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1-4D68-A72F-2F89248F1E0F}"/>
            </c:ext>
          </c:extLst>
        </c:ser>
        <c:ser>
          <c:idx val="1"/>
          <c:order val="1"/>
          <c:tx>
            <c:strRef>
              <c:f>'Nitrate &amp; T Nitrogen'!$A$27</c:f>
              <c:strCache>
                <c:ptCount val="1"/>
                <c:pt idx="0">
                  <c:v>BCR Water Column Average TN</c:v>
                </c:pt>
              </c:strCache>
            </c:strRef>
          </c:tx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Nitrogen'!$B$35:$M$35</c:f>
              <c:numCache>
                <c:formatCode>0</c:formatCode>
                <c:ptCount val="12"/>
                <c:pt idx="0">
                  <c:v>1243</c:v>
                </c:pt>
                <c:pt idx="1">
                  <c:v>1198</c:v>
                </c:pt>
                <c:pt idx="2">
                  <c:v>1058</c:v>
                </c:pt>
                <c:pt idx="3">
                  <c:v>803</c:v>
                </c:pt>
                <c:pt idx="4">
                  <c:v>987.5</c:v>
                </c:pt>
                <c:pt idx="5">
                  <c:v>952</c:v>
                </c:pt>
                <c:pt idx="6">
                  <c:v>765.5</c:v>
                </c:pt>
                <c:pt idx="7">
                  <c:v>787.75</c:v>
                </c:pt>
                <c:pt idx="8">
                  <c:v>842.75</c:v>
                </c:pt>
                <c:pt idx="9">
                  <c:v>749</c:v>
                </c:pt>
                <c:pt idx="10">
                  <c:v>853</c:v>
                </c:pt>
                <c:pt idx="11">
                  <c:v>1276.5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1-4D68-A72F-2F89248F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591808"/>
        <c:axId val="115593600"/>
      </c:barChart>
      <c:catAx>
        <c:axId val="11559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593600"/>
        <c:crosses val="autoZero"/>
        <c:auto val="1"/>
        <c:lblAlgn val="ctr"/>
        <c:lblOffset val="100"/>
        <c:noMultiLvlLbl val="0"/>
      </c:catAx>
      <c:valAx>
        <c:axId val="1155936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r>
                  <a:rPr lang="en-US" sz="1100">
                    <a:latin typeface="Arial" pitchFamily="34" charset="0"/>
                    <a:cs typeface="Arial" pitchFamily="34" charset="0"/>
                  </a:rPr>
                  <a:t>Nitrogen, ug/l</a:t>
                </a:r>
              </a:p>
            </c:rich>
          </c:tx>
          <c:layout>
            <c:manualLayout>
              <c:xMode val="edge"/>
              <c:yMode val="edge"/>
              <c:x val="0.15849056603774331"/>
              <c:y val="0.27158801117602238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15591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/>
            </a:pPr>
            <a:endParaRPr lang="en-US"/>
          </a:p>
        </c:txPr>
      </c:dTable>
      <c:spPr>
        <a:gradFill>
          <a:gsLst>
            <a:gs pos="0">
              <a:srgbClr val="9BBB59">
                <a:lumMod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BCR Total Nitrogen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'Nitrate &amp; T Nitrogen'!$A$33</c:f>
              <c:strCache>
                <c:ptCount val="1"/>
                <c:pt idx="0">
                  <c:v>Site 40a-Reservoir - 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'Nitrate &amp; T Nitrogen'!$B$29:$M$29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'Nitrate &amp; T Nitrogen'!$B$33:$M$33</c:f>
              <c:numCache>
                <c:formatCode>0</c:formatCode>
                <c:ptCount val="12"/>
                <c:pt idx="0">
                  <c:v>1294</c:v>
                </c:pt>
                <c:pt idx="1">
                  <c:v>1113</c:v>
                </c:pt>
                <c:pt idx="2">
                  <c:v>910</c:v>
                </c:pt>
                <c:pt idx="3">
                  <c:v>820</c:v>
                </c:pt>
                <c:pt idx="4">
                  <c:v>927</c:v>
                </c:pt>
                <c:pt idx="5">
                  <c:v>889</c:v>
                </c:pt>
                <c:pt idx="6">
                  <c:v>748.5</c:v>
                </c:pt>
                <c:pt idx="7">
                  <c:v>795.5</c:v>
                </c:pt>
                <c:pt idx="8">
                  <c:v>939.5</c:v>
                </c:pt>
                <c:pt idx="9">
                  <c:v>787</c:v>
                </c:pt>
                <c:pt idx="10">
                  <c:v>874</c:v>
                </c:pt>
                <c:pt idx="11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1-4F24-B0A2-0A3C5E14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9182712"/>
        <c:axId val="319176152"/>
      </c:barChart>
      <c:lineChart>
        <c:grouping val="standard"/>
        <c:varyColors val="0"/>
        <c:ser>
          <c:idx val="1"/>
          <c:order val="1"/>
          <c:tx>
            <c:strRef>
              <c:f>'Nitrate &amp; T Nitrogen'!$A$34</c:f>
              <c:strCache>
                <c:ptCount val="1"/>
                <c:pt idx="0">
                  <c:v>Site 40c-Reservoir - Lower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'Nitrate &amp; T Nitrogen'!$B$34:$M$34</c:f>
              <c:numCache>
                <c:formatCode>0</c:formatCode>
                <c:ptCount val="12"/>
                <c:pt idx="0">
                  <c:v>1192</c:v>
                </c:pt>
                <c:pt idx="1">
                  <c:v>1283</c:v>
                </c:pt>
                <c:pt idx="2">
                  <c:v>1206</c:v>
                </c:pt>
                <c:pt idx="3">
                  <c:v>786</c:v>
                </c:pt>
                <c:pt idx="4">
                  <c:v>1048</c:v>
                </c:pt>
                <c:pt idx="5">
                  <c:v>1015</c:v>
                </c:pt>
                <c:pt idx="6">
                  <c:v>782.5</c:v>
                </c:pt>
                <c:pt idx="7">
                  <c:v>780</c:v>
                </c:pt>
                <c:pt idx="8">
                  <c:v>746</c:v>
                </c:pt>
                <c:pt idx="9">
                  <c:v>711</c:v>
                </c:pt>
                <c:pt idx="10">
                  <c:v>832</c:v>
                </c:pt>
                <c:pt idx="11">
                  <c:v>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D1-4F24-B0A2-0A3C5E14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82712"/>
        <c:axId val="319176152"/>
      </c:lineChart>
      <c:catAx>
        <c:axId val="31918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176152"/>
        <c:crosses val="autoZero"/>
        <c:auto val="1"/>
        <c:lblAlgn val="ctr"/>
        <c:lblOffset val="100"/>
        <c:noMultiLvlLbl val="0"/>
      </c:catAx>
      <c:valAx>
        <c:axId val="31917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1827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r>
              <a:rPr lang="en-US" sz="1200">
                <a:latin typeface="+mj-lt"/>
              </a:rPr>
              <a:t>Total Suspended Sediments</a:t>
            </a:r>
          </a:p>
        </c:rich>
      </c:tx>
      <c:layout>
        <c:manualLayout>
          <c:xMode val="edge"/>
          <c:yMode val="edge"/>
          <c:x val="0.47888741721856654"/>
          <c:y val="4.0624403081690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9403973510678"/>
          <c:y val="9.9831483328734857E-2"/>
          <c:w val="0.74905430463576161"/>
          <c:h val="0.68267610416622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TSS!$A$16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TSS!$B$15:$M$15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TSS!$B$16:$M$16</c:f>
              <c:numCache>
                <c:formatCode>0.0</c:formatCode>
                <c:ptCount val="12"/>
                <c:pt idx="0">
                  <c:v>11.5</c:v>
                </c:pt>
                <c:pt idx="1">
                  <c:v>4</c:v>
                </c:pt>
                <c:pt idx="2">
                  <c:v>10.4</c:v>
                </c:pt>
                <c:pt idx="3">
                  <c:v>20.3</c:v>
                </c:pt>
                <c:pt idx="4">
                  <c:v>138</c:v>
                </c:pt>
                <c:pt idx="5">
                  <c:v>28.6</c:v>
                </c:pt>
                <c:pt idx="6">
                  <c:v>19.7</c:v>
                </c:pt>
                <c:pt idx="7">
                  <c:v>58.400000000000006</c:v>
                </c:pt>
                <c:pt idx="8">
                  <c:v>47.2</c:v>
                </c:pt>
                <c:pt idx="9">
                  <c:v>6.8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9-421C-A14E-A922800202DD}"/>
            </c:ext>
          </c:extLst>
        </c:ser>
        <c:ser>
          <c:idx val="1"/>
          <c:order val="1"/>
          <c:tx>
            <c:strRef>
              <c:f>TSS!$A$17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TSS!$B$15:$M$15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TSS!$B$17:$M$17</c:f>
              <c:numCache>
                <c:formatCode>0.0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16.399999999999999</c:v>
                </c:pt>
                <c:pt idx="3">
                  <c:v>67.7</c:v>
                </c:pt>
                <c:pt idx="4">
                  <c:v>41.2</c:v>
                </c:pt>
                <c:pt idx="5">
                  <c:v>19.3</c:v>
                </c:pt>
                <c:pt idx="6">
                  <c:v>25.9</c:v>
                </c:pt>
                <c:pt idx="7">
                  <c:v>12.799999999999999</c:v>
                </c:pt>
                <c:pt idx="8">
                  <c:v>5.4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9-421C-A14E-A92280020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663616"/>
        <c:axId val="115665152"/>
      </c:barChart>
      <c:lineChart>
        <c:grouping val="standard"/>
        <c:varyColors val="0"/>
        <c:ser>
          <c:idx val="3"/>
          <c:order val="3"/>
          <c:tx>
            <c:strRef>
              <c:f>TSS!$A$18</c:f>
              <c:strCache>
                <c:ptCount val="1"/>
                <c:pt idx="0">
                  <c:v>Site 45-Reservoir Discharge</c:v>
                </c:pt>
              </c:strCache>
            </c:strRef>
          </c:tx>
          <c:marker>
            <c:symbol val="circle"/>
            <c:size val="7"/>
          </c:marker>
          <c:val>
            <c:numRef>
              <c:f>TSS!$B$18:$M$18</c:f>
              <c:numCache>
                <c:formatCode>0.0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6.1</c:v>
                </c:pt>
                <c:pt idx="3">
                  <c:v>12.6</c:v>
                </c:pt>
                <c:pt idx="4">
                  <c:v>9.5</c:v>
                </c:pt>
                <c:pt idx="5">
                  <c:v>4</c:v>
                </c:pt>
                <c:pt idx="6">
                  <c:v>7.3999999999999995</c:v>
                </c:pt>
                <c:pt idx="7">
                  <c:v>10.199999999999999</c:v>
                </c:pt>
                <c:pt idx="8">
                  <c:v>9.6999999999999993</c:v>
                </c:pt>
                <c:pt idx="9">
                  <c:v>12.6</c:v>
                </c:pt>
                <c:pt idx="10">
                  <c:v>18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59-421C-A14E-A92280020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63616"/>
        <c:axId val="1156651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TSS!$A$21</c15:sqref>
                        </c15:formulaRef>
                      </c:ext>
                    </c:extLst>
                    <c:strCache>
                      <c:ptCount val="1"/>
                      <c:pt idx="0">
                        <c:v>BCR Water Column Average </c:v>
                      </c:pt>
                    </c:strCache>
                  </c:strRef>
                </c:tx>
                <c:spPr>
                  <a:ln w="25400">
                    <a:solidFill>
                      <a:schemeClr val="tx1"/>
                    </a:solidFill>
                    <a:prstDash val="solid"/>
                  </a:ln>
                </c:spPr>
                <c:cat>
                  <c:strRef>
                    <c:extLst>
                      <c:ext uri="{02D57815-91ED-43cb-92C2-25804820EDAC}">
                        <c15:formulaRef>
                          <c15:sqref>TSS!$B$15:$M$15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TSS!$B$21:$M$21</c15:sqref>
                        </c15:formulaRef>
                      </c:ext>
                    </c:extLst>
                    <c:numCache>
                      <c:formatCode>0.0</c:formatCode>
                      <c:ptCount val="12"/>
                      <c:pt idx="0">
                        <c:v>4</c:v>
                      </c:pt>
                      <c:pt idx="1">
                        <c:v>4</c:v>
                      </c:pt>
                      <c:pt idx="2">
                        <c:v>4.4000000000000004</c:v>
                      </c:pt>
                      <c:pt idx="3">
                        <c:v>5.45</c:v>
                      </c:pt>
                      <c:pt idx="4">
                        <c:v>9.9499999999999993</c:v>
                      </c:pt>
                      <c:pt idx="5">
                        <c:v>4</c:v>
                      </c:pt>
                      <c:pt idx="6">
                        <c:v>7.25</c:v>
                      </c:pt>
                      <c:pt idx="7">
                        <c:v>21.049999999999997</c:v>
                      </c:pt>
                      <c:pt idx="8">
                        <c:v>33.475000000000001</c:v>
                      </c:pt>
                      <c:pt idx="9">
                        <c:v>18.399999999999999</c:v>
                      </c:pt>
                      <c:pt idx="10">
                        <c:v>11.1</c:v>
                      </c:pt>
                      <c:pt idx="11">
                        <c:v>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559-421C-A14E-A922800202DD}"/>
                  </c:ext>
                </c:extLst>
              </c15:ser>
            </c15:filteredLineSeries>
          </c:ext>
        </c:extLst>
      </c:lineChart>
      <c:catAx>
        <c:axId val="1156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6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6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TSS mg/l</a:t>
                </a:r>
              </a:p>
            </c:rich>
          </c:tx>
          <c:layout>
            <c:manualLayout>
              <c:xMode val="edge"/>
              <c:yMode val="edge"/>
              <c:x val="0.13774834437087313"/>
              <c:y val="0.38390283761701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636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>
                <a:latin typeface="+mj-lt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Chlorophyll-a Bear Creek Reservoir </a:t>
            </a:r>
          </a:p>
        </c:rich>
      </c:tx>
      <c:layout>
        <c:manualLayout>
          <c:xMode val="edge"/>
          <c:yMode val="edge"/>
          <c:x val="0.37129680097767942"/>
          <c:y val="4.55730370934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9854938532534"/>
          <c:y val="0.13058807408110132"/>
          <c:w val="0.8497114636318982"/>
          <c:h val="0.73015729199143753"/>
        </c:manualLayout>
      </c:layout>
      <c:areaChart>
        <c:grouping val="stacked"/>
        <c:varyColors val="0"/>
        <c:ser>
          <c:idx val="0"/>
          <c:order val="0"/>
          <c:tx>
            <c:strRef>
              <c:f>Chlsecchi!$A$3</c:f>
              <c:strCache>
                <c:ptCount val="1"/>
                <c:pt idx="0">
                  <c:v>Chlorophyll, ug/L</c:v>
                </c:pt>
              </c:strCache>
            </c:strRef>
          </c:tx>
          <c:spPr>
            <a:gradFill>
              <a:gsLst>
                <a:gs pos="0">
                  <a:srgbClr val="92D050"/>
                </a:gs>
                <a:gs pos="48000">
                  <a:schemeClr val="accent1">
                    <a:lumMod val="45000"/>
                    <a:lumOff val="55000"/>
                  </a:schemeClr>
                </a:gs>
                <a:gs pos="55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12700">
              <a:gradFill>
                <a:gsLst>
                  <a:gs pos="0">
                    <a:srgbClr val="92D050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</a:ln>
          </c:spPr>
          <c:cat>
            <c:strRef>
              <c:f>Chlsecchi!$B$21:$M$21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Chlsecchi!$B$22:$M$22</c:f>
              <c:numCache>
                <c:formatCode>#,##0.0</c:formatCode>
                <c:ptCount val="12"/>
                <c:pt idx="0">
                  <c:v>17.850000000000001</c:v>
                </c:pt>
                <c:pt idx="1">
                  <c:v>3.75</c:v>
                </c:pt>
                <c:pt idx="2">
                  <c:v>9.4</c:v>
                </c:pt>
                <c:pt idx="3">
                  <c:v>7.7</c:v>
                </c:pt>
                <c:pt idx="4">
                  <c:v>3.9</c:v>
                </c:pt>
                <c:pt idx="5">
                  <c:v>3.45</c:v>
                </c:pt>
                <c:pt idx="6">
                  <c:v>10.175000000000001</c:v>
                </c:pt>
                <c:pt idx="7">
                  <c:v>25.65</c:v>
                </c:pt>
                <c:pt idx="8">
                  <c:v>26.8</c:v>
                </c:pt>
                <c:pt idx="9">
                  <c:v>13.3</c:v>
                </c:pt>
                <c:pt idx="10">
                  <c:v>8.8000000000000007</c:v>
                </c:pt>
                <c:pt idx="11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F-416D-A7F7-328E3EB16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47168"/>
        <c:axId val="115848704"/>
      </c:areaChart>
      <c:catAx>
        <c:axId val="1158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58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4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Chlorophyll-a (ug/l)</a:t>
                </a:r>
              </a:p>
            </c:rich>
          </c:tx>
          <c:layout>
            <c:manualLayout>
              <c:xMode val="edge"/>
              <c:yMode val="edge"/>
              <c:x val="2.6827370110102E-2"/>
              <c:y val="0.358106074710074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5847168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Secchi Depth Bear Creek Reservoir</a:t>
            </a:r>
          </a:p>
        </c:rich>
      </c:tx>
      <c:layout>
        <c:manualLayout>
          <c:xMode val="edge"/>
          <c:yMode val="edge"/>
          <c:x val="0.27333133137562948"/>
          <c:y val="5.0935390888639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3717842584651"/>
          <c:y val="0.19847858105757338"/>
          <c:w val="0.85262054183255886"/>
          <c:h val="0.67865431614364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Chlsecchi!$A$23</c:f>
              <c:strCache>
                <c:ptCount val="1"/>
                <c:pt idx="0">
                  <c:v>Secchi (ft)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Chlsecchi!$B$21:$M$21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Chlsecchi!$B$23:$M$23</c:f>
              <c:numCache>
                <c:formatCode>0.0</c:formatCode>
                <c:ptCount val="12"/>
                <c:pt idx="0">
                  <c:v>5.0315199999999995</c:v>
                </c:pt>
                <c:pt idx="1">
                  <c:v>8.5280000000000005</c:v>
                </c:pt>
                <c:pt idx="2">
                  <c:v>4.3427199999999999</c:v>
                </c:pt>
                <c:pt idx="3">
                  <c:v>3.9491199999999997</c:v>
                </c:pt>
                <c:pt idx="4">
                  <c:v>1.9089600000000002</c:v>
                </c:pt>
                <c:pt idx="5">
                  <c:v>6.3959999999999999</c:v>
                </c:pt>
                <c:pt idx="6">
                  <c:v>4.7461599999999997</c:v>
                </c:pt>
                <c:pt idx="7">
                  <c:v>3.0077599999999998</c:v>
                </c:pt>
                <c:pt idx="8">
                  <c:v>2.4403199999999998</c:v>
                </c:pt>
                <c:pt idx="9">
                  <c:v>2.0007999999999999</c:v>
                </c:pt>
                <c:pt idx="10">
                  <c:v>2.4600000000000004</c:v>
                </c:pt>
                <c:pt idx="11">
                  <c:v>6.3304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C-44E7-89BE-6CF9CC53C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64704"/>
        <c:axId val="115866240"/>
      </c:barChart>
      <c:catAx>
        <c:axId val="1158647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66240"/>
        <c:scaling>
          <c:orientation val="maxMin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Secchi Depth (feet)</a:t>
                </a:r>
              </a:p>
            </c:rich>
          </c:tx>
          <c:layout>
            <c:manualLayout>
              <c:xMode val="edge"/>
              <c:yMode val="edge"/>
              <c:x val="2.0885649567779808E-2"/>
              <c:y val="0.373060388378335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47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Reservoir Phosphorus</a:t>
            </a:r>
          </a:p>
        </c:rich>
      </c:tx>
      <c:layout>
        <c:manualLayout>
          <c:xMode val="edge"/>
          <c:yMode val="edge"/>
          <c:x val="0.36699860401432982"/>
          <c:y val="0.8717575839115618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5.1400554097404488E-2"/>
          <c:w val="0.84895100612431396"/>
          <c:h val="0.70651574803149608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Summary'!$B$18</c:f>
              <c:strCache>
                <c:ptCount val="1"/>
                <c:pt idx="0">
                  <c:v>Phosphorus, total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Summary'!$C$18:$Q$18</c:f>
              <c:numCache>
                <c:formatCode>General</c:formatCode>
                <c:ptCount val="15"/>
                <c:pt idx="0">
                  <c:v>21</c:v>
                </c:pt>
                <c:pt idx="1">
                  <c:v>17</c:v>
                </c:pt>
                <c:pt idx="2">
                  <c:v>16</c:v>
                </c:pt>
                <c:pt idx="3">
                  <c:v>28</c:v>
                </c:pt>
                <c:pt idx="4">
                  <c:v>56</c:v>
                </c:pt>
                <c:pt idx="5">
                  <c:v>36</c:v>
                </c:pt>
                <c:pt idx="6">
                  <c:v>52</c:v>
                </c:pt>
                <c:pt idx="7">
                  <c:v>67</c:v>
                </c:pt>
                <c:pt idx="8">
                  <c:v>43</c:v>
                </c:pt>
                <c:pt idx="9">
                  <c:v>42</c:v>
                </c:pt>
                <c:pt idx="10">
                  <c:v>44</c:v>
                </c:pt>
                <c:pt idx="11">
                  <c:v>112</c:v>
                </c:pt>
                <c:pt idx="12">
                  <c:v>60</c:v>
                </c:pt>
                <c:pt idx="13">
                  <c:v>27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9-4226-9941-67EE493721A9}"/>
            </c:ext>
          </c:extLst>
        </c:ser>
        <c:ser>
          <c:idx val="1"/>
          <c:order val="1"/>
          <c:tx>
            <c:strRef>
              <c:f>'P1 Summary'!$B$19</c:f>
              <c:strCache>
                <c:ptCount val="1"/>
                <c:pt idx="0">
                  <c:v>Total Dissolved Phosphorus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Summary'!$C$19:$Q$19</c:f>
              <c:numCache>
                <c:formatCode>General</c:formatCode>
                <c:ptCount val="15"/>
                <c:pt idx="0">
                  <c:v>9</c:v>
                </c:pt>
                <c:pt idx="1">
                  <c:v>3</c:v>
                </c:pt>
                <c:pt idx="2">
                  <c:v>14</c:v>
                </c:pt>
                <c:pt idx="3">
                  <c:v>11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4</c:v>
                </c:pt>
                <c:pt idx="8">
                  <c:v>2</c:v>
                </c:pt>
                <c:pt idx="9">
                  <c:v>13</c:v>
                </c:pt>
                <c:pt idx="10">
                  <c:v>4</c:v>
                </c:pt>
                <c:pt idx="11">
                  <c:v>20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9-4226-9941-67EE49372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4464"/>
        <c:axId val="116049024"/>
      </c:lineChart>
      <c:dateAx>
        <c:axId val="116014464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116049024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604902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6014464"/>
        <c:crossesAt val="40203"/>
        <c:crossBetween val="midCat"/>
      </c:valAx>
    </c:plotArea>
    <c:legend>
      <c:legendPos val="r"/>
      <c:layout>
        <c:manualLayout>
          <c:xMode val="edge"/>
          <c:yMode val="edge"/>
          <c:x val="0.15286015198811684"/>
          <c:y val="7.8599557658631414E-2"/>
          <c:w val="0.27492920997639886"/>
          <c:h val="0.15587857939340585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Reservoir Nitrate/Nitrite  </a:t>
            </a:r>
          </a:p>
        </c:rich>
      </c:tx>
      <c:layout>
        <c:manualLayout>
          <c:xMode val="edge"/>
          <c:yMode val="edge"/>
          <c:x val="0.36757028526438795"/>
          <c:y val="0.8623691064051216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47462817148244"/>
          <c:y val="0.19480351414406533"/>
          <c:w val="0.78925131698963169"/>
          <c:h val="0.57160776902889165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Summary'!$C$16:$Q$16</c:f>
              <c:numCache>
                <c:formatCode>General</c:formatCode>
                <c:ptCount val="15"/>
                <c:pt idx="0">
                  <c:v>848</c:v>
                </c:pt>
                <c:pt idx="1">
                  <c:v>606</c:v>
                </c:pt>
                <c:pt idx="2">
                  <c:v>533</c:v>
                </c:pt>
                <c:pt idx="3">
                  <c:v>456</c:v>
                </c:pt>
                <c:pt idx="4">
                  <c:v>502</c:v>
                </c:pt>
                <c:pt idx="5">
                  <c:v>212</c:v>
                </c:pt>
                <c:pt idx="6">
                  <c:v>156</c:v>
                </c:pt>
                <c:pt idx="7">
                  <c:v>33</c:v>
                </c:pt>
                <c:pt idx="8">
                  <c:v>221</c:v>
                </c:pt>
                <c:pt idx="9">
                  <c:v>169</c:v>
                </c:pt>
                <c:pt idx="10">
                  <c:v>93</c:v>
                </c:pt>
                <c:pt idx="11">
                  <c:v>132</c:v>
                </c:pt>
                <c:pt idx="12">
                  <c:v>308</c:v>
                </c:pt>
                <c:pt idx="13">
                  <c:v>423</c:v>
                </c:pt>
                <c:pt idx="14">
                  <c:v>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1-4FDF-A869-3517AEC126CD}"/>
            </c:ext>
          </c:extLst>
        </c:ser>
        <c:ser>
          <c:idx val="1"/>
          <c:order val="1"/>
          <c:tx>
            <c:strRef>
              <c:f>'P1 Summary'!$A$24:$A$29</c:f>
              <c:strCache>
                <c:ptCount val="1"/>
                <c:pt idx="0">
                  <c:v>BCR  -10m, Site 40c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Summary'!$C$25:$Q$25</c:f>
              <c:numCache>
                <c:formatCode>General</c:formatCode>
                <c:ptCount val="15"/>
                <c:pt idx="0">
                  <c:v>458</c:v>
                </c:pt>
                <c:pt idx="1">
                  <c:v>316</c:v>
                </c:pt>
                <c:pt idx="2">
                  <c:v>478</c:v>
                </c:pt>
                <c:pt idx="3">
                  <c:v>411</c:v>
                </c:pt>
                <c:pt idx="4">
                  <c:v>598</c:v>
                </c:pt>
                <c:pt idx="5">
                  <c:v>350</c:v>
                </c:pt>
                <c:pt idx="6">
                  <c:v>169</c:v>
                </c:pt>
                <c:pt idx="7">
                  <c:v>152</c:v>
                </c:pt>
                <c:pt idx="8">
                  <c:v>212</c:v>
                </c:pt>
                <c:pt idx="9">
                  <c:v>187</c:v>
                </c:pt>
                <c:pt idx="10">
                  <c:v>101</c:v>
                </c:pt>
                <c:pt idx="11">
                  <c:v>153</c:v>
                </c:pt>
                <c:pt idx="12">
                  <c:v>306</c:v>
                </c:pt>
                <c:pt idx="13">
                  <c:v>440</c:v>
                </c:pt>
                <c:pt idx="14">
                  <c:v>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1-4FDF-A869-3517AEC12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3923968"/>
        <c:axId val="113925504"/>
      </c:lineChart>
      <c:dateAx>
        <c:axId val="113923968"/>
        <c:scaling>
          <c:orientation val="minMax"/>
        </c:scaling>
        <c:delete val="0"/>
        <c:axPos val="t"/>
        <c:numFmt formatCode="[$-409]mmmmm;@" sourceLinked="0"/>
        <c:majorTickMark val="in"/>
        <c:minorTickMark val="out"/>
        <c:tickLblPos val="low"/>
        <c:crossAx val="113925504"/>
        <c:crosses val="autoZero"/>
        <c:auto val="0"/>
        <c:lblOffset val="100"/>
        <c:baseTimeUnit val="days"/>
        <c:majorUnit val="1"/>
        <c:majorTimeUnit val="months"/>
        <c:minorUnit val="15"/>
        <c:minorTimeUnit val="months"/>
      </c:dateAx>
      <c:valAx>
        <c:axId val="11392550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ug/l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923968"/>
        <c:crossesAt val="40203"/>
        <c:crossBetween val="between"/>
      </c:valAx>
    </c:plotArea>
    <c:legend>
      <c:legendPos val="r"/>
      <c:layout>
        <c:manualLayout>
          <c:xMode val="edge"/>
          <c:yMode val="edge"/>
          <c:x val="0.30069479674883531"/>
          <c:y val="0.78295537320314168"/>
          <c:w val="0.50457199542273956"/>
          <c:h val="9.9838583398990266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2469791943992973E-2"/>
          <c:y val="0.18707900550191561"/>
          <c:w val="0.88561418763856581"/>
          <c:h val="0.69728613399573536"/>
        </c:manualLayout>
      </c:layout>
      <c:areaChart>
        <c:grouping val="standard"/>
        <c:varyColors val="0"/>
        <c:ser>
          <c:idx val="0"/>
          <c:order val="0"/>
          <c:tx>
            <c:strRef>
              <c:f>'P1 Summary'!$B$21</c:f>
              <c:strCache>
                <c:ptCount val="1"/>
                <c:pt idx="0">
                  <c:v>Chlorophyll a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Summary'!$C$23:$Q$23</c:f>
              <c:numCache>
                <c:formatCode>0.0</c:formatCode>
                <c:ptCount val="15"/>
                <c:pt idx="0">
                  <c:v>17.850000000000001</c:v>
                </c:pt>
                <c:pt idx="1">
                  <c:v>3.75</c:v>
                </c:pt>
                <c:pt idx="2">
                  <c:v>9.4</c:v>
                </c:pt>
                <c:pt idx="3">
                  <c:v>7.7</c:v>
                </c:pt>
                <c:pt idx="4">
                  <c:v>3.9</c:v>
                </c:pt>
                <c:pt idx="5">
                  <c:v>3.45</c:v>
                </c:pt>
                <c:pt idx="6">
                  <c:v>5.2</c:v>
                </c:pt>
                <c:pt idx="7">
                  <c:v>15.15</c:v>
                </c:pt>
                <c:pt idx="8">
                  <c:v>22.9</c:v>
                </c:pt>
                <c:pt idx="9">
                  <c:v>28.4</c:v>
                </c:pt>
                <c:pt idx="10">
                  <c:v>7.9</c:v>
                </c:pt>
                <c:pt idx="11">
                  <c:v>45.7</c:v>
                </c:pt>
                <c:pt idx="12">
                  <c:v>13.3</c:v>
                </c:pt>
                <c:pt idx="13">
                  <c:v>8.8000000000000007</c:v>
                </c:pt>
                <c:pt idx="1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3F9-9BD4-83887CB60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3024"/>
        <c:axId val="113958912"/>
      </c:areaChart>
      <c:dateAx>
        <c:axId val="113953024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11395891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39589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3953024"/>
        <c:crossesAt val="40179"/>
        <c:crossBetween val="midCat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 Creek Reservoir </a:t>
            </a:r>
          </a:p>
        </c:rich>
      </c:tx>
      <c:layout>
        <c:manualLayout>
          <c:xMode val="edge"/>
          <c:yMode val="edge"/>
          <c:x val="0.32243051349350582"/>
          <c:y val="4.6413502109704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890765843411708E-2"/>
          <c:y val="0.14127731596469484"/>
          <c:w val="0.84541017479197456"/>
          <c:h val="0.70652297021584776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Summary'!$B$21</c:f>
              <c:strCache>
                <c:ptCount val="1"/>
                <c:pt idx="0">
                  <c:v>Chlorophyll 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Summary'!$C$23:$Q$23</c:f>
              <c:numCache>
                <c:formatCode>0.0</c:formatCode>
                <c:ptCount val="15"/>
                <c:pt idx="0">
                  <c:v>17.850000000000001</c:v>
                </c:pt>
                <c:pt idx="1">
                  <c:v>3.75</c:v>
                </c:pt>
                <c:pt idx="2">
                  <c:v>9.4</c:v>
                </c:pt>
                <c:pt idx="3">
                  <c:v>7.7</c:v>
                </c:pt>
                <c:pt idx="4">
                  <c:v>3.9</c:v>
                </c:pt>
                <c:pt idx="5">
                  <c:v>3.45</c:v>
                </c:pt>
                <c:pt idx="6">
                  <c:v>5.2</c:v>
                </c:pt>
                <c:pt idx="7">
                  <c:v>15.15</c:v>
                </c:pt>
                <c:pt idx="8">
                  <c:v>22.9</c:v>
                </c:pt>
                <c:pt idx="9">
                  <c:v>28.4</c:v>
                </c:pt>
                <c:pt idx="10">
                  <c:v>7.9</c:v>
                </c:pt>
                <c:pt idx="11">
                  <c:v>45.7</c:v>
                </c:pt>
                <c:pt idx="12">
                  <c:v>13.3</c:v>
                </c:pt>
                <c:pt idx="13">
                  <c:v>8.8000000000000007</c:v>
                </c:pt>
                <c:pt idx="1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B-4B6E-A44C-5A613EC673D5}"/>
            </c:ext>
          </c:extLst>
        </c:ser>
        <c:ser>
          <c:idx val="1"/>
          <c:order val="1"/>
          <c:tx>
            <c:strRef>
              <c:f>'P1 Summary'!$B$18</c:f>
              <c:strCache>
                <c:ptCount val="1"/>
                <c:pt idx="0">
                  <c:v>Phosphorus, total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Summary'!$C$18:$Q$18</c:f>
              <c:numCache>
                <c:formatCode>General</c:formatCode>
                <c:ptCount val="15"/>
                <c:pt idx="0">
                  <c:v>21</c:v>
                </c:pt>
                <c:pt idx="1">
                  <c:v>17</c:v>
                </c:pt>
                <c:pt idx="2">
                  <c:v>16</c:v>
                </c:pt>
                <c:pt idx="3">
                  <c:v>28</c:v>
                </c:pt>
                <c:pt idx="4">
                  <c:v>56</c:v>
                </c:pt>
                <c:pt idx="5">
                  <c:v>36</c:v>
                </c:pt>
                <c:pt idx="6">
                  <c:v>52</c:v>
                </c:pt>
                <c:pt idx="7">
                  <c:v>67</c:v>
                </c:pt>
                <c:pt idx="8">
                  <c:v>43</c:v>
                </c:pt>
                <c:pt idx="9">
                  <c:v>42</c:v>
                </c:pt>
                <c:pt idx="10">
                  <c:v>44</c:v>
                </c:pt>
                <c:pt idx="11">
                  <c:v>112</c:v>
                </c:pt>
                <c:pt idx="12">
                  <c:v>60</c:v>
                </c:pt>
                <c:pt idx="13">
                  <c:v>27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B-4B6E-A44C-5A613EC673D5}"/>
            </c:ext>
          </c:extLst>
        </c:ser>
        <c:ser>
          <c:idx val="2"/>
          <c:order val="2"/>
          <c:tx>
            <c:strRef>
              <c:f>'P1 Summary'!$B$19</c:f>
              <c:strCache>
                <c:ptCount val="1"/>
                <c:pt idx="0">
                  <c:v>Total Dissolved Phosphorus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Summary'!$C$19:$Q$19</c:f>
              <c:numCache>
                <c:formatCode>General</c:formatCode>
                <c:ptCount val="15"/>
                <c:pt idx="0">
                  <c:v>9</c:v>
                </c:pt>
                <c:pt idx="1">
                  <c:v>3</c:v>
                </c:pt>
                <c:pt idx="2">
                  <c:v>14</c:v>
                </c:pt>
                <c:pt idx="3">
                  <c:v>11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4</c:v>
                </c:pt>
                <c:pt idx="8">
                  <c:v>2</c:v>
                </c:pt>
                <c:pt idx="9">
                  <c:v>13</c:v>
                </c:pt>
                <c:pt idx="10">
                  <c:v>4</c:v>
                </c:pt>
                <c:pt idx="11">
                  <c:v>20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B-4B6E-A44C-5A613EC6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09536"/>
        <c:axId val="116211072"/>
      </c:lineChart>
      <c:dateAx>
        <c:axId val="116209536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11621107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11072"/>
        <c:scaling>
          <c:orientation val="minMax"/>
        </c:scaling>
        <c:delete val="0"/>
        <c:axPos val="l"/>
        <c:majorGridlines/>
        <c:minorGridlines/>
        <c:numFmt formatCode="0.0" sourceLinked="1"/>
        <c:majorTickMark val="out"/>
        <c:minorTickMark val="none"/>
        <c:tickLblPos val="nextTo"/>
        <c:crossAx val="116209536"/>
        <c:crossesAt val="40544"/>
        <c:crossBetween val="between"/>
      </c:valAx>
    </c:plotArea>
    <c:legend>
      <c:legendPos val="r"/>
      <c:layout>
        <c:manualLayout>
          <c:xMode val="edge"/>
          <c:yMode val="edge"/>
          <c:x val="0.11450662380708462"/>
          <c:y val="0.17120971580190991"/>
          <c:w val="0.2908536431119943"/>
          <c:h val="0.21149603510739406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Secchi Depth [meter] Trend</a:t>
            </a:r>
          </a:p>
        </c:rich>
      </c:tx>
      <c:layout>
        <c:manualLayout>
          <c:xMode val="edge"/>
          <c:yMode val="edge"/>
          <c:x val="0.35785126859142607"/>
          <c:y val="1.782777963108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8135240420389E-2"/>
          <c:y val="0.24684797654725243"/>
          <c:w val="0.89243114692708359"/>
          <c:h val="0.70842512279719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Trends'!$A$22</c:f>
              <c:strCache>
                <c:ptCount val="1"/>
                <c:pt idx="0">
                  <c:v>Secchi Depth (m)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Trends'!$C$3:$AA$3</c:f>
              <c:numCache>
                <c:formatCode>0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'Annual Reservoir Trends'!$C$22:$AA$22</c:f>
              <c:numCache>
                <c:formatCode>#,##0</c:formatCode>
                <c:ptCount val="25"/>
                <c:pt idx="0">
                  <c:v>2.17</c:v>
                </c:pt>
                <c:pt idx="1">
                  <c:v>2.1</c:v>
                </c:pt>
                <c:pt idx="2">
                  <c:v>2.84</c:v>
                </c:pt>
                <c:pt idx="3">
                  <c:v>1.79</c:v>
                </c:pt>
                <c:pt idx="4">
                  <c:v>2.14</c:v>
                </c:pt>
                <c:pt idx="5">
                  <c:v>2.5099999999999998</c:v>
                </c:pt>
                <c:pt idx="6">
                  <c:v>1.7</c:v>
                </c:pt>
                <c:pt idx="7">
                  <c:v>1.8</c:v>
                </c:pt>
                <c:pt idx="8">
                  <c:v>1.8</c:v>
                </c:pt>
                <c:pt idx="9">
                  <c:v>2.4</c:v>
                </c:pt>
                <c:pt idx="10">
                  <c:v>2.2999999999999998</c:v>
                </c:pt>
                <c:pt idx="11">
                  <c:v>3</c:v>
                </c:pt>
                <c:pt idx="12">
                  <c:v>1.7</c:v>
                </c:pt>
                <c:pt idx="13">
                  <c:v>2.6</c:v>
                </c:pt>
                <c:pt idx="14" formatCode="0.0">
                  <c:v>2.0656249999999998</c:v>
                </c:pt>
                <c:pt idx="15" formatCode="0.0">
                  <c:v>2.4</c:v>
                </c:pt>
                <c:pt idx="16" formatCode="0.0">
                  <c:v>1.7</c:v>
                </c:pt>
                <c:pt idx="17" formatCode="0.0">
                  <c:v>2.4</c:v>
                </c:pt>
                <c:pt idx="18" formatCode="0.0">
                  <c:v>2.7</c:v>
                </c:pt>
                <c:pt idx="19" formatCode="0.0">
                  <c:v>1.7</c:v>
                </c:pt>
                <c:pt idx="20" formatCode="0.0">
                  <c:v>2.2000000000000002</c:v>
                </c:pt>
                <c:pt idx="21" formatCode="0.0">
                  <c:v>2.1800000000000002</c:v>
                </c:pt>
                <c:pt idx="22" formatCode="0.0">
                  <c:v>1.86</c:v>
                </c:pt>
                <c:pt idx="23" formatCode="0.0">
                  <c:v>1.98</c:v>
                </c:pt>
                <c:pt idx="24" formatCode="0.0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6-44EA-81EB-4285F31CC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6348928"/>
        <c:axId val="106350464"/>
      </c:barChart>
      <c:catAx>
        <c:axId val="106348928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504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489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Nitrogen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978090089321424E-2"/>
          <c:y val="0.13490922025886434"/>
          <c:w val="0.88123154893333056"/>
          <c:h val="0.78477007859743064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Summary'!$A$3:$A$8</c:f>
              <c:strCache>
                <c:ptCount val="1"/>
                <c:pt idx="0">
                  <c:v>Bear Creek Inflow, Site 15a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Summary'!$C$3:$Q$3</c:f>
              <c:numCache>
                <c:formatCode>General</c:formatCode>
                <c:ptCount val="15"/>
                <c:pt idx="0">
                  <c:v>1316</c:v>
                </c:pt>
                <c:pt idx="1">
                  <c:v>1089</c:v>
                </c:pt>
                <c:pt idx="2">
                  <c:v>939</c:v>
                </c:pt>
                <c:pt idx="3">
                  <c:v>947</c:v>
                </c:pt>
                <c:pt idx="4">
                  <c:v>818</c:v>
                </c:pt>
                <c:pt idx="5">
                  <c:v>581</c:v>
                </c:pt>
                <c:pt idx="6">
                  <c:v>460</c:v>
                </c:pt>
                <c:pt idx="7">
                  <c:v>422</c:v>
                </c:pt>
                <c:pt idx="8">
                  <c:v>488</c:v>
                </c:pt>
                <c:pt idx="9">
                  <c:v>663</c:v>
                </c:pt>
                <c:pt idx="10">
                  <c:v>755</c:v>
                </c:pt>
                <c:pt idx="11">
                  <c:v>1138</c:v>
                </c:pt>
                <c:pt idx="12">
                  <c:v>1028</c:v>
                </c:pt>
                <c:pt idx="13">
                  <c:v>753</c:v>
                </c:pt>
                <c:pt idx="14">
                  <c:v>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9-463D-B2D5-291E80E18ECF}"/>
            </c:ext>
          </c:extLst>
        </c:ser>
        <c:ser>
          <c:idx val="1"/>
          <c:order val="1"/>
          <c:tx>
            <c:strRef>
              <c:f>'P1 Summary'!$A$9:$A$14</c:f>
              <c:strCache>
                <c:ptCount val="1"/>
                <c:pt idx="0">
                  <c:v>Turkey Creek Inflow, Site 16a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Summary'!$C$9:$Q$9</c:f>
              <c:numCache>
                <c:formatCode>General</c:formatCode>
                <c:ptCount val="15"/>
                <c:pt idx="0">
                  <c:v>1056</c:v>
                </c:pt>
                <c:pt idx="1">
                  <c:v>772</c:v>
                </c:pt>
                <c:pt idx="2">
                  <c:v>1372</c:v>
                </c:pt>
                <c:pt idx="3">
                  <c:v>818</c:v>
                </c:pt>
                <c:pt idx="4">
                  <c:v>1114</c:v>
                </c:pt>
                <c:pt idx="5">
                  <c:v>887</c:v>
                </c:pt>
                <c:pt idx="6">
                  <c:v>826</c:v>
                </c:pt>
                <c:pt idx="7">
                  <c:v>754</c:v>
                </c:pt>
                <c:pt idx="8">
                  <c:v>1552</c:v>
                </c:pt>
                <c:pt idx="9">
                  <c:v>817</c:v>
                </c:pt>
                <c:pt idx="10">
                  <c:v>1124</c:v>
                </c:pt>
                <c:pt idx="11">
                  <c:v>1178</c:v>
                </c:pt>
                <c:pt idx="12">
                  <c:v>718</c:v>
                </c:pt>
                <c:pt idx="13">
                  <c:v>997</c:v>
                </c:pt>
                <c:pt idx="14">
                  <c:v>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9-463D-B2D5-291E80E18ECF}"/>
            </c:ext>
          </c:extLst>
        </c:ser>
        <c:ser>
          <c:idx val="2"/>
          <c:order val="2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Summary'!$C$15:$Q$15</c:f>
              <c:numCache>
                <c:formatCode>General</c:formatCode>
                <c:ptCount val="15"/>
                <c:pt idx="0">
                  <c:v>1294</c:v>
                </c:pt>
                <c:pt idx="1">
                  <c:v>1113</c:v>
                </c:pt>
                <c:pt idx="2">
                  <c:v>910</c:v>
                </c:pt>
                <c:pt idx="3">
                  <c:v>820</c:v>
                </c:pt>
                <c:pt idx="4">
                  <c:v>927</c:v>
                </c:pt>
                <c:pt idx="5">
                  <c:v>889</c:v>
                </c:pt>
                <c:pt idx="6">
                  <c:v>803</c:v>
                </c:pt>
                <c:pt idx="7">
                  <c:v>694</c:v>
                </c:pt>
                <c:pt idx="8">
                  <c:v>777</c:v>
                </c:pt>
                <c:pt idx="9">
                  <c:v>814</c:v>
                </c:pt>
                <c:pt idx="10">
                  <c:v>619</c:v>
                </c:pt>
                <c:pt idx="11">
                  <c:v>1260</c:v>
                </c:pt>
                <c:pt idx="12">
                  <c:v>787</c:v>
                </c:pt>
                <c:pt idx="13">
                  <c:v>874</c:v>
                </c:pt>
                <c:pt idx="14">
                  <c:v>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9-463D-B2D5-291E80E18ECF}"/>
            </c:ext>
          </c:extLst>
        </c:ser>
        <c:ser>
          <c:idx val="3"/>
          <c:order val="3"/>
          <c:tx>
            <c:strRef>
              <c:f>'P1 Summary'!$A$24:$A$29</c:f>
              <c:strCache>
                <c:ptCount val="1"/>
                <c:pt idx="0">
                  <c:v>BCR  -10m, Site 40c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Summary'!$C$24:$Q$24</c:f>
              <c:numCache>
                <c:formatCode>General</c:formatCode>
                <c:ptCount val="15"/>
                <c:pt idx="0">
                  <c:v>1192</c:v>
                </c:pt>
                <c:pt idx="1">
                  <c:v>1283</c:v>
                </c:pt>
                <c:pt idx="2">
                  <c:v>1206</c:v>
                </c:pt>
                <c:pt idx="3">
                  <c:v>786</c:v>
                </c:pt>
                <c:pt idx="4">
                  <c:v>1048</c:v>
                </c:pt>
                <c:pt idx="5">
                  <c:v>1015</c:v>
                </c:pt>
                <c:pt idx="6">
                  <c:v>856</c:v>
                </c:pt>
                <c:pt idx="7">
                  <c:v>709</c:v>
                </c:pt>
                <c:pt idx="8">
                  <c:v>759</c:v>
                </c:pt>
                <c:pt idx="9">
                  <c:v>801</c:v>
                </c:pt>
                <c:pt idx="10">
                  <c:v>769</c:v>
                </c:pt>
                <c:pt idx="11">
                  <c:v>723</c:v>
                </c:pt>
                <c:pt idx="12">
                  <c:v>711</c:v>
                </c:pt>
                <c:pt idx="13">
                  <c:v>832</c:v>
                </c:pt>
                <c:pt idx="14">
                  <c:v>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9-463D-B2D5-291E80E18ECF}"/>
            </c:ext>
          </c:extLst>
        </c:ser>
        <c:ser>
          <c:idx val="4"/>
          <c:order val="4"/>
          <c:tx>
            <c:strRef>
              <c:f>'P1 Summary'!$A$30:$A$36</c:f>
              <c:strCache>
                <c:ptCount val="1"/>
                <c:pt idx="0">
                  <c:v>Lower Bear Creek Outflow, Site 45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Summary'!$C$30:$Q$30</c:f>
              <c:numCache>
                <c:formatCode>General</c:formatCode>
                <c:ptCount val="15"/>
                <c:pt idx="0">
                  <c:v>1050</c:v>
                </c:pt>
                <c:pt idx="1">
                  <c:v>915</c:v>
                </c:pt>
                <c:pt idx="2">
                  <c:v>1077</c:v>
                </c:pt>
                <c:pt idx="3">
                  <c:v>916</c:v>
                </c:pt>
                <c:pt idx="4">
                  <c:v>975</c:v>
                </c:pt>
                <c:pt idx="5">
                  <c:v>591</c:v>
                </c:pt>
                <c:pt idx="6">
                  <c:v>593</c:v>
                </c:pt>
                <c:pt idx="7">
                  <c:v>506</c:v>
                </c:pt>
                <c:pt idx="8">
                  <c:v>614</c:v>
                </c:pt>
                <c:pt idx="9">
                  <c:v>693</c:v>
                </c:pt>
                <c:pt idx="10">
                  <c:v>550</c:v>
                </c:pt>
                <c:pt idx="11">
                  <c:v>696</c:v>
                </c:pt>
                <c:pt idx="12">
                  <c:v>714</c:v>
                </c:pt>
                <c:pt idx="13">
                  <c:v>1746</c:v>
                </c:pt>
                <c:pt idx="14">
                  <c:v>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69-463D-B2D5-291E80E18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62016"/>
        <c:axId val="116263552"/>
      </c:lineChart>
      <c:dateAx>
        <c:axId val="11626201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crossAx val="11626355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635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TN ug/l</a:t>
                </a:r>
              </a:p>
            </c:rich>
          </c:tx>
          <c:layout>
            <c:manualLayout>
              <c:xMode val="edge"/>
              <c:yMode val="edge"/>
              <c:x val="1.5832009199716883E-3"/>
              <c:y val="0.420447399200896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626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24465424795894"/>
          <c:y val="0.11456625666718442"/>
          <c:w val="0.36544944048347128"/>
          <c:h val="0.18914646053083986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Supended Sediment  </a:t>
            </a:r>
          </a:p>
        </c:rich>
      </c:tx>
      <c:layout>
        <c:manualLayout>
          <c:xMode val="edge"/>
          <c:yMode val="edge"/>
          <c:x val="0.36086569169542487"/>
          <c:y val="3.18631036448542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72511728624065"/>
          <c:y val="0.18753302543091174"/>
          <c:w val="0.85748594154147273"/>
          <c:h val="0.66631193265714883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Summary'!$A$3:$A$8</c:f>
              <c:strCache>
                <c:ptCount val="1"/>
                <c:pt idx="0">
                  <c:v>Bear Creek Inflow, Site 15a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Summary'!$C$8:$Q$8</c:f>
              <c:numCache>
                <c:formatCode>0.0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16.399999999999999</c:v>
                </c:pt>
                <c:pt idx="3">
                  <c:v>67.7</c:v>
                </c:pt>
                <c:pt idx="4">
                  <c:v>41.2</c:v>
                </c:pt>
                <c:pt idx="5">
                  <c:v>19.3</c:v>
                </c:pt>
                <c:pt idx="6">
                  <c:v>41.4</c:v>
                </c:pt>
                <c:pt idx="7">
                  <c:v>10.4</c:v>
                </c:pt>
                <c:pt idx="8">
                  <c:v>16.399999999999999</c:v>
                </c:pt>
                <c:pt idx="9">
                  <c:v>9.1999999999999993</c:v>
                </c:pt>
                <c:pt idx="10">
                  <c:v>4.8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C-4348-B858-E1C0705785BD}"/>
            </c:ext>
          </c:extLst>
        </c:ser>
        <c:ser>
          <c:idx val="1"/>
          <c:order val="1"/>
          <c:tx>
            <c:strRef>
              <c:f>'P1 Summary'!$A$9:$A$14</c:f>
              <c:strCache>
                <c:ptCount val="1"/>
                <c:pt idx="0">
                  <c:v>Turkey Creek Inflow, Site 16a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Summary'!$C$14:$Q$14</c:f>
              <c:numCache>
                <c:formatCode>0.0</c:formatCode>
                <c:ptCount val="15"/>
                <c:pt idx="0">
                  <c:v>11.5</c:v>
                </c:pt>
                <c:pt idx="1">
                  <c:v>4</c:v>
                </c:pt>
                <c:pt idx="2">
                  <c:v>10.4</c:v>
                </c:pt>
                <c:pt idx="3">
                  <c:v>20.3</c:v>
                </c:pt>
                <c:pt idx="4">
                  <c:v>138</c:v>
                </c:pt>
                <c:pt idx="5">
                  <c:v>28.6</c:v>
                </c:pt>
                <c:pt idx="6">
                  <c:v>29.8</c:v>
                </c:pt>
                <c:pt idx="7">
                  <c:v>9.6</c:v>
                </c:pt>
                <c:pt idx="8">
                  <c:v>110.4</c:v>
                </c:pt>
                <c:pt idx="9">
                  <c:v>6.4</c:v>
                </c:pt>
                <c:pt idx="10">
                  <c:v>4</c:v>
                </c:pt>
                <c:pt idx="11">
                  <c:v>90.4</c:v>
                </c:pt>
                <c:pt idx="12">
                  <c:v>6.8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C-4348-B858-E1C0705785BD}"/>
            </c:ext>
          </c:extLst>
        </c:ser>
        <c:ser>
          <c:idx val="2"/>
          <c:order val="2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Summary'!$C$20:$Q$20</c:f>
              <c:numCache>
                <c:formatCode>0.0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4.8</c:v>
                </c:pt>
                <c:pt idx="3">
                  <c:v>5.2</c:v>
                </c:pt>
                <c:pt idx="4">
                  <c:v>8.1</c:v>
                </c:pt>
                <c:pt idx="5">
                  <c:v>4</c:v>
                </c:pt>
                <c:pt idx="6">
                  <c:v>9.6</c:v>
                </c:pt>
                <c:pt idx="7">
                  <c:v>5.2</c:v>
                </c:pt>
                <c:pt idx="8">
                  <c:v>8.6</c:v>
                </c:pt>
                <c:pt idx="9">
                  <c:v>9.8000000000000007</c:v>
                </c:pt>
                <c:pt idx="10">
                  <c:v>9.8000000000000007</c:v>
                </c:pt>
                <c:pt idx="11">
                  <c:v>15.4</c:v>
                </c:pt>
                <c:pt idx="12">
                  <c:v>16.600000000000001</c:v>
                </c:pt>
                <c:pt idx="13">
                  <c:v>11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C-4348-B858-E1C0705785BD}"/>
            </c:ext>
          </c:extLst>
        </c:ser>
        <c:ser>
          <c:idx val="3"/>
          <c:order val="3"/>
          <c:tx>
            <c:strRef>
              <c:f>'P1 Summary'!$A$30:$A$36</c:f>
              <c:strCache>
                <c:ptCount val="1"/>
                <c:pt idx="0">
                  <c:v>Lower Bear Creek Outflow, Site 45</c:v>
                </c:pt>
              </c:strCache>
            </c:strRef>
          </c:tx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Summary'!$C$35:$Q$35</c:f>
              <c:numCache>
                <c:formatCode>0.0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6.1</c:v>
                </c:pt>
                <c:pt idx="3">
                  <c:v>12.6</c:v>
                </c:pt>
                <c:pt idx="4">
                  <c:v>9.5</c:v>
                </c:pt>
                <c:pt idx="5">
                  <c:v>4</c:v>
                </c:pt>
                <c:pt idx="6">
                  <c:v>6.6</c:v>
                </c:pt>
                <c:pt idx="7">
                  <c:v>8.1999999999999993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9.8000000000000007</c:v>
                </c:pt>
                <c:pt idx="11">
                  <c:v>9.6</c:v>
                </c:pt>
                <c:pt idx="12">
                  <c:v>12.6</c:v>
                </c:pt>
                <c:pt idx="13">
                  <c:v>18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0C-4348-B858-E1C070578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4992"/>
        <c:axId val="116339072"/>
      </c:lineChart>
      <c:dateAx>
        <c:axId val="116324992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116339072"/>
        <c:crosses val="autoZero"/>
        <c:auto val="1"/>
        <c:lblOffset val="100"/>
        <c:baseTimeUnit val="days"/>
        <c:majorUnit val="1"/>
        <c:majorTimeUnit val="months"/>
        <c:minorUnit val="15"/>
        <c:minorTimeUnit val="months"/>
      </c:dateAx>
      <c:valAx>
        <c:axId val="11633907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Suspended Solids mg/l</a:t>
                </a:r>
              </a:p>
            </c:rich>
          </c:tx>
          <c:layout>
            <c:manualLayout>
              <c:xMode val="edge"/>
              <c:yMode val="edge"/>
              <c:x val="1.6497786391625031E-2"/>
              <c:y val="0.2888147700913771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632499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60709915873409837"/>
          <c:y val="0.13132310455253471"/>
          <c:w val="0.36880834923313288"/>
          <c:h val="0.20763999612533637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rgbClr val="1F497D">
        <a:lumMod val="40000"/>
        <a:lumOff val="60000"/>
        <a:alpha val="76000"/>
      </a:srgb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Nitrogen Bear Creek Reservoir </a:t>
            </a:r>
          </a:p>
        </c:rich>
      </c:tx>
      <c:layout>
        <c:manualLayout>
          <c:xMode val="edge"/>
          <c:yMode val="edge"/>
          <c:x val="0.44376447705936095"/>
          <c:y val="2.229965646238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40928431577575"/>
          <c:y val="0.2082293341152974"/>
          <c:w val="0.78433584373152698"/>
          <c:h val="0.44974052932757425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Summary'!$A$15:$A$23</c:f>
              <c:strCache>
                <c:ptCount val="1"/>
                <c:pt idx="0">
                  <c:v>BCR Top, Site 40a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Summary'!$C$15:$Q$15</c:f>
              <c:numCache>
                <c:formatCode>General</c:formatCode>
                <c:ptCount val="15"/>
                <c:pt idx="0">
                  <c:v>1294</c:v>
                </c:pt>
                <c:pt idx="1">
                  <c:v>1113</c:v>
                </c:pt>
                <c:pt idx="2">
                  <c:v>910</c:v>
                </c:pt>
                <c:pt idx="3">
                  <c:v>820</c:v>
                </c:pt>
                <c:pt idx="4">
                  <c:v>927</c:v>
                </c:pt>
                <c:pt idx="5">
                  <c:v>889</c:v>
                </c:pt>
                <c:pt idx="6">
                  <c:v>803</c:v>
                </c:pt>
                <c:pt idx="7">
                  <c:v>694</c:v>
                </c:pt>
                <c:pt idx="8">
                  <c:v>777</c:v>
                </c:pt>
                <c:pt idx="9">
                  <c:v>814</c:v>
                </c:pt>
                <c:pt idx="10">
                  <c:v>619</c:v>
                </c:pt>
                <c:pt idx="11">
                  <c:v>1260</c:v>
                </c:pt>
                <c:pt idx="12">
                  <c:v>787</c:v>
                </c:pt>
                <c:pt idx="13">
                  <c:v>874</c:v>
                </c:pt>
                <c:pt idx="14">
                  <c:v>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2-4557-BA5B-C0D0AE64A842}"/>
            </c:ext>
          </c:extLst>
        </c:ser>
        <c:ser>
          <c:idx val="1"/>
          <c:order val="1"/>
          <c:tx>
            <c:strRef>
              <c:f>'P1 Summary'!$A$24:$A$29</c:f>
              <c:strCache>
                <c:ptCount val="1"/>
                <c:pt idx="0">
                  <c:v>BCR  -10m, Site 40c</c:v>
                </c:pt>
              </c:strCache>
            </c:strRef>
          </c:tx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42009</c:v>
                </c:pt>
                <c:pt idx="1">
                  <c:v>42052</c:v>
                </c:pt>
                <c:pt idx="2">
                  <c:v>42086</c:v>
                </c:pt>
                <c:pt idx="3">
                  <c:v>42114</c:v>
                </c:pt>
                <c:pt idx="4">
                  <c:v>42142</c:v>
                </c:pt>
                <c:pt idx="5">
                  <c:v>42170</c:v>
                </c:pt>
                <c:pt idx="6">
                  <c:v>42191</c:v>
                </c:pt>
                <c:pt idx="7">
                  <c:v>42205</c:v>
                </c:pt>
                <c:pt idx="8">
                  <c:v>42227</c:v>
                </c:pt>
                <c:pt idx="9">
                  <c:v>42241</c:v>
                </c:pt>
                <c:pt idx="10">
                  <c:v>42261</c:v>
                </c:pt>
                <c:pt idx="11">
                  <c:v>42275</c:v>
                </c:pt>
                <c:pt idx="12">
                  <c:v>42296</c:v>
                </c:pt>
                <c:pt idx="13">
                  <c:v>42324</c:v>
                </c:pt>
                <c:pt idx="14">
                  <c:v>42345</c:v>
                </c:pt>
              </c:numCache>
            </c:numRef>
          </c:cat>
          <c:val>
            <c:numRef>
              <c:f>'P1 Summary'!$C$24:$Q$24</c:f>
              <c:numCache>
                <c:formatCode>General</c:formatCode>
                <c:ptCount val="15"/>
                <c:pt idx="0">
                  <c:v>1192</c:v>
                </c:pt>
                <c:pt idx="1">
                  <c:v>1283</c:v>
                </c:pt>
                <c:pt idx="2">
                  <c:v>1206</c:v>
                </c:pt>
                <c:pt idx="3">
                  <c:v>786</c:v>
                </c:pt>
                <c:pt idx="4">
                  <c:v>1048</c:v>
                </c:pt>
                <c:pt idx="5">
                  <c:v>1015</c:v>
                </c:pt>
                <c:pt idx="6">
                  <c:v>856</c:v>
                </c:pt>
                <c:pt idx="7">
                  <c:v>709</c:v>
                </c:pt>
                <c:pt idx="8">
                  <c:v>759</c:v>
                </c:pt>
                <c:pt idx="9">
                  <c:v>801</c:v>
                </c:pt>
                <c:pt idx="10">
                  <c:v>769</c:v>
                </c:pt>
                <c:pt idx="11">
                  <c:v>723</c:v>
                </c:pt>
                <c:pt idx="12">
                  <c:v>711</c:v>
                </c:pt>
                <c:pt idx="13">
                  <c:v>832</c:v>
                </c:pt>
                <c:pt idx="14">
                  <c:v>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2-4557-BA5B-C0D0AE64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72608"/>
        <c:axId val="116374144"/>
      </c:lineChart>
      <c:dateAx>
        <c:axId val="116372608"/>
        <c:scaling>
          <c:orientation val="minMax"/>
        </c:scaling>
        <c:delete val="0"/>
        <c:axPos val="t"/>
        <c:numFmt formatCode="[$-409]d\-mmm;@" sourceLinked="1"/>
        <c:majorTickMark val="none"/>
        <c:minorTickMark val="none"/>
        <c:tickLblPos val="nextTo"/>
        <c:crossAx val="116374144"/>
        <c:crosses val="autoZero"/>
        <c:auto val="1"/>
        <c:lblOffset val="100"/>
        <c:baseTimeUnit val="days"/>
      </c:dateAx>
      <c:valAx>
        <c:axId val="116374144"/>
        <c:scaling>
          <c:orientation val="maxMin"/>
          <c:min val="25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9.3691646834728998E-2"/>
              <c:y val="0.27843784175613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63726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/>
            </a:pPr>
            <a:endParaRPr lang="en-US"/>
          </a:p>
        </c:txPr>
      </c:dTable>
    </c:plotArea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Load Pounds/Month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Summary'!$L$31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Summary'!$M$24:$P$24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</c:strCache>
            </c:strRef>
          </c:cat>
          <c:val>
            <c:numRef>
              <c:f>'Mt Evans Summary'!$M$31:$P$31</c:f>
              <c:numCache>
                <c:formatCode>#,##0.00</c:formatCode>
                <c:ptCount val="4"/>
                <c:pt idx="0">
                  <c:v>4.1793747660000005</c:v>
                </c:pt>
                <c:pt idx="1">
                  <c:v>9.390633921900001</c:v>
                </c:pt>
                <c:pt idx="2">
                  <c:v>1.0595848970699999</c:v>
                </c:pt>
                <c:pt idx="3">
                  <c:v>0.3045435876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1-41F5-A634-0679B877D98A}"/>
            </c:ext>
          </c:extLst>
        </c:ser>
        <c:ser>
          <c:idx val="3"/>
          <c:order val="1"/>
          <c:tx>
            <c:strRef>
              <c:f>'Mt Evans Summary'!$L$33</c:f>
              <c:strCache>
                <c:ptCount val="1"/>
                <c:pt idx="0">
                  <c:v>Site 63 - Bottom Plume Adjusted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'Mt Evans Summary'!$M$33:$P$33</c:f>
              <c:numCache>
                <c:formatCode>#,##0.00</c:formatCode>
                <c:ptCount val="4"/>
                <c:pt idx="0">
                  <c:v>1.811467376775</c:v>
                </c:pt>
                <c:pt idx="1">
                  <c:v>9.2620776500280009</c:v>
                </c:pt>
                <c:pt idx="2">
                  <c:v>35.67938717385001</c:v>
                </c:pt>
                <c:pt idx="3">
                  <c:v>4.2843451089600011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F1-41F5-A634-0679B877D98A}"/>
            </c:ext>
          </c:extLst>
        </c:ser>
        <c:ser>
          <c:idx val="2"/>
          <c:order val="2"/>
          <c:tx>
            <c:strRef>
              <c:f>'Mt Evans Summary'!$L$34</c:f>
              <c:strCache>
                <c:ptCount val="1"/>
                <c:pt idx="0">
                  <c:v>site 65 - Between Pond #1 and #2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Summary'!$M$34:$P$34</c:f>
              <c:numCache>
                <c:formatCode>#,##0.00</c:formatCode>
                <c:ptCount val="4"/>
                <c:pt idx="0">
                  <c:v>6.9494254830000015</c:v>
                </c:pt>
                <c:pt idx="1">
                  <c:v>7.5727678899600006</c:v>
                </c:pt>
                <c:pt idx="2">
                  <c:v>0.62939008104000005</c:v>
                </c:pt>
                <c:pt idx="3">
                  <c:v>0.28510463520000007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1-41F5-A634-0679B877D98A}"/>
            </c:ext>
          </c:extLst>
        </c:ser>
        <c:ser>
          <c:idx val="1"/>
          <c:order val="3"/>
          <c:tx>
            <c:strRef>
              <c:f>'Mt Evans Summary'!$L$32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Summary'!$M$32:$P$32</c:f>
              <c:numCache>
                <c:formatCode>#,##0.00</c:formatCode>
                <c:ptCount val="4"/>
                <c:pt idx="0">
                  <c:v>7.5325940550000015</c:v>
                </c:pt>
                <c:pt idx="1">
                  <c:v>13.295865461970003</c:v>
                </c:pt>
                <c:pt idx="2">
                  <c:v>0.6126509831400001</c:v>
                </c:pt>
                <c:pt idx="3">
                  <c:v>0.25270638120000005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1-41F5-A634-0679B877D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155232"/>
        <c:axId val="403153592"/>
      </c:barChart>
      <c:catAx>
        <c:axId val="4031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53592"/>
        <c:crosses val="autoZero"/>
        <c:auto val="1"/>
        <c:lblAlgn val="ctr"/>
        <c:lblOffset val="100"/>
        <c:noMultiLvlLbl val="0"/>
      </c:catAx>
      <c:valAx>
        <c:axId val="40315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552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64082374318593"/>
          <c:y val="0.84730444622565892"/>
          <c:w val="0.77066240845768408"/>
          <c:h val="0.12874345796595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Load Pounds/Month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Summary'!$L$36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Summary'!$M$24:$P$24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</c:strCache>
            </c:strRef>
          </c:cat>
          <c:val>
            <c:numRef>
              <c:f>'Mt Evans Summary'!$M$36:$P$36</c:f>
              <c:numCache>
                <c:formatCode>#,##0.0</c:formatCode>
                <c:ptCount val="4"/>
                <c:pt idx="0">
                  <c:v>136.24761737160003</c:v>
                </c:pt>
                <c:pt idx="1">
                  <c:v>198.45539688282003</c:v>
                </c:pt>
                <c:pt idx="2">
                  <c:v>108.78404943251999</c:v>
                </c:pt>
                <c:pt idx="3">
                  <c:v>46.290625315200003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C-4E7A-91D3-3D60BAFF862F}"/>
            </c:ext>
          </c:extLst>
        </c:ser>
        <c:ser>
          <c:idx val="1"/>
          <c:order val="1"/>
          <c:tx>
            <c:strRef>
              <c:f>'Mt Evans Summary'!$L$38</c:f>
              <c:strCache>
                <c:ptCount val="1"/>
                <c:pt idx="0">
                  <c:v>Site 63 - Bottom Plume Adjusted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Summary'!$M$38:$P$38</c:f>
              <c:numCache>
                <c:formatCode>#,##0.0</c:formatCode>
                <c:ptCount val="4"/>
                <c:pt idx="0">
                  <c:v>18.369810017999999</c:v>
                </c:pt>
                <c:pt idx="1">
                  <c:v>11.766916259784001</c:v>
                </c:pt>
                <c:pt idx="2">
                  <c:v>11.072913260850003</c:v>
                </c:pt>
                <c:pt idx="3">
                  <c:v>4.3951471376400013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C-4E7A-91D3-3D60BAFF862F}"/>
            </c:ext>
          </c:extLst>
        </c:ser>
        <c:ser>
          <c:idx val="2"/>
          <c:order val="2"/>
          <c:tx>
            <c:strRef>
              <c:f>'Mt Evans Summary'!$L$39</c:f>
              <c:strCache>
                <c:ptCount val="1"/>
                <c:pt idx="0">
                  <c:v>site 65 - Between Pond #1 and #2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Summary'!$M$39:$P$39</c:f>
              <c:numCache>
                <c:formatCode>#,##0.0</c:formatCode>
                <c:ptCount val="4"/>
                <c:pt idx="0">
                  <c:v>238.36529406690005</c:v>
                </c:pt>
                <c:pt idx="1">
                  <c:v>175.92122328984001</c:v>
                </c:pt>
                <c:pt idx="2">
                  <c:v>92.835036953400007</c:v>
                </c:pt>
                <c:pt idx="3">
                  <c:v>42.48059064480001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C-4E7A-91D3-3D60BAFF862F}"/>
            </c:ext>
          </c:extLst>
        </c:ser>
        <c:ser>
          <c:idx val="3"/>
          <c:order val="3"/>
          <c:tx>
            <c:strRef>
              <c:f>'Mt Evans Summary'!$L$37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'Mt Evans Summary'!$M$37:$P$37</c:f>
              <c:numCache>
                <c:formatCode>#,##0.0</c:formatCode>
                <c:ptCount val="4"/>
                <c:pt idx="0">
                  <c:v>245.56256619300004</c:v>
                </c:pt>
                <c:pt idx="1">
                  <c:v>311.94145891545003</c:v>
                </c:pt>
                <c:pt idx="2">
                  <c:v>105.98862008322001</c:v>
                </c:pt>
                <c:pt idx="3">
                  <c:v>39.548548657800005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2C-4E7A-91D3-3D60BAFF8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181472"/>
        <c:axId val="403161136"/>
      </c:barChart>
      <c:catAx>
        <c:axId val="4031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61136"/>
        <c:crosses val="autoZero"/>
        <c:auto val="1"/>
        <c:lblAlgn val="ctr"/>
        <c:lblOffset val="100"/>
        <c:noMultiLvlLbl val="0"/>
      </c:catAx>
      <c:valAx>
        <c:axId val="40316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8147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2237276206396"/>
          <c:y val="0.85641803220543378"/>
          <c:w val="0.76493057082948424"/>
          <c:h val="0.12105944527204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Nitrate-Nitrogen as N, Dissolved Pounds/Month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Summary'!$L$41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Summary'!$M$24:$P$24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</c:strCache>
            </c:strRef>
          </c:cat>
          <c:val>
            <c:numRef>
              <c:f>'Mt Evans Summary'!$M$41:$P$41</c:f>
              <c:numCache>
                <c:formatCode>#,##0.0</c:formatCode>
                <c:ptCount val="4"/>
                <c:pt idx="0">
                  <c:v>53.913934481400013</c:v>
                </c:pt>
                <c:pt idx="1">
                  <c:v>75.751113636660008</c:v>
                </c:pt>
                <c:pt idx="2">
                  <c:v>52.626049887809998</c:v>
                </c:pt>
                <c:pt idx="3">
                  <c:v>23.145312657600002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D-4EB2-858C-331F8E84A694}"/>
            </c:ext>
          </c:extLst>
        </c:ser>
        <c:ser>
          <c:idx val="1"/>
          <c:order val="1"/>
          <c:tx>
            <c:strRef>
              <c:f>'Mt Evans Summary'!$L$43</c:f>
              <c:strCache>
                <c:ptCount val="1"/>
                <c:pt idx="0">
                  <c:v>Site 63 - Bottom Plume Adjusted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Summary'!$M$43:$P$43</c:f>
              <c:numCache>
                <c:formatCode>#,##0.00</c:formatCode>
                <c:ptCount val="4"/>
                <c:pt idx="0">
                  <c:v>5.102725005E-2</c:v>
                </c:pt>
                <c:pt idx="1">
                  <c:v>5.8252060692E-2</c:v>
                </c:pt>
                <c:pt idx="2" formatCode="#,##0.0">
                  <c:v>0.17576052795000005</c:v>
                </c:pt>
                <c:pt idx="3" formatCode="#,##0.0">
                  <c:v>7.3868019120000017E-2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BD-4EB2-858C-331F8E84A694}"/>
            </c:ext>
          </c:extLst>
        </c:ser>
        <c:ser>
          <c:idx val="2"/>
          <c:order val="2"/>
          <c:tx>
            <c:strRef>
              <c:f>'Mt Evans Summary'!$L$44</c:f>
              <c:strCache>
                <c:ptCount val="1"/>
                <c:pt idx="0">
                  <c:v>site 65 - Between Pond #1 and #2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Summary'!$M$44:$P$44</c:f>
              <c:numCache>
                <c:formatCode>#,##0.0</c:formatCode>
                <c:ptCount val="4"/>
                <c:pt idx="0">
                  <c:v>20.848276449000004</c:v>
                </c:pt>
                <c:pt idx="1">
                  <c:v>69.319952223480016</c:v>
                </c:pt>
                <c:pt idx="2">
                  <c:v>45.316085834880006</c:v>
                </c:pt>
                <c:pt idx="3">
                  <c:v>22.095609228000004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BD-4EB2-858C-331F8E84A694}"/>
            </c:ext>
          </c:extLst>
        </c:ser>
        <c:ser>
          <c:idx val="3"/>
          <c:order val="3"/>
          <c:tx>
            <c:strRef>
              <c:f>'Mt Evans Summary'!$L$42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'Mt Evans Summary'!$M$42:$P$42</c:f>
              <c:numCache>
                <c:formatCode>#,##0.0</c:formatCode>
                <c:ptCount val="4"/>
                <c:pt idx="0">
                  <c:v>97.170463309500022</c:v>
                </c:pt>
                <c:pt idx="1">
                  <c:v>132.95865461970001</c:v>
                </c:pt>
                <c:pt idx="2">
                  <c:v>57.895517906730007</c:v>
                </c:pt>
                <c:pt idx="3">
                  <c:v>22.996280689200006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BD-4EB2-858C-331F8E84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300352"/>
        <c:axId val="403299696"/>
      </c:barChart>
      <c:catAx>
        <c:axId val="4033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99696"/>
        <c:crosses val="autoZero"/>
        <c:auto val="1"/>
        <c:lblAlgn val="ctr"/>
        <c:lblOffset val="100"/>
        <c:noMultiLvlLbl val="0"/>
      </c:catAx>
      <c:valAx>
        <c:axId val="4032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0035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64132004075623"/>
          <c:y val="0.84470062435861781"/>
          <c:w val="0.76043478104331597"/>
          <c:h val="0.130938839709591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Ammonia-Nitrogen Pounds/Month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Summary'!$L$46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Summary'!$M$24:$P$24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</c:strCache>
            </c:strRef>
          </c:cat>
          <c:val>
            <c:numRef>
              <c:f>'Mt Evans Summary'!$M$46:$P$46</c:f>
              <c:numCache>
                <c:formatCode>#,##0.0</c:formatCode>
                <c:ptCount val="4"/>
                <c:pt idx="0">
                  <c:v>18.389248970400004</c:v>
                </c:pt>
                <c:pt idx="1">
                  <c:v>24.415648196940005</c:v>
                </c:pt>
                <c:pt idx="2">
                  <c:v>7.0638993137999995</c:v>
                </c:pt>
                <c:pt idx="3">
                  <c:v>3.045435876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0-437D-B6C0-DA227DE71DF4}"/>
            </c:ext>
          </c:extLst>
        </c:ser>
        <c:ser>
          <c:idx val="1"/>
          <c:order val="1"/>
          <c:tx>
            <c:strRef>
              <c:f>'Mt Evans Summary'!$L$48</c:f>
              <c:strCache>
                <c:ptCount val="1"/>
                <c:pt idx="0">
                  <c:v>Site 63 - Bottom Plume Adjusted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Summary'!$M$48:$P$48</c:f>
              <c:numCache>
                <c:formatCode>#,##0.00</c:formatCode>
                <c:ptCount val="4"/>
                <c:pt idx="0" formatCode="#,##0.0">
                  <c:v>0.76540875075000003</c:v>
                </c:pt>
                <c:pt idx="1">
                  <c:v>5.8252060692E-2</c:v>
                </c:pt>
                <c:pt idx="2" formatCode="#,##0.0">
                  <c:v>0.17576052795000005</c:v>
                </c:pt>
                <c:pt idx="3" formatCode="#,##0.0">
                  <c:v>7.3868019120000017E-2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B0-437D-B6C0-DA227DE71DF4}"/>
            </c:ext>
          </c:extLst>
        </c:ser>
        <c:ser>
          <c:idx val="2"/>
          <c:order val="2"/>
          <c:tx>
            <c:strRef>
              <c:f>'Mt Evans Summary'!$L$49</c:f>
              <c:strCache>
                <c:ptCount val="1"/>
                <c:pt idx="0">
                  <c:v>site 65 - Between Pond #1 and #2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Summary'!$M$49:$P$49</c:f>
              <c:numCache>
                <c:formatCode>#,##0.0</c:formatCode>
                <c:ptCount val="4"/>
                <c:pt idx="0">
                  <c:v>31.967357221800007</c:v>
                </c:pt>
                <c:pt idx="1">
                  <c:v>16.893097600680001</c:v>
                </c:pt>
                <c:pt idx="2">
                  <c:v>9.1261561750800002</c:v>
                </c:pt>
                <c:pt idx="3">
                  <c:v>1.1404185408000003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B0-437D-B6C0-DA227DE71DF4}"/>
            </c:ext>
          </c:extLst>
        </c:ser>
        <c:ser>
          <c:idx val="3"/>
          <c:order val="3"/>
          <c:tx>
            <c:strRef>
              <c:f>'Mt Evans Summary'!$L$47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'Mt Evans Summary'!$M$47:$P$47</c:f>
              <c:numCache>
                <c:formatCode>#,##0.0</c:formatCode>
                <c:ptCount val="4"/>
                <c:pt idx="0">
                  <c:v>33.143413842000008</c:v>
                </c:pt>
                <c:pt idx="1">
                  <c:v>42.955873030980008</c:v>
                </c:pt>
                <c:pt idx="2">
                  <c:v>4.9012078651200008</c:v>
                </c:pt>
                <c:pt idx="3">
                  <c:v>0.63176595300000016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B0-437D-B6C0-DA227DE7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912616"/>
        <c:axId val="351913272"/>
      </c:barChart>
      <c:catAx>
        <c:axId val="35191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913272"/>
        <c:crosses val="autoZero"/>
        <c:auto val="1"/>
        <c:lblAlgn val="ctr"/>
        <c:lblOffset val="100"/>
        <c:noMultiLvlLbl val="0"/>
      </c:catAx>
      <c:valAx>
        <c:axId val="35191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9126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24260303116709"/>
          <c:y val="0.8562561585100622"/>
          <c:w val="0.81386762587824135"/>
          <c:h val="0.12119592717201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Estimated Flow Ac-ft/Month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Summary'!$L$25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Summary'!$M$24:$P$24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</c:strCache>
            </c:strRef>
          </c:cat>
          <c:val>
            <c:numRef>
              <c:f>'Mt Evans Summary'!$M$25:$P$25</c:f>
              <c:numCache>
                <c:formatCode>#,##0</c:formatCode>
                <c:ptCount val="4"/>
                <c:pt idx="0">
                  <c:v>153.48420000000002</c:v>
                </c:pt>
                <c:pt idx="1">
                  <c:v>229.90902000000003</c:v>
                </c:pt>
                <c:pt idx="2">
                  <c:v>129.70802999999998</c:v>
                </c:pt>
                <c:pt idx="3">
                  <c:v>55.9206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A-4F30-96FB-52A06D744C99}"/>
            </c:ext>
          </c:extLst>
        </c:ser>
        <c:ser>
          <c:idx val="1"/>
          <c:order val="1"/>
          <c:tx>
            <c:strRef>
              <c:f>'Mt Evans Summary'!$L$28</c:f>
              <c:strCache>
                <c:ptCount val="1"/>
                <c:pt idx="0">
                  <c:v>Site 63 - Bottom Plume Adjusted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Summary'!$M$28:$P$28</c:f>
              <c:numCache>
                <c:formatCode>#,##0</c:formatCode>
                <c:ptCount val="4"/>
                <c:pt idx="0">
                  <c:v>9.3696749999999991</c:v>
                </c:pt>
                <c:pt idx="1">
                  <c:v>10.696301999999999</c:v>
                </c:pt>
                <c:pt idx="2">
                  <c:v>32.273325000000007</c:v>
                </c:pt>
                <c:pt idx="3">
                  <c:v>13.563720000000002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A-4F30-96FB-52A06D744C99}"/>
            </c:ext>
          </c:extLst>
        </c:ser>
        <c:ser>
          <c:idx val="2"/>
          <c:order val="2"/>
          <c:tx>
            <c:strRef>
              <c:f>'Mt Evans Summary'!$L$29</c:f>
              <c:strCache>
                <c:ptCount val="1"/>
                <c:pt idx="0">
                  <c:v>Site 65 - Between Pond #1 and #2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Summary'!$M$29:$P$29</c:f>
              <c:numCache>
                <c:formatCode>#,##0</c:formatCode>
                <c:ptCount val="4"/>
                <c:pt idx="0">
                  <c:v>255.21210000000002</c:v>
                </c:pt>
                <c:pt idx="1">
                  <c:v>213.92604000000003</c:v>
                </c:pt>
                <c:pt idx="2">
                  <c:v>115.56924000000001</c:v>
                </c:pt>
                <c:pt idx="3">
                  <c:v>52.351200000000006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A-4F30-96FB-52A06D744C99}"/>
            </c:ext>
          </c:extLst>
        </c:ser>
        <c:ser>
          <c:idx val="3"/>
          <c:order val="3"/>
          <c:tx>
            <c:strRef>
              <c:f>'Mt Evans Summary'!$L$26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'Mt Evans Summary'!$M$26:$P$26</c:f>
              <c:numCache>
                <c:formatCode>#,##0</c:formatCode>
                <c:ptCount val="4"/>
                <c:pt idx="0">
                  <c:v>276.62850000000003</c:v>
                </c:pt>
                <c:pt idx="1">
                  <c:v>375.60003000000006</c:v>
                </c:pt>
                <c:pt idx="2">
                  <c:v>112.49559000000001</c:v>
                </c:pt>
                <c:pt idx="3">
                  <c:v>46.402200000000008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A-4F30-96FB-52A06D74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566184"/>
        <c:axId val="365573072"/>
      </c:barChart>
      <c:catAx>
        <c:axId val="36556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73072"/>
        <c:crosses val="autoZero"/>
        <c:auto val="1"/>
        <c:lblAlgn val="ctr"/>
        <c:lblOffset val="100"/>
        <c:noMultiLvlLbl val="0"/>
      </c:catAx>
      <c:valAx>
        <c:axId val="36557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6618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ug/l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'Mt Evans Summary'!$J$51:$K$51</c:f>
              <c:strCache>
                <c:ptCount val="1"/>
                <c:pt idx="0">
                  <c:v>9/17/2014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Summary'!$J$54:$J$56</c:f>
              <c:numCache>
                <c:formatCode>#,##0</c:formatCode>
                <c:ptCount val="3"/>
                <c:pt idx="0">
                  <c:v>529</c:v>
                </c:pt>
                <c:pt idx="1">
                  <c:v>225</c:v>
                </c:pt>
                <c:pt idx="2">
                  <c:v>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2-45E0-95AD-7C91326B0737}"/>
            </c:ext>
          </c:extLst>
        </c:ser>
        <c:ser>
          <c:idx val="0"/>
          <c:order val="1"/>
          <c:tx>
            <c:strRef>
              <c:f>'Mt Evans Summary'!$N$51:$O$51</c:f>
              <c:strCache>
                <c:ptCount val="1"/>
                <c:pt idx="0">
                  <c:v>7/16/2015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Summary'!$I$53:$I$58</c:f>
              <c:strCache>
                <c:ptCount val="6"/>
                <c:pt idx="0">
                  <c:v>Site 61 Fen #6 DEH-11</c:v>
                </c:pt>
                <c:pt idx="1">
                  <c:v>Site 74 Fen #1</c:v>
                </c:pt>
                <c:pt idx="2">
                  <c:v>Site 75 Fen #2</c:v>
                </c:pt>
                <c:pt idx="3">
                  <c:v>Site 76 Fen #3 @ site 37</c:v>
                </c:pt>
                <c:pt idx="4">
                  <c:v>Site 81 Fen #4 Parking Lot</c:v>
                </c:pt>
                <c:pt idx="5">
                  <c:v>Site 82 Fen #5 DEH-10</c:v>
                </c:pt>
              </c:strCache>
            </c:strRef>
          </c:cat>
          <c:val>
            <c:numRef>
              <c:f>'Mt Evans Summary'!$N$53:$N$58</c:f>
              <c:numCache>
                <c:formatCode>General</c:formatCode>
                <c:ptCount val="6"/>
                <c:pt idx="0">
                  <c:v>185</c:v>
                </c:pt>
                <c:pt idx="1">
                  <c:v>444</c:v>
                </c:pt>
                <c:pt idx="2">
                  <c:v>404</c:v>
                </c:pt>
                <c:pt idx="3">
                  <c:v>282</c:v>
                </c:pt>
                <c:pt idx="4">
                  <c:v>212</c:v>
                </c:pt>
                <c:pt idx="5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2-408C-81A2-968E64C9065F}"/>
            </c:ext>
          </c:extLst>
        </c:ser>
        <c:ser>
          <c:idx val="1"/>
          <c:order val="2"/>
          <c:tx>
            <c:strRef>
              <c:f>'Mt Evans Summary'!$L$51:$M$51</c:f>
              <c:strCache>
                <c:ptCount val="1"/>
                <c:pt idx="0">
                  <c:v>6/18/2015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Summary'!$L$53:$L$56</c:f>
              <c:numCache>
                <c:formatCode>0</c:formatCode>
                <c:ptCount val="4"/>
                <c:pt idx="1">
                  <c:v>807</c:v>
                </c:pt>
                <c:pt idx="2">
                  <c:v>596</c:v>
                </c:pt>
                <c:pt idx="3">
                  <c:v>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2-408C-81A2-968E64C90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102272"/>
        <c:axId val="216107520"/>
      </c:barChart>
      <c:catAx>
        <c:axId val="2161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107520"/>
        <c:crosses val="autoZero"/>
        <c:auto val="1"/>
        <c:lblAlgn val="ctr"/>
        <c:lblOffset val="100"/>
        <c:noMultiLvlLbl val="0"/>
      </c:catAx>
      <c:valAx>
        <c:axId val="2161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10227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ug/l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Summary'!$N$51:$O$51</c:f>
              <c:strCache>
                <c:ptCount val="1"/>
                <c:pt idx="0">
                  <c:v>7/16/2015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Summary'!$I$53:$I$58</c:f>
              <c:strCache>
                <c:ptCount val="6"/>
                <c:pt idx="0">
                  <c:v>Site 61 Fen #6 DEH-11</c:v>
                </c:pt>
                <c:pt idx="1">
                  <c:v>Site 74 Fen #1</c:v>
                </c:pt>
                <c:pt idx="2">
                  <c:v>Site 75 Fen #2</c:v>
                </c:pt>
                <c:pt idx="3">
                  <c:v>Site 76 Fen #3 @ site 37</c:v>
                </c:pt>
                <c:pt idx="4">
                  <c:v>Site 81 Fen #4 Parking Lot</c:v>
                </c:pt>
                <c:pt idx="5">
                  <c:v>Site 82 Fen #5 DEH-10</c:v>
                </c:pt>
              </c:strCache>
            </c:strRef>
          </c:cat>
          <c:val>
            <c:numRef>
              <c:f>'Mt Evans Summary'!$O$53:$O$58</c:f>
              <c:numCache>
                <c:formatCode>#,##0</c:formatCode>
                <c:ptCount val="6"/>
                <c:pt idx="0">
                  <c:v>31</c:v>
                </c:pt>
                <c:pt idx="1">
                  <c:v>11</c:v>
                </c:pt>
                <c:pt idx="2">
                  <c:v>17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2-4A70-9D5D-BC8284644A94}"/>
            </c:ext>
          </c:extLst>
        </c:ser>
        <c:ser>
          <c:idx val="2"/>
          <c:order val="1"/>
          <c:tx>
            <c:strRef>
              <c:f>'Mt Evans Summary'!$J$51:$K$51</c:f>
              <c:strCache>
                <c:ptCount val="1"/>
                <c:pt idx="0">
                  <c:v>9/17/2014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Summary'!$K$54:$K$56</c:f>
              <c:numCache>
                <c:formatCode>#,##0</c:formatCode>
                <c:ptCount val="3"/>
                <c:pt idx="0">
                  <c:v>165</c:v>
                </c:pt>
                <c:pt idx="1">
                  <c:v>45</c:v>
                </c:pt>
                <c:pt idx="2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5-428C-99DA-433C186E3CF7}"/>
            </c:ext>
          </c:extLst>
        </c:ser>
        <c:ser>
          <c:idx val="1"/>
          <c:order val="2"/>
          <c:tx>
            <c:strRef>
              <c:f>'Mt Evans Summary'!$L$51:$M$51</c:f>
              <c:strCache>
                <c:ptCount val="1"/>
                <c:pt idx="0">
                  <c:v>6/18/2015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Summary'!$M$54:$M$56</c:f>
              <c:numCache>
                <c:formatCode>General</c:formatCode>
                <c:ptCount val="3"/>
                <c:pt idx="0">
                  <c:v>112</c:v>
                </c:pt>
                <c:pt idx="1">
                  <c:v>35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2-4A70-9D5D-BC828464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585208"/>
        <c:axId val="365589144"/>
      </c:barChart>
      <c:catAx>
        <c:axId val="36558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89144"/>
        <c:crosses val="autoZero"/>
        <c:auto val="1"/>
        <c:lblAlgn val="ctr"/>
        <c:lblOffset val="100"/>
        <c:noMultiLvlLbl val="0"/>
      </c:catAx>
      <c:valAx>
        <c:axId val="365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8520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Bear Creek Reservoir - Nitrate Trend</a:t>
            </a:r>
          </a:p>
        </c:rich>
      </c:tx>
      <c:layout>
        <c:manualLayout>
          <c:xMode val="edge"/>
          <c:yMode val="edge"/>
          <c:x val="0.28640000000000032"/>
          <c:y val="3.313253012048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2547235943372"/>
          <c:y val="0.11286681715575585"/>
          <c:w val="0.85395559250754671"/>
          <c:h val="0.685408936885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Trends'!$A$78</c:f>
              <c:strCache>
                <c:ptCount val="1"/>
                <c:pt idx="0">
                  <c:v>Reservoir 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'Nitrogen Trends'!$B$79:$B$103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Trends'!$C$79:$C$103</c:f>
              <c:numCache>
                <c:formatCode>0</c:formatCode>
                <c:ptCount val="25"/>
                <c:pt idx="0">
                  <c:v>388</c:v>
                </c:pt>
                <c:pt idx="1">
                  <c:v>266</c:v>
                </c:pt>
                <c:pt idx="2">
                  <c:v>429</c:v>
                </c:pt>
                <c:pt idx="3">
                  <c:v>348.66666666666669</c:v>
                </c:pt>
                <c:pt idx="4">
                  <c:v>493</c:v>
                </c:pt>
                <c:pt idx="5">
                  <c:v>575.97916666666663</c:v>
                </c:pt>
                <c:pt idx="6">
                  <c:v>366.34357142857152</c:v>
                </c:pt>
                <c:pt idx="7">
                  <c:v>367.33333333333331</c:v>
                </c:pt>
                <c:pt idx="8">
                  <c:v>225</c:v>
                </c:pt>
                <c:pt idx="9">
                  <c:v>452.33333333333331</c:v>
                </c:pt>
                <c:pt idx="10">
                  <c:v>395.33333333333331</c:v>
                </c:pt>
                <c:pt idx="11">
                  <c:v>281.66666666666669</c:v>
                </c:pt>
                <c:pt idx="12" formatCode="#,##0">
                  <c:v>268</c:v>
                </c:pt>
                <c:pt idx="13" formatCode="#,##0">
                  <c:v>247</c:v>
                </c:pt>
                <c:pt idx="14" formatCode="#,##0">
                  <c:v>207</c:v>
                </c:pt>
                <c:pt idx="15" formatCode="#,##0">
                  <c:v>153</c:v>
                </c:pt>
                <c:pt idx="16" formatCode="#,##0">
                  <c:v>229</c:v>
                </c:pt>
                <c:pt idx="17" formatCode="#,##0">
                  <c:v>232</c:v>
                </c:pt>
                <c:pt idx="18" formatCode="#,##0">
                  <c:v>267</c:v>
                </c:pt>
                <c:pt idx="19" formatCode="#,##0">
                  <c:v>254</c:v>
                </c:pt>
                <c:pt idx="20" formatCode="#,##0">
                  <c:v>172</c:v>
                </c:pt>
                <c:pt idx="21" formatCode="#,##0">
                  <c:v>133.5</c:v>
                </c:pt>
                <c:pt idx="22" formatCode="#,##0">
                  <c:v>153</c:v>
                </c:pt>
                <c:pt idx="23" formatCode="#,##0">
                  <c:v>291</c:v>
                </c:pt>
                <c:pt idx="24" formatCode="#,##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DF6-8CB2-BE02A875A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7444480"/>
        <c:axId val="107454464"/>
      </c:barChart>
      <c:catAx>
        <c:axId val="107444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5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54464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5633263233400172E-2"/>
              <c:y val="0.37204561498778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444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Nutrient Loading from the Plume Discharge Area Pounds/Month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Summary'!$L$30:$Q$30</c:f>
              <c:strCache>
                <c:ptCount val="6"/>
                <c:pt idx="0">
                  <c:v>Total Phosphorus, Pounds/month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'Mt Evans Summary'!$M$24:$P$24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</c:strCache>
            </c:strRef>
          </c:cat>
          <c:val>
            <c:numRef>
              <c:f>'Mt Evans Summary'!$M$33:$P$33</c:f>
              <c:numCache>
                <c:formatCode>#,##0.00</c:formatCode>
                <c:ptCount val="4"/>
                <c:pt idx="0">
                  <c:v>1.811467376775</c:v>
                </c:pt>
                <c:pt idx="1">
                  <c:v>9.2620776500280009</c:v>
                </c:pt>
                <c:pt idx="2">
                  <c:v>35.67938717385001</c:v>
                </c:pt>
                <c:pt idx="3">
                  <c:v>4.2843451089600011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5-4E17-8770-CB1718545F84}"/>
            </c:ext>
          </c:extLst>
        </c:ser>
        <c:ser>
          <c:idx val="1"/>
          <c:order val="1"/>
          <c:tx>
            <c:strRef>
              <c:f>'Mt Evans Summary'!$L$35:$Q$35</c:f>
              <c:strCache>
                <c:ptCount val="6"/>
                <c:pt idx="0">
                  <c:v>Total Nitrogen, Pounds/month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'Mt Evans Summary'!$M$38:$P$38</c:f>
              <c:numCache>
                <c:formatCode>#,##0.0</c:formatCode>
                <c:ptCount val="4"/>
                <c:pt idx="0">
                  <c:v>18.369810017999999</c:v>
                </c:pt>
                <c:pt idx="1">
                  <c:v>11.766916259784001</c:v>
                </c:pt>
                <c:pt idx="2">
                  <c:v>11.072913260850003</c:v>
                </c:pt>
                <c:pt idx="3">
                  <c:v>4.3951471376400013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5-4E17-8770-CB1718545F84}"/>
            </c:ext>
          </c:extLst>
        </c:ser>
        <c:ser>
          <c:idx val="2"/>
          <c:order val="2"/>
          <c:tx>
            <c:strRef>
              <c:f>'Mt Evans Summary'!$L$40:$Q$40</c:f>
              <c:strCache>
                <c:ptCount val="6"/>
                <c:pt idx="0">
                  <c:v>Nitrate/Nitrite as N, dissolved, Pounds/month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'Mt Evans Summary'!$M$43:$P$43</c:f>
              <c:numCache>
                <c:formatCode>#,##0.00</c:formatCode>
                <c:ptCount val="4"/>
                <c:pt idx="0">
                  <c:v>5.102725005E-2</c:v>
                </c:pt>
                <c:pt idx="1">
                  <c:v>5.8252060692E-2</c:v>
                </c:pt>
                <c:pt idx="2" formatCode="#,##0.0">
                  <c:v>0.17576052795000005</c:v>
                </c:pt>
                <c:pt idx="3" formatCode="#,##0.0">
                  <c:v>7.3868019120000017E-2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45-4E17-8770-CB1718545F84}"/>
            </c:ext>
          </c:extLst>
        </c:ser>
        <c:ser>
          <c:idx val="3"/>
          <c:order val="3"/>
          <c:tx>
            <c:strRef>
              <c:f>'Mt Evans Summary'!$L$45:$Q$45</c:f>
              <c:strCache>
                <c:ptCount val="6"/>
                <c:pt idx="0">
                  <c:v>Ammonia Nitrogen, Pounds/month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'Mt Evans Summary'!$M$48:$P$48</c:f>
              <c:numCache>
                <c:formatCode>#,##0.00</c:formatCode>
                <c:ptCount val="4"/>
                <c:pt idx="0" formatCode="#,##0.0">
                  <c:v>0.76540875075000003</c:v>
                </c:pt>
                <c:pt idx="1">
                  <c:v>5.8252060692E-2</c:v>
                </c:pt>
                <c:pt idx="2" formatCode="#,##0.0">
                  <c:v>0.17576052795000005</c:v>
                </c:pt>
                <c:pt idx="3" formatCode="#,##0.0">
                  <c:v>7.3868019120000017E-2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5-4E17-8770-CB1718545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525496"/>
        <c:axId val="369527792"/>
      </c:barChart>
      <c:catAx>
        <c:axId val="36952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527792"/>
        <c:crosses val="autoZero"/>
        <c:auto val="1"/>
        <c:lblAlgn val="ctr"/>
        <c:lblOffset val="100"/>
        <c:noMultiLvlLbl val="0"/>
      </c:catAx>
      <c:valAx>
        <c:axId val="36952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52549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12039624079251E-2"/>
          <c:y val="0.84821334833145856"/>
          <c:w val="0.87512860892388455"/>
          <c:h val="0.12797712785901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Stream Temperature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2015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2015 Field'!$D$20:$D$25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Field'!$G$20:$G$25</c:f>
              <c:numCache>
                <c:formatCode>0.00</c:formatCode>
                <c:ptCount val="6"/>
                <c:pt idx="0">
                  <c:v>5</c:v>
                </c:pt>
                <c:pt idx="1">
                  <c:v>7.8</c:v>
                </c:pt>
                <c:pt idx="2">
                  <c:v>11.8</c:v>
                </c:pt>
                <c:pt idx="3">
                  <c:v>14.2</c:v>
                </c:pt>
                <c:pt idx="4">
                  <c:v>13.4</c:v>
                </c:pt>
                <c:pt idx="5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C-4E71-9B02-03618E47FC08}"/>
            </c:ext>
          </c:extLst>
        </c:ser>
        <c:ser>
          <c:idx val="1"/>
          <c:order val="1"/>
          <c:tx>
            <c:strRef>
              <c:f>'MWS 2015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2015 Field'!$G$26:$G$31</c:f>
              <c:numCache>
                <c:formatCode>0.00</c:formatCode>
                <c:ptCount val="6"/>
                <c:pt idx="0">
                  <c:v>5.0999999999999996</c:v>
                </c:pt>
                <c:pt idx="1">
                  <c:v>8</c:v>
                </c:pt>
                <c:pt idx="2">
                  <c:v>12.1</c:v>
                </c:pt>
                <c:pt idx="3">
                  <c:v>14.7</c:v>
                </c:pt>
                <c:pt idx="4">
                  <c:v>13.8</c:v>
                </c:pt>
                <c:pt idx="5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C-4E71-9B02-03618E47FC08}"/>
            </c:ext>
          </c:extLst>
        </c:ser>
        <c:ser>
          <c:idx val="2"/>
          <c:order val="2"/>
          <c:tx>
            <c:strRef>
              <c:f>'MWS 2015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2015 Field'!$G$32:$G$37</c:f>
              <c:numCache>
                <c:formatCode>0.00</c:formatCode>
                <c:ptCount val="6"/>
                <c:pt idx="0">
                  <c:v>5.4</c:v>
                </c:pt>
                <c:pt idx="1">
                  <c:v>8.5</c:v>
                </c:pt>
                <c:pt idx="2">
                  <c:v>12.5</c:v>
                </c:pt>
                <c:pt idx="3">
                  <c:v>15</c:v>
                </c:pt>
                <c:pt idx="4">
                  <c:v>13.9</c:v>
                </c:pt>
                <c:pt idx="5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9C-4E71-9B02-03618E47FC08}"/>
            </c:ext>
          </c:extLst>
        </c:ser>
        <c:ser>
          <c:idx val="3"/>
          <c:order val="3"/>
          <c:tx>
            <c:strRef>
              <c:f>'MWS 2015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2015 Field'!$G$38:$G$43</c:f>
              <c:numCache>
                <c:formatCode>0.00</c:formatCode>
                <c:ptCount val="6"/>
                <c:pt idx="0">
                  <c:v>5.5</c:v>
                </c:pt>
                <c:pt idx="1">
                  <c:v>9.1</c:v>
                </c:pt>
                <c:pt idx="2">
                  <c:v>12.8</c:v>
                </c:pt>
                <c:pt idx="3">
                  <c:v>14.8</c:v>
                </c:pt>
                <c:pt idx="4">
                  <c:v>13.7</c:v>
                </c:pt>
                <c:pt idx="5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9C-4E71-9B02-03618E47FC08}"/>
            </c:ext>
          </c:extLst>
        </c:ser>
        <c:ser>
          <c:idx val="4"/>
          <c:order val="4"/>
          <c:tx>
            <c:strRef>
              <c:f>'MWS 2015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2015 Field'!$G$44:$G$49</c:f>
              <c:numCache>
                <c:formatCode>0.00</c:formatCode>
                <c:ptCount val="6"/>
                <c:pt idx="0">
                  <c:v>5.9</c:v>
                </c:pt>
                <c:pt idx="1">
                  <c:v>9.4</c:v>
                </c:pt>
                <c:pt idx="2">
                  <c:v>12.9</c:v>
                </c:pt>
                <c:pt idx="3">
                  <c:v>14.8</c:v>
                </c:pt>
                <c:pt idx="4">
                  <c:v>13.2</c:v>
                </c:pt>
                <c:pt idx="5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9C-4E71-9B02-03618E47FC08}"/>
            </c:ext>
          </c:extLst>
        </c:ser>
        <c:ser>
          <c:idx val="5"/>
          <c:order val="5"/>
          <c:tx>
            <c:strRef>
              <c:f>'MWS 2015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2015 Field'!$G$50:$G$55</c:f>
              <c:numCache>
                <c:formatCode>0.00</c:formatCode>
                <c:ptCount val="6"/>
                <c:pt idx="0">
                  <c:v>5.9</c:v>
                </c:pt>
                <c:pt idx="1">
                  <c:v>9.9</c:v>
                </c:pt>
                <c:pt idx="2">
                  <c:v>13.3</c:v>
                </c:pt>
                <c:pt idx="3">
                  <c:v>14.6</c:v>
                </c:pt>
                <c:pt idx="4">
                  <c:v>13.2</c:v>
                </c:pt>
                <c:pt idx="5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9C-4E71-9B02-03618E47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2016"/>
        <c:axId val="115783552"/>
      </c:lineChart>
      <c:dateAx>
        <c:axId val="115782016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none"/>
        <c:crossAx val="115783552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5783552"/>
        <c:scaling>
          <c:orientation val="minMax"/>
          <c:max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C</a:t>
                </a:r>
              </a:p>
            </c:rich>
          </c:tx>
          <c:layout>
            <c:manualLayout>
              <c:xMode val="edge"/>
              <c:yMode val="edge"/>
              <c:x val="9.6009256689364789E-2"/>
              <c:y val="0.1398945970107954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15782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pH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2015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2015 Field'!$D$20:$D$25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Field'!$F$20:$F$25</c:f>
              <c:numCache>
                <c:formatCode>0.00</c:formatCode>
                <c:ptCount val="6"/>
                <c:pt idx="0">
                  <c:v>7.74</c:v>
                </c:pt>
                <c:pt idx="1">
                  <c:v>8.01</c:v>
                </c:pt>
                <c:pt idx="2">
                  <c:v>8.24</c:v>
                </c:pt>
                <c:pt idx="3">
                  <c:v>8.14</c:v>
                </c:pt>
                <c:pt idx="4">
                  <c:v>8.2100000000000009</c:v>
                </c:pt>
                <c:pt idx="5">
                  <c:v>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8-415B-9980-983D3B190BF8}"/>
            </c:ext>
          </c:extLst>
        </c:ser>
        <c:ser>
          <c:idx val="1"/>
          <c:order val="1"/>
          <c:tx>
            <c:strRef>
              <c:f>'MWS 2015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2015 Field'!$F$26:$F$31</c:f>
              <c:numCache>
                <c:formatCode>0.00</c:formatCode>
                <c:ptCount val="6"/>
                <c:pt idx="0">
                  <c:v>7.74</c:v>
                </c:pt>
                <c:pt idx="1">
                  <c:v>8.06</c:v>
                </c:pt>
                <c:pt idx="2">
                  <c:v>8.1</c:v>
                </c:pt>
                <c:pt idx="3">
                  <c:v>8.01</c:v>
                </c:pt>
                <c:pt idx="4">
                  <c:v>8.15</c:v>
                </c:pt>
                <c:pt idx="5">
                  <c:v>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8-415B-9980-983D3B190BF8}"/>
            </c:ext>
          </c:extLst>
        </c:ser>
        <c:ser>
          <c:idx val="2"/>
          <c:order val="2"/>
          <c:tx>
            <c:strRef>
              <c:f>'MWS 2015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2015 Field'!$F$32:$F$37</c:f>
              <c:numCache>
                <c:formatCode>0.00</c:formatCode>
                <c:ptCount val="6"/>
                <c:pt idx="0">
                  <c:v>8.15</c:v>
                </c:pt>
                <c:pt idx="1">
                  <c:v>8.74</c:v>
                </c:pt>
                <c:pt idx="2">
                  <c:v>8.5500000000000007</c:v>
                </c:pt>
                <c:pt idx="3">
                  <c:v>8.24</c:v>
                </c:pt>
                <c:pt idx="4">
                  <c:v>8.32</c:v>
                </c:pt>
                <c:pt idx="5">
                  <c:v>8.2200000000000006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8-415B-9980-983D3B190BF8}"/>
            </c:ext>
          </c:extLst>
        </c:ser>
        <c:ser>
          <c:idx val="3"/>
          <c:order val="3"/>
          <c:tx>
            <c:strRef>
              <c:f>'MWS 2015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2015 Field'!$F$38:$F$43</c:f>
              <c:numCache>
                <c:formatCode>0.00</c:formatCode>
                <c:ptCount val="6"/>
                <c:pt idx="0">
                  <c:v>8.0299999999999994</c:v>
                </c:pt>
                <c:pt idx="1">
                  <c:v>8.3699999999999992</c:v>
                </c:pt>
                <c:pt idx="2">
                  <c:v>8.3699999999999992</c:v>
                </c:pt>
                <c:pt idx="3">
                  <c:v>7.98</c:v>
                </c:pt>
                <c:pt idx="4">
                  <c:v>8.25</c:v>
                </c:pt>
                <c:pt idx="5">
                  <c:v>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78-415B-9980-983D3B190BF8}"/>
            </c:ext>
          </c:extLst>
        </c:ser>
        <c:ser>
          <c:idx val="4"/>
          <c:order val="4"/>
          <c:tx>
            <c:strRef>
              <c:f>'MWS 2015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2015 Field'!$F$44:$F$49</c:f>
              <c:numCache>
                <c:formatCode>0.00</c:formatCode>
                <c:ptCount val="6"/>
                <c:pt idx="0">
                  <c:v>7.88</c:v>
                </c:pt>
                <c:pt idx="1">
                  <c:v>8.24</c:v>
                </c:pt>
                <c:pt idx="2">
                  <c:v>8.34</c:v>
                </c:pt>
                <c:pt idx="3">
                  <c:v>8.02</c:v>
                </c:pt>
                <c:pt idx="4">
                  <c:v>8.23</c:v>
                </c:pt>
                <c:pt idx="5">
                  <c:v>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78-415B-9980-983D3B190BF8}"/>
            </c:ext>
          </c:extLst>
        </c:ser>
        <c:ser>
          <c:idx val="5"/>
          <c:order val="5"/>
          <c:tx>
            <c:strRef>
              <c:f>'MWS 2015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2015 Field'!$F$50:$F$55</c:f>
              <c:numCache>
                <c:formatCode>0.00</c:formatCode>
                <c:ptCount val="6"/>
                <c:pt idx="0">
                  <c:v>7.88</c:v>
                </c:pt>
                <c:pt idx="1">
                  <c:v>8.18</c:v>
                </c:pt>
                <c:pt idx="2">
                  <c:v>8.2799999999999994</c:v>
                </c:pt>
                <c:pt idx="3">
                  <c:v>8.01</c:v>
                </c:pt>
                <c:pt idx="4">
                  <c:v>8.23</c:v>
                </c:pt>
                <c:pt idx="5">
                  <c:v>8.1199999999999992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78-415B-9980-983D3B19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6416"/>
        <c:axId val="116814592"/>
      </c:lineChart>
      <c:dateAx>
        <c:axId val="116796416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none"/>
        <c:crossAx val="116814592"/>
        <c:crosses val="autoZero"/>
        <c:auto val="1"/>
        <c:lblOffset val="100"/>
        <c:baseTimeUnit val="days"/>
        <c:majorUnit val="1"/>
      </c:dateAx>
      <c:valAx>
        <c:axId val="1168145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10933781554089055"/>
              <c:y val="0.29364534162862083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16796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Dissolved Oxygen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579155698321216"/>
          <c:y val="0.15672639134394659"/>
          <c:w val="0.73699565904781394"/>
          <c:h val="0.54183994857785633"/>
        </c:manualLayout>
      </c:layout>
      <c:lineChart>
        <c:grouping val="standard"/>
        <c:varyColors val="0"/>
        <c:ser>
          <c:idx val="0"/>
          <c:order val="0"/>
          <c:tx>
            <c:strRef>
              <c:f>'MWS 2015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2015 Field'!$D$20:$D$25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Field'!$H$20:$H$25</c:f>
              <c:numCache>
                <c:formatCode>0.00</c:formatCode>
                <c:ptCount val="6"/>
                <c:pt idx="0">
                  <c:v>11.62</c:v>
                </c:pt>
                <c:pt idx="1">
                  <c:v>12.23</c:v>
                </c:pt>
                <c:pt idx="2">
                  <c:v>11.22</c:v>
                </c:pt>
                <c:pt idx="3">
                  <c:v>10.98</c:v>
                </c:pt>
                <c:pt idx="4">
                  <c:v>9.4</c:v>
                </c:pt>
                <c:pt idx="5">
                  <c:v>15.32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D-41E9-B9ED-C252A2EB3389}"/>
            </c:ext>
          </c:extLst>
        </c:ser>
        <c:ser>
          <c:idx val="1"/>
          <c:order val="1"/>
          <c:tx>
            <c:strRef>
              <c:f>'MWS 2015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2015 Field'!$H$26:$H$31</c:f>
              <c:numCache>
                <c:formatCode>0.00</c:formatCode>
                <c:ptCount val="6"/>
                <c:pt idx="0">
                  <c:v>11.53</c:v>
                </c:pt>
                <c:pt idx="1">
                  <c:v>11.48</c:v>
                </c:pt>
                <c:pt idx="2">
                  <c:v>11.06</c:v>
                </c:pt>
                <c:pt idx="3">
                  <c:v>11.12</c:v>
                </c:pt>
                <c:pt idx="4">
                  <c:v>9.23</c:v>
                </c:pt>
                <c:pt idx="5">
                  <c:v>11.21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D-41E9-B9ED-C252A2EB3389}"/>
            </c:ext>
          </c:extLst>
        </c:ser>
        <c:ser>
          <c:idx val="2"/>
          <c:order val="2"/>
          <c:tx>
            <c:strRef>
              <c:f>'MWS 2015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2015 Field'!$H$32:$H$37</c:f>
              <c:numCache>
                <c:formatCode>0.00</c:formatCode>
                <c:ptCount val="6"/>
                <c:pt idx="0">
                  <c:v>11.39</c:v>
                </c:pt>
                <c:pt idx="1">
                  <c:v>12.34</c:v>
                </c:pt>
                <c:pt idx="2">
                  <c:v>11.53</c:v>
                </c:pt>
                <c:pt idx="3">
                  <c:v>10.84</c:v>
                </c:pt>
                <c:pt idx="4">
                  <c:v>9.41</c:v>
                </c:pt>
                <c:pt idx="5">
                  <c:v>14.36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AD-41E9-B9ED-C252A2EB3389}"/>
            </c:ext>
          </c:extLst>
        </c:ser>
        <c:ser>
          <c:idx val="3"/>
          <c:order val="3"/>
          <c:tx>
            <c:strRef>
              <c:f>'MWS 2015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2015 Field'!$H$38:$H$43</c:f>
              <c:numCache>
                <c:formatCode>0.00</c:formatCode>
                <c:ptCount val="6"/>
                <c:pt idx="0">
                  <c:v>11.46</c:v>
                </c:pt>
                <c:pt idx="1">
                  <c:v>12.89</c:v>
                </c:pt>
                <c:pt idx="2">
                  <c:v>10.74</c:v>
                </c:pt>
                <c:pt idx="3">
                  <c:v>11.34</c:v>
                </c:pt>
                <c:pt idx="4">
                  <c:v>8.24</c:v>
                </c:pt>
                <c:pt idx="5">
                  <c:v>14.46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AD-41E9-B9ED-C252A2EB3389}"/>
            </c:ext>
          </c:extLst>
        </c:ser>
        <c:ser>
          <c:idx val="4"/>
          <c:order val="4"/>
          <c:tx>
            <c:strRef>
              <c:f>'MWS 2015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2015 Field'!$H$44:$H$49</c:f>
              <c:numCache>
                <c:formatCode>0.00</c:formatCode>
                <c:ptCount val="6"/>
                <c:pt idx="0">
                  <c:v>11.78</c:v>
                </c:pt>
                <c:pt idx="1">
                  <c:v>11.69</c:v>
                </c:pt>
                <c:pt idx="2">
                  <c:v>10.17</c:v>
                </c:pt>
                <c:pt idx="3">
                  <c:v>10.93</c:v>
                </c:pt>
                <c:pt idx="4">
                  <c:v>9.4</c:v>
                </c:pt>
                <c:pt idx="5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AD-41E9-B9ED-C252A2EB3389}"/>
            </c:ext>
          </c:extLst>
        </c:ser>
        <c:ser>
          <c:idx val="5"/>
          <c:order val="5"/>
          <c:tx>
            <c:strRef>
              <c:f>'MWS 2015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2015 Field'!$H$50:$H$55</c:f>
              <c:numCache>
                <c:formatCode>0.00</c:formatCode>
                <c:ptCount val="6"/>
                <c:pt idx="0">
                  <c:v>11.78</c:v>
                </c:pt>
                <c:pt idx="1">
                  <c:v>11.76</c:v>
                </c:pt>
                <c:pt idx="2">
                  <c:v>9.6199999999999992</c:v>
                </c:pt>
                <c:pt idx="3">
                  <c:v>11.45</c:v>
                </c:pt>
                <c:pt idx="4">
                  <c:v>9.7200000000000006</c:v>
                </c:pt>
                <c:pt idx="5">
                  <c:v>14.64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AD-41E9-B9ED-C252A2EB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10400"/>
        <c:axId val="114711936"/>
      </c:lineChart>
      <c:dateAx>
        <c:axId val="114710400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one"/>
        <c:crossAx val="114711936"/>
        <c:crosses val="autoZero"/>
        <c:auto val="1"/>
        <c:lblOffset val="100"/>
        <c:baseTimeUnit val="days"/>
        <c:majorUnit val="1"/>
      </c:dateAx>
      <c:valAx>
        <c:axId val="114711936"/>
        <c:scaling>
          <c:orientation val="minMax"/>
          <c:min val="6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mg/l</a:t>
                </a:r>
              </a:p>
            </c:rich>
          </c:tx>
          <c:layout>
            <c:manualLayout>
              <c:xMode val="edge"/>
              <c:yMode val="edge"/>
              <c:x val="0.12567501227295017"/>
              <c:y val="0.2117963632924408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147104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Segment 1e Specific Conductance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2015 Field'!$C$20:$C$25</c:f>
              <c:strCache>
                <c:ptCount val="6"/>
                <c:pt idx="0">
                  <c:v>Little Bear Evergreen</c:v>
                </c:pt>
              </c:strCache>
            </c:strRef>
          </c:tx>
          <c:marker>
            <c:symbol val="none"/>
          </c:marker>
          <c:cat>
            <c:numRef>
              <c:f>'MWS 2015 Field'!$D$20:$D$25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Field'!$I$20:$I$25</c:f>
              <c:numCache>
                <c:formatCode>0</c:formatCode>
                <c:ptCount val="6"/>
                <c:pt idx="0">
                  <c:v>117</c:v>
                </c:pt>
                <c:pt idx="1">
                  <c:v>63</c:v>
                </c:pt>
                <c:pt idx="2">
                  <c:v>76</c:v>
                </c:pt>
                <c:pt idx="3">
                  <c:v>92</c:v>
                </c:pt>
                <c:pt idx="4">
                  <c:v>87</c:v>
                </c:pt>
                <c:pt idx="5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2-4559-B222-7954489A2383}"/>
            </c:ext>
          </c:extLst>
        </c:ser>
        <c:ser>
          <c:idx val="1"/>
          <c:order val="1"/>
          <c:tx>
            <c:strRef>
              <c:f>'MWS 2015 Field'!$C$26:$C$31</c:f>
              <c:strCache>
                <c:ptCount val="6"/>
                <c:pt idx="0">
                  <c:v>Bear Creek Cabins </c:v>
                </c:pt>
              </c:strCache>
            </c:strRef>
          </c:tx>
          <c:marker>
            <c:symbol val="none"/>
          </c:marker>
          <c:val>
            <c:numRef>
              <c:f>'MWS 2015 Field'!$I$26:$I$31</c:f>
              <c:numCache>
                <c:formatCode>0</c:formatCode>
                <c:ptCount val="6"/>
                <c:pt idx="0">
                  <c:v>158</c:v>
                </c:pt>
                <c:pt idx="1">
                  <c:v>69</c:v>
                </c:pt>
                <c:pt idx="2">
                  <c:v>83</c:v>
                </c:pt>
                <c:pt idx="3">
                  <c:v>105</c:v>
                </c:pt>
                <c:pt idx="4">
                  <c:v>112</c:v>
                </c:pt>
                <c:pt idx="5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2-4559-B222-7954489A2383}"/>
            </c:ext>
          </c:extLst>
        </c:ser>
        <c:ser>
          <c:idx val="2"/>
          <c:order val="2"/>
          <c:tx>
            <c:strRef>
              <c:f>'MWS 2015 Field'!$C$32:$C$37</c:f>
              <c:strCache>
                <c:ptCount val="6"/>
                <c:pt idx="0">
                  <c:v>O'Fallon Park</c:v>
                </c:pt>
              </c:strCache>
            </c:strRef>
          </c:tx>
          <c:marker>
            <c:symbol val="none"/>
          </c:marker>
          <c:val>
            <c:numRef>
              <c:f>'MWS 2015 Field'!$I$32:$I$37</c:f>
              <c:numCache>
                <c:formatCode>0</c:formatCode>
                <c:ptCount val="6"/>
                <c:pt idx="0">
                  <c:v>158</c:v>
                </c:pt>
                <c:pt idx="1">
                  <c:v>89</c:v>
                </c:pt>
                <c:pt idx="2">
                  <c:v>114</c:v>
                </c:pt>
                <c:pt idx="3">
                  <c:v>149</c:v>
                </c:pt>
                <c:pt idx="4">
                  <c:v>165</c:v>
                </c:pt>
                <c:pt idx="5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2-4559-B222-7954489A2383}"/>
            </c:ext>
          </c:extLst>
        </c:ser>
        <c:ser>
          <c:idx val="3"/>
          <c:order val="3"/>
          <c:tx>
            <c:strRef>
              <c:f>'MWS 2015 Field'!$C$38:$C$43</c:f>
              <c:strCache>
                <c:ptCount val="6"/>
                <c:pt idx="0">
                  <c:v>Lair o' the Bear </c:v>
                </c:pt>
              </c:strCache>
            </c:strRef>
          </c:tx>
          <c:marker>
            <c:symbol val="none"/>
          </c:marker>
          <c:val>
            <c:numRef>
              <c:f>'MWS 2015 Field'!$I$38:$I$43</c:f>
              <c:numCache>
                <c:formatCode>0</c:formatCode>
                <c:ptCount val="6"/>
                <c:pt idx="0">
                  <c:v>169</c:v>
                </c:pt>
                <c:pt idx="1">
                  <c:v>101</c:v>
                </c:pt>
                <c:pt idx="2">
                  <c:v>138</c:v>
                </c:pt>
                <c:pt idx="3">
                  <c:v>184</c:v>
                </c:pt>
                <c:pt idx="4">
                  <c:v>212</c:v>
                </c:pt>
                <c:pt idx="5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F2-4559-B222-7954489A2383}"/>
            </c:ext>
          </c:extLst>
        </c:ser>
        <c:ser>
          <c:idx val="4"/>
          <c:order val="4"/>
          <c:tx>
            <c:strRef>
              <c:f>'MWS 2015 Field'!$C$44:$C$49</c:f>
              <c:strCache>
                <c:ptCount val="6"/>
                <c:pt idx="0">
                  <c:v> Idledale, Shady Lane</c:v>
                </c:pt>
              </c:strCache>
            </c:strRef>
          </c:tx>
          <c:marker>
            <c:symbol val="none"/>
          </c:marker>
          <c:val>
            <c:numRef>
              <c:f>'MWS 2015 Field'!$I$44:$I$49</c:f>
              <c:numCache>
                <c:formatCode>0</c:formatCode>
                <c:ptCount val="6"/>
                <c:pt idx="0">
                  <c:v>173</c:v>
                </c:pt>
                <c:pt idx="1">
                  <c:v>108</c:v>
                </c:pt>
                <c:pt idx="2">
                  <c:v>141</c:v>
                </c:pt>
                <c:pt idx="3">
                  <c:v>183</c:v>
                </c:pt>
                <c:pt idx="4">
                  <c:v>220</c:v>
                </c:pt>
                <c:pt idx="5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F2-4559-B222-7954489A2383}"/>
            </c:ext>
          </c:extLst>
        </c:ser>
        <c:ser>
          <c:idx val="5"/>
          <c:order val="5"/>
          <c:tx>
            <c:strRef>
              <c:f>'MWS 2015 Field'!$C$50:$C$55</c:f>
              <c:strCache>
                <c:ptCount val="6"/>
                <c:pt idx="0">
                  <c:v>Morrison Park west</c:v>
                </c:pt>
              </c:strCache>
            </c:strRef>
          </c:tx>
          <c:marker>
            <c:symbol val="none"/>
          </c:marker>
          <c:val>
            <c:numRef>
              <c:f>'MWS 2015 Field'!$I$50:$I$55</c:f>
              <c:numCache>
                <c:formatCode>0</c:formatCode>
                <c:ptCount val="6"/>
                <c:pt idx="0">
                  <c:v>173</c:v>
                </c:pt>
                <c:pt idx="1">
                  <c:v>107</c:v>
                </c:pt>
                <c:pt idx="2">
                  <c:v>147</c:v>
                </c:pt>
                <c:pt idx="3">
                  <c:v>185</c:v>
                </c:pt>
                <c:pt idx="4">
                  <c:v>210</c:v>
                </c:pt>
                <c:pt idx="5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F2-4559-B222-7954489A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59648"/>
        <c:axId val="116861184"/>
      </c:lineChart>
      <c:dateAx>
        <c:axId val="116859648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none"/>
        <c:crossAx val="1168611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168611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Specific Conductance ms/cm</a:t>
                </a:r>
              </a:p>
            </c:rich>
          </c:tx>
          <c:layout>
            <c:manualLayout>
              <c:xMode val="edge"/>
              <c:yMode val="edge"/>
              <c:x val="0.10225410733661441"/>
              <c:y val="0.14673572867519821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16859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pH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Field'!$F$80:$F$85</c:f>
              <c:numCache>
                <c:formatCode>0.00</c:formatCode>
                <c:ptCount val="6"/>
                <c:pt idx="0">
                  <c:v>8.0500000000000007</c:v>
                </c:pt>
                <c:pt idx="1">
                  <c:v>8.27</c:v>
                </c:pt>
                <c:pt idx="2">
                  <c:v>8.5</c:v>
                </c:pt>
                <c:pt idx="3">
                  <c:v>8.51</c:v>
                </c:pt>
                <c:pt idx="4">
                  <c:v>8.4600000000000009</c:v>
                </c:pt>
                <c:pt idx="5">
                  <c:v>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5-4523-B95D-7DDFA258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1"/>
        <c:overlap val="-3"/>
        <c:axId val="415876184"/>
        <c:axId val="415877168"/>
      </c:barChart>
      <c:lineChart>
        <c:grouping val="standard"/>
        <c:varyColors val="0"/>
        <c:ser>
          <c:idx val="1"/>
          <c:order val="1"/>
          <c:tx>
            <c:strRef>
              <c:f>'MWS 2015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Field'!$F$86:$F$91</c:f>
              <c:numCache>
                <c:formatCode>0.00</c:formatCode>
                <c:ptCount val="6"/>
                <c:pt idx="0">
                  <c:v>7.8</c:v>
                </c:pt>
                <c:pt idx="1">
                  <c:v>7.87</c:v>
                </c:pt>
                <c:pt idx="2">
                  <c:v>8.0500000000000007</c:v>
                </c:pt>
                <c:pt idx="3">
                  <c:v>7.89</c:v>
                </c:pt>
                <c:pt idx="4">
                  <c:v>7.93</c:v>
                </c:pt>
                <c:pt idx="5">
                  <c:v>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5-4523-B95D-7DDFA258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95104"/>
        <c:axId val="116909184"/>
      </c:lineChart>
      <c:catAx>
        <c:axId val="11689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6909184"/>
        <c:crosses val="autoZero"/>
        <c:auto val="1"/>
        <c:lblAlgn val="ctr"/>
        <c:lblOffset val="100"/>
        <c:noMultiLvlLbl val="0"/>
      </c:catAx>
      <c:valAx>
        <c:axId val="116909184"/>
        <c:scaling>
          <c:orientation val="minMax"/>
          <c:max val="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6895104"/>
        <c:crosses val="autoZero"/>
        <c:crossBetween val="between"/>
      </c:valAx>
      <c:valAx>
        <c:axId val="415877168"/>
        <c:scaling>
          <c:orientation val="minMax"/>
          <c:max val="9"/>
          <c:min val="7"/>
        </c:scaling>
        <c:delete val="0"/>
        <c:axPos val="r"/>
        <c:numFmt formatCode="0.00" sourceLinked="1"/>
        <c:majorTickMark val="out"/>
        <c:minorTickMark val="none"/>
        <c:tickLblPos val="nextTo"/>
        <c:crossAx val="415876184"/>
        <c:crosses val="max"/>
        <c:crossBetween val="between"/>
      </c:valAx>
      <c:catAx>
        <c:axId val="415876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877168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Temperature 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2015 Field'!$D$80:$D$85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Field'!$G$80:$G$85</c:f>
              <c:numCache>
                <c:formatCode>0.00</c:formatCode>
                <c:ptCount val="6"/>
                <c:pt idx="0">
                  <c:v>7</c:v>
                </c:pt>
                <c:pt idx="1">
                  <c:v>13.3</c:v>
                </c:pt>
                <c:pt idx="2">
                  <c:v>14.1</c:v>
                </c:pt>
                <c:pt idx="3">
                  <c:v>13.4</c:v>
                </c:pt>
                <c:pt idx="4">
                  <c:v>10.6</c:v>
                </c:pt>
                <c:pt idx="5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1-4373-A9E9-5AAD8EB11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8"/>
        <c:overlap val="1"/>
        <c:axId val="316419048"/>
        <c:axId val="316423312"/>
      </c:barChart>
      <c:lineChart>
        <c:grouping val="standard"/>
        <c:varyColors val="0"/>
        <c:ser>
          <c:idx val="1"/>
          <c:order val="1"/>
          <c:tx>
            <c:strRef>
              <c:f>'MWS 2015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Field'!$G$86:$G$91</c:f>
              <c:numCache>
                <c:formatCode>0.00</c:formatCode>
                <c:ptCount val="6"/>
                <c:pt idx="0">
                  <c:v>7.8</c:v>
                </c:pt>
                <c:pt idx="1">
                  <c:v>12.6</c:v>
                </c:pt>
                <c:pt idx="2">
                  <c:v>13.6</c:v>
                </c:pt>
                <c:pt idx="3">
                  <c:v>13.7</c:v>
                </c:pt>
                <c:pt idx="4">
                  <c:v>11.7</c:v>
                </c:pt>
                <c:pt idx="5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1-4373-A9E9-5AAD8EB11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28288"/>
        <c:axId val="119229824"/>
      </c:lineChart>
      <c:catAx>
        <c:axId val="11922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229824"/>
        <c:crosses val="autoZero"/>
        <c:auto val="1"/>
        <c:lblAlgn val="ctr"/>
        <c:lblOffset val="100"/>
        <c:noMultiLvlLbl val="0"/>
      </c:catAx>
      <c:valAx>
        <c:axId val="1192298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9228288"/>
        <c:crosses val="autoZero"/>
        <c:crossBetween val="between"/>
      </c:valAx>
      <c:valAx>
        <c:axId val="3164233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316419048"/>
        <c:crosses val="max"/>
        <c:crossBetween val="between"/>
      </c:valAx>
      <c:dateAx>
        <c:axId val="316419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1642331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Dissolved Oxyen mg/l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2015 Field'!$D$80:$D$85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Field'!$H$80:$H$85</c:f>
              <c:numCache>
                <c:formatCode>0.00</c:formatCode>
                <c:ptCount val="6"/>
                <c:pt idx="0">
                  <c:v>10.39</c:v>
                </c:pt>
                <c:pt idx="1">
                  <c:v>6</c:v>
                </c:pt>
                <c:pt idx="2">
                  <c:v>6.14</c:v>
                </c:pt>
                <c:pt idx="3">
                  <c:v>8.3699999999999992</c:v>
                </c:pt>
                <c:pt idx="4">
                  <c:v>8.93</c:v>
                </c:pt>
                <c:pt idx="5">
                  <c:v>13.82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D-4387-BAC5-531CD1072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axId val="365693208"/>
        <c:axId val="365690912"/>
      </c:barChart>
      <c:lineChart>
        <c:grouping val="standard"/>
        <c:varyColors val="0"/>
        <c:ser>
          <c:idx val="1"/>
          <c:order val="1"/>
          <c:tx>
            <c:strRef>
              <c:f>'MWS 2015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Field'!$H$86:$H$91</c:f>
              <c:numCache>
                <c:formatCode>0.00</c:formatCode>
                <c:ptCount val="6"/>
                <c:pt idx="0">
                  <c:v>13</c:v>
                </c:pt>
                <c:pt idx="1">
                  <c:v>10.8</c:v>
                </c:pt>
                <c:pt idx="2">
                  <c:v>10.71</c:v>
                </c:pt>
                <c:pt idx="3">
                  <c:v>11.83</c:v>
                </c:pt>
                <c:pt idx="4">
                  <c:v>10.45</c:v>
                </c:pt>
                <c:pt idx="5">
                  <c:v>13.52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D-4387-BAC5-531CD1072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1808"/>
        <c:axId val="119273344"/>
      </c:lineChart>
      <c:catAx>
        <c:axId val="11927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273344"/>
        <c:crosses val="autoZero"/>
        <c:auto val="1"/>
        <c:lblAlgn val="ctr"/>
        <c:lblOffset val="100"/>
        <c:noMultiLvlLbl val="0"/>
      </c:catAx>
      <c:valAx>
        <c:axId val="11927334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9271808"/>
        <c:crosses val="autoZero"/>
        <c:crossBetween val="between"/>
      </c:valAx>
      <c:valAx>
        <c:axId val="3656909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365693208"/>
        <c:crosses val="max"/>
        <c:crossBetween val="between"/>
      </c:valAx>
      <c:dateAx>
        <c:axId val="365693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6569091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Specific Conductance ms/cm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2015 Field'!$D$80:$D$85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Field'!$I$80:$I$85</c:f>
              <c:numCache>
                <c:formatCode>0</c:formatCode>
                <c:ptCount val="6"/>
                <c:pt idx="0">
                  <c:v>508</c:v>
                </c:pt>
                <c:pt idx="1">
                  <c:v>517</c:v>
                </c:pt>
                <c:pt idx="2">
                  <c:v>568</c:v>
                </c:pt>
                <c:pt idx="3">
                  <c:v>710</c:v>
                </c:pt>
                <c:pt idx="4">
                  <c:v>761</c:v>
                </c:pt>
                <c:pt idx="5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D-4D48-9DE1-171C26A2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16742608"/>
        <c:axId val="316744904"/>
      </c:barChart>
      <c:lineChart>
        <c:grouping val="standard"/>
        <c:varyColors val="0"/>
        <c:ser>
          <c:idx val="1"/>
          <c:order val="1"/>
          <c:tx>
            <c:strRef>
              <c:f>'MWS 2015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Field'!$I$86:$I$91</c:f>
              <c:numCache>
                <c:formatCode>0</c:formatCode>
                <c:ptCount val="6"/>
                <c:pt idx="0">
                  <c:v>499</c:v>
                </c:pt>
                <c:pt idx="1">
                  <c:v>578</c:v>
                </c:pt>
                <c:pt idx="2">
                  <c:v>568</c:v>
                </c:pt>
                <c:pt idx="3">
                  <c:v>686</c:v>
                </c:pt>
                <c:pt idx="4">
                  <c:v>726</c:v>
                </c:pt>
                <c:pt idx="5">
                  <c:v>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D-4D48-9DE1-171C26A2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94592"/>
        <c:axId val="119300480"/>
      </c:lineChart>
      <c:catAx>
        <c:axId val="1192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300480"/>
        <c:crosses val="autoZero"/>
        <c:auto val="1"/>
        <c:lblAlgn val="ctr"/>
        <c:lblOffset val="100"/>
        <c:noMultiLvlLbl val="0"/>
      </c:catAx>
      <c:valAx>
        <c:axId val="119300480"/>
        <c:scaling>
          <c:orientation val="minMax"/>
          <c:max val="800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9294592"/>
        <c:crosses val="autoZero"/>
        <c:crossBetween val="between"/>
      </c:valAx>
      <c:valAx>
        <c:axId val="31674490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316742608"/>
        <c:crosses val="max"/>
        <c:crossBetween val="between"/>
      </c:valAx>
      <c:dateAx>
        <c:axId val="316742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1674490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Troublesome Gulch Flow cfs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Field'!$J$80:$J$85</c:f>
              <c:numCache>
                <c:formatCode>0.0</c:formatCode>
                <c:ptCount val="6"/>
                <c:pt idx="0">
                  <c:v>7.7</c:v>
                </c:pt>
                <c:pt idx="1">
                  <c:v>4.7</c:v>
                </c:pt>
                <c:pt idx="2">
                  <c:v>2.8</c:v>
                </c:pt>
                <c:pt idx="3">
                  <c:v>0.8</c:v>
                </c:pt>
                <c:pt idx="4">
                  <c:v>0.3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C-428C-952A-3444ED2E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4"/>
        <c:axId val="363999240"/>
        <c:axId val="364000224"/>
      </c:barChart>
      <c:lineChart>
        <c:grouping val="standard"/>
        <c:varyColors val="0"/>
        <c:ser>
          <c:idx val="1"/>
          <c:order val="1"/>
          <c:tx>
            <c:strRef>
              <c:f>'MWS 2015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Field'!$J$86:$J$91</c:f>
              <c:numCache>
                <c:formatCode>0.0</c:formatCode>
                <c:ptCount val="6"/>
                <c:pt idx="0">
                  <c:v>15.7</c:v>
                </c:pt>
                <c:pt idx="1">
                  <c:v>8.6</c:v>
                </c:pt>
                <c:pt idx="2">
                  <c:v>7.5</c:v>
                </c:pt>
                <c:pt idx="3">
                  <c:v>5.5</c:v>
                </c:pt>
                <c:pt idx="4">
                  <c:v>1.7</c:v>
                </c:pt>
                <c:pt idx="5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C-428C-952A-3444ED2E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6304"/>
        <c:axId val="119347840"/>
      </c:lineChart>
      <c:catAx>
        <c:axId val="1193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347840"/>
        <c:crosses val="autoZero"/>
        <c:auto val="1"/>
        <c:lblAlgn val="ctr"/>
        <c:lblOffset val="100"/>
        <c:noMultiLvlLbl val="0"/>
      </c:catAx>
      <c:valAx>
        <c:axId val="1193478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9346304"/>
        <c:crosses val="autoZero"/>
        <c:crossBetween val="between"/>
      </c:valAx>
      <c:valAx>
        <c:axId val="364000224"/>
        <c:scaling>
          <c:orientation val="minMax"/>
          <c:max val="20"/>
        </c:scaling>
        <c:delete val="0"/>
        <c:axPos val="r"/>
        <c:numFmt formatCode="0.0" sourceLinked="1"/>
        <c:majorTickMark val="out"/>
        <c:minorTickMark val="none"/>
        <c:tickLblPos val="nextTo"/>
        <c:crossAx val="363999240"/>
        <c:crosses val="max"/>
        <c:crossBetween val="between"/>
      </c:valAx>
      <c:catAx>
        <c:axId val="363999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0022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Watershed - Nitrate Inflow Trend </a:t>
            </a:r>
          </a:p>
        </c:rich>
      </c:tx>
      <c:layout>
        <c:manualLayout>
          <c:xMode val="edge"/>
          <c:yMode val="edge"/>
          <c:x val="0.23296354992076071"/>
          <c:y val="3.3846153846153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1379082581566"/>
          <c:y val="0.14247349229645068"/>
          <c:w val="0.8606500147746432"/>
          <c:h val="0.72580835698183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'Nitrogen Trends'!$A$3</c:f>
              <c:strCache>
                <c:ptCount val="1"/>
                <c:pt idx="0">
                  <c:v>Bear Creek Inflow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Trends'!$C$3:$C$28</c:f>
              <c:numCache>
                <c:formatCode>0</c:formatCode>
                <c:ptCount val="26"/>
                <c:pt idx="0">
                  <c:v>773</c:v>
                </c:pt>
                <c:pt idx="1">
                  <c:v>1078</c:v>
                </c:pt>
                <c:pt idx="2">
                  <c:v>931</c:v>
                </c:pt>
                <c:pt idx="3">
                  <c:v>1253</c:v>
                </c:pt>
                <c:pt idx="4">
                  <c:v>1472</c:v>
                </c:pt>
                <c:pt idx="5">
                  <c:v>1932</c:v>
                </c:pt>
                <c:pt idx="6">
                  <c:v>1367.4375</c:v>
                </c:pt>
                <c:pt idx="7">
                  <c:v>798.58375000000012</c:v>
                </c:pt>
                <c:pt idx="8">
                  <c:v>525</c:v>
                </c:pt>
                <c:pt idx="9">
                  <c:v>521</c:v>
                </c:pt>
                <c:pt idx="10">
                  <c:v>1483</c:v>
                </c:pt>
                <c:pt idx="11">
                  <c:v>974</c:v>
                </c:pt>
                <c:pt idx="12">
                  <c:v>4314</c:v>
                </c:pt>
                <c:pt idx="13" formatCode="#,##0">
                  <c:v>1757</c:v>
                </c:pt>
                <c:pt idx="14" formatCode="#,##0">
                  <c:v>444</c:v>
                </c:pt>
                <c:pt idx="15" formatCode="#,##0">
                  <c:v>1100</c:v>
                </c:pt>
                <c:pt idx="16" formatCode="#,##0">
                  <c:v>1570</c:v>
                </c:pt>
                <c:pt idx="17" formatCode="#,##0">
                  <c:v>747</c:v>
                </c:pt>
                <c:pt idx="18" formatCode="#,##0">
                  <c:v>1093</c:v>
                </c:pt>
                <c:pt idx="19" formatCode="#,##0">
                  <c:v>322</c:v>
                </c:pt>
                <c:pt idx="20" formatCode="#,##0">
                  <c:v>1296</c:v>
                </c:pt>
                <c:pt idx="21" formatCode="#,##0">
                  <c:v>760</c:v>
                </c:pt>
                <c:pt idx="22" formatCode="#,##0">
                  <c:v>1024</c:v>
                </c:pt>
                <c:pt idx="23" formatCode="#,##0">
                  <c:v>800</c:v>
                </c:pt>
                <c:pt idx="24" formatCode="#,##0">
                  <c:v>384</c:v>
                </c:pt>
                <c:pt idx="25" formatCode="#,##0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3-4C34-9D9B-D7BD0165C711}"/>
            </c:ext>
          </c:extLst>
        </c:ser>
        <c:ser>
          <c:idx val="1"/>
          <c:order val="1"/>
          <c:tx>
            <c:strRef>
              <c:f>'Nitrogen Trends'!$A$50</c:f>
              <c:strCache>
                <c:ptCount val="1"/>
                <c:pt idx="0">
                  <c:v>Turkey Creek Inflow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Trends'!$C$50:$C$75</c:f>
              <c:numCache>
                <c:formatCode>0</c:formatCode>
                <c:ptCount val="26"/>
                <c:pt idx="0">
                  <c:v>1121</c:v>
                </c:pt>
                <c:pt idx="1">
                  <c:v>1590</c:v>
                </c:pt>
                <c:pt idx="2">
                  <c:v>2941</c:v>
                </c:pt>
                <c:pt idx="3">
                  <c:v>1224</c:v>
                </c:pt>
                <c:pt idx="4">
                  <c:v>963</c:v>
                </c:pt>
                <c:pt idx="5">
                  <c:v>476</c:v>
                </c:pt>
                <c:pt idx="6">
                  <c:v>618.3125</c:v>
                </c:pt>
                <c:pt idx="7">
                  <c:v>419.54062500000003</c:v>
                </c:pt>
                <c:pt idx="8">
                  <c:v>536</c:v>
                </c:pt>
                <c:pt idx="9">
                  <c:v>192</c:v>
                </c:pt>
                <c:pt idx="10">
                  <c:v>803</c:v>
                </c:pt>
                <c:pt idx="11">
                  <c:v>486</c:v>
                </c:pt>
                <c:pt idx="12">
                  <c:v>686</c:v>
                </c:pt>
                <c:pt idx="13" formatCode="#,##0">
                  <c:v>764</c:v>
                </c:pt>
                <c:pt idx="14" formatCode="#,##0">
                  <c:v>385</c:v>
                </c:pt>
                <c:pt idx="15" formatCode="#,##0">
                  <c:v>481</c:v>
                </c:pt>
                <c:pt idx="16" formatCode="#,##0">
                  <c:v>419</c:v>
                </c:pt>
                <c:pt idx="17" formatCode="#,##0">
                  <c:v>410</c:v>
                </c:pt>
                <c:pt idx="18" formatCode="#,##0">
                  <c:v>671</c:v>
                </c:pt>
                <c:pt idx="19" formatCode="#,##0">
                  <c:v>1018</c:v>
                </c:pt>
                <c:pt idx="20" formatCode="#,##0">
                  <c:v>569</c:v>
                </c:pt>
                <c:pt idx="21" formatCode="#,##0">
                  <c:v>433</c:v>
                </c:pt>
                <c:pt idx="22" formatCode="#,##0">
                  <c:v>445</c:v>
                </c:pt>
                <c:pt idx="23" formatCode="#,##0">
                  <c:v>443</c:v>
                </c:pt>
                <c:pt idx="24" formatCode="#,##0">
                  <c:v>318</c:v>
                </c:pt>
                <c:pt idx="25" formatCode="#,##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3-4C34-9D9B-D7BD0165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465728"/>
        <c:axId val="107549440"/>
      </c:barChart>
      <c:catAx>
        <c:axId val="1074657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4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6042859935693463E-2"/>
              <c:y val="0.3736566929133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657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77408701395767"/>
          <c:y val="0.14635339447289844"/>
          <c:w val="0.33398383480210669"/>
          <c:h val="7.0313015194558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Estimated Periphyton Coverage Substrate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2015 Field'!$D$80:$D$85</c:f>
              <c:numCache>
                <c:formatCode>m/d/yyyy</c:formatCode>
                <c:ptCount val="6"/>
                <c:pt idx="0">
                  <c:v>42145</c:v>
                </c:pt>
                <c:pt idx="1">
                  <c:v>42171</c:v>
                </c:pt>
                <c:pt idx="2">
                  <c:v>42192</c:v>
                </c:pt>
                <c:pt idx="3">
                  <c:v>42234</c:v>
                </c:pt>
                <c:pt idx="4">
                  <c:v>42262</c:v>
                </c:pt>
                <c:pt idx="5">
                  <c:v>42303</c:v>
                </c:pt>
              </c:numCache>
            </c:numRef>
          </c:cat>
          <c:val>
            <c:numRef>
              <c:f>'MWS 2015 Field'!$K$80:$K$85</c:f>
              <c:numCache>
                <c:formatCode>0%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0.01</c:v>
                </c:pt>
                <c:pt idx="3">
                  <c:v>0.05</c:v>
                </c:pt>
                <c:pt idx="4">
                  <c:v>0.2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16747856"/>
        <c:axId val="316741624"/>
      </c:barChart>
      <c:lineChart>
        <c:grouping val="standard"/>
        <c:varyColors val="0"/>
        <c:ser>
          <c:idx val="1"/>
          <c:order val="1"/>
          <c:tx>
            <c:strRef>
              <c:f>'MWS 2015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cat>
            <c:strRef>
              <c:f>'MWS 2015 Field'!$D$113:$D$119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</c:strCache>
            </c:strRef>
          </c:cat>
          <c:val>
            <c:numRef>
              <c:f>'MWS 2015 Field'!$K$86:$K$91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0.05</c:v>
                </c:pt>
                <c:pt idx="3">
                  <c:v>0.02</c:v>
                </c:pt>
                <c:pt idx="4">
                  <c:v>0.25</c:v>
                </c:pt>
                <c:pt idx="5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69728"/>
        <c:axId val="119371264"/>
      </c:lineChart>
      <c:catAx>
        <c:axId val="1193697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119371264"/>
        <c:crosses val="autoZero"/>
        <c:auto val="1"/>
        <c:lblAlgn val="ctr"/>
        <c:lblOffset val="100"/>
        <c:noMultiLvlLbl val="0"/>
      </c:catAx>
      <c:valAx>
        <c:axId val="119371264"/>
        <c:scaling>
          <c:orientation val="maxMin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19369728"/>
        <c:crosses val="autoZero"/>
        <c:crossBetween val="between"/>
      </c:valAx>
      <c:valAx>
        <c:axId val="316741624"/>
        <c:scaling>
          <c:orientation val="maxMin"/>
        </c:scaling>
        <c:delete val="0"/>
        <c:axPos val="r"/>
        <c:numFmt formatCode="0%" sourceLinked="1"/>
        <c:majorTickMark val="out"/>
        <c:minorTickMark val="none"/>
        <c:tickLblPos val="nextTo"/>
        <c:crossAx val="316747856"/>
        <c:crosses val="max"/>
        <c:crossBetween val="between"/>
      </c:valAx>
      <c:dateAx>
        <c:axId val="316747856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31674162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Total Nitrogen Middle BCW</a:t>
            </a:r>
          </a:p>
        </c:rich>
      </c:tx>
      <c:layout>
        <c:manualLayout>
          <c:xMode val="edge"/>
          <c:yMode val="edge"/>
          <c:x val="0.45087828674372032"/>
          <c:y val="1.049868477106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82924316372871"/>
          <c:y val="6.9179573313929599E-2"/>
          <c:w val="0.81212819663906277"/>
          <c:h val="0.58749324664390767"/>
        </c:manualLayout>
      </c:layout>
      <c:lineChart>
        <c:grouping val="standard"/>
        <c:varyColors val="0"/>
        <c:ser>
          <c:idx val="7"/>
          <c:order val="0"/>
          <c:tx>
            <c:strRef>
              <c:f>'MWS 2015 chemistry'!$L$1:$O$1</c:f>
              <c:strCache>
                <c:ptCount val="1"/>
                <c:pt idx="0">
                  <c:v>6/16/2015</c:v>
                </c:pt>
              </c:strCache>
            </c:strRef>
          </c:tx>
          <c:marker>
            <c:symbol val="none"/>
          </c:marker>
          <c:val>
            <c:numRef>
              <c:f>'MWS 2015 chemistry'!$L$3:$L$23</c:f>
              <c:numCache>
                <c:formatCode>General</c:formatCode>
                <c:ptCount val="21"/>
                <c:pt idx="0" formatCode="0">
                  <c:v>360</c:v>
                </c:pt>
                <c:pt idx="1">
                  <c:v>349</c:v>
                </c:pt>
                <c:pt idx="2">
                  <c:v>354</c:v>
                </c:pt>
                <c:pt idx="3">
                  <c:v>364</c:v>
                </c:pt>
                <c:pt idx="6">
                  <c:v>366</c:v>
                </c:pt>
                <c:pt idx="7">
                  <c:v>394</c:v>
                </c:pt>
                <c:pt idx="8">
                  <c:v>403</c:v>
                </c:pt>
                <c:pt idx="9">
                  <c:v>380</c:v>
                </c:pt>
                <c:pt idx="10">
                  <c:v>434</c:v>
                </c:pt>
                <c:pt idx="11">
                  <c:v>462</c:v>
                </c:pt>
                <c:pt idx="12">
                  <c:v>1889</c:v>
                </c:pt>
                <c:pt idx="13">
                  <c:v>327</c:v>
                </c:pt>
                <c:pt idx="14">
                  <c:v>558</c:v>
                </c:pt>
                <c:pt idx="15">
                  <c:v>664</c:v>
                </c:pt>
                <c:pt idx="16">
                  <c:v>1374</c:v>
                </c:pt>
                <c:pt idx="17">
                  <c:v>1654</c:v>
                </c:pt>
                <c:pt idx="18">
                  <c:v>1663</c:v>
                </c:pt>
                <c:pt idx="19">
                  <c:v>793</c:v>
                </c:pt>
                <c:pt idx="20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5-40AC-BD41-F577C6F6751A}"/>
            </c:ext>
          </c:extLst>
        </c:ser>
        <c:ser>
          <c:idx val="8"/>
          <c:order val="1"/>
          <c:tx>
            <c:strRef>
              <c:f>'MWS 2015 chemistry'!$P$1:$S$1</c:f>
              <c:strCache>
                <c:ptCount val="1"/>
                <c:pt idx="0">
                  <c:v>7/7/2015</c:v>
                </c:pt>
              </c:strCache>
            </c:strRef>
          </c:tx>
          <c:marker>
            <c:symbol val="none"/>
          </c:marker>
          <c:val>
            <c:numRef>
              <c:f>'MWS 2015 chemistry'!$P$3:$P$23</c:f>
              <c:numCache>
                <c:formatCode>General</c:formatCode>
                <c:ptCount val="21"/>
                <c:pt idx="0">
                  <c:v>244</c:v>
                </c:pt>
                <c:pt idx="1">
                  <c:v>235</c:v>
                </c:pt>
                <c:pt idx="2">
                  <c:v>240</c:v>
                </c:pt>
                <c:pt idx="3">
                  <c:v>154</c:v>
                </c:pt>
                <c:pt idx="6">
                  <c:v>158</c:v>
                </c:pt>
                <c:pt idx="7">
                  <c:v>258</c:v>
                </c:pt>
                <c:pt idx="8">
                  <c:v>292</c:v>
                </c:pt>
                <c:pt idx="9">
                  <c:v>374</c:v>
                </c:pt>
                <c:pt idx="10">
                  <c:v>354</c:v>
                </c:pt>
                <c:pt idx="11">
                  <c:v>367</c:v>
                </c:pt>
                <c:pt idx="12">
                  <c:v>1908</c:v>
                </c:pt>
                <c:pt idx="13">
                  <c:v>219</c:v>
                </c:pt>
                <c:pt idx="14">
                  <c:v>297</c:v>
                </c:pt>
                <c:pt idx="15">
                  <c:v>618</c:v>
                </c:pt>
                <c:pt idx="18">
                  <c:v>1017</c:v>
                </c:pt>
                <c:pt idx="19">
                  <c:v>824</c:v>
                </c:pt>
                <c:pt idx="20">
                  <c:v>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5-40AC-BD41-F577C6F6751A}"/>
            </c:ext>
          </c:extLst>
        </c:ser>
        <c:ser>
          <c:idx val="0"/>
          <c:order val="2"/>
          <c:tx>
            <c:strRef>
              <c:f>'MWS 2015 chemistry'!$T$1:$W$1</c:f>
              <c:strCache>
                <c:ptCount val="1"/>
                <c:pt idx="0">
                  <c:v>8/18/2015</c:v>
                </c:pt>
              </c:strCache>
            </c:strRef>
          </c:tx>
          <c:marker>
            <c:symbol val="none"/>
          </c:marker>
          <c:cat>
            <c:strRef>
              <c:f>'MWS 2015 chemistry'!$B$3:$B$23</c:f>
              <c:strCache>
                <c:ptCount val="21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77</c:v>
                </c:pt>
                <c:pt idx="5">
                  <c:v>Site 78</c:v>
                </c:pt>
                <c:pt idx="6">
                  <c:v>Site 5</c:v>
                </c:pt>
                <c:pt idx="7">
                  <c:v>Site 8a</c:v>
                </c:pt>
                <c:pt idx="8">
                  <c:v>Site 9</c:v>
                </c:pt>
                <c:pt idx="9">
                  <c:v>Site 12</c:v>
                </c:pt>
                <c:pt idx="10">
                  <c:v>Site 13a</c:v>
                </c:pt>
                <c:pt idx="11">
                  <c:v>Site 14a</c:v>
                </c:pt>
                <c:pt idx="12">
                  <c:v>Site 34</c:v>
                </c:pt>
                <c:pt idx="13">
                  <c:v>Site 35</c:v>
                </c:pt>
                <c:pt idx="14">
                  <c:v>Site 50</c:v>
                </c:pt>
                <c:pt idx="15">
                  <c:v>Site 64</c:v>
                </c:pt>
                <c:pt idx="16">
                  <c:v>Site 79</c:v>
                </c:pt>
                <c:pt idx="17">
                  <c:v>Site 80</c:v>
                </c:pt>
                <c:pt idx="18">
                  <c:v>site 32</c:v>
                </c:pt>
                <c:pt idx="19">
                  <c:v>Site 18</c:v>
                </c:pt>
                <c:pt idx="20">
                  <c:v>Site 19</c:v>
                </c:pt>
              </c:strCache>
            </c:strRef>
          </c:cat>
          <c:val>
            <c:numRef>
              <c:f>'MWS 2015 chemistry'!$T$3:$T$23</c:f>
              <c:numCache>
                <c:formatCode>General</c:formatCode>
                <c:ptCount val="21"/>
                <c:pt idx="0">
                  <c:v>211</c:v>
                </c:pt>
                <c:pt idx="1">
                  <c:v>165</c:v>
                </c:pt>
                <c:pt idx="2">
                  <c:v>170</c:v>
                </c:pt>
                <c:pt idx="3">
                  <c:v>269</c:v>
                </c:pt>
                <c:pt idx="6">
                  <c:v>270</c:v>
                </c:pt>
                <c:pt idx="7">
                  <c:v>292</c:v>
                </c:pt>
                <c:pt idx="8">
                  <c:v>411</c:v>
                </c:pt>
                <c:pt idx="9">
                  <c:v>463</c:v>
                </c:pt>
                <c:pt idx="10">
                  <c:v>432</c:v>
                </c:pt>
                <c:pt idx="11">
                  <c:v>448</c:v>
                </c:pt>
                <c:pt idx="12">
                  <c:v>1755</c:v>
                </c:pt>
                <c:pt idx="13">
                  <c:v>235</c:v>
                </c:pt>
                <c:pt idx="14">
                  <c:v>435</c:v>
                </c:pt>
                <c:pt idx="15">
                  <c:v>644</c:v>
                </c:pt>
                <c:pt idx="18">
                  <c:v>1883</c:v>
                </c:pt>
                <c:pt idx="19">
                  <c:v>615</c:v>
                </c:pt>
                <c:pt idx="20">
                  <c:v>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5-40AC-BD41-F577C6F6751A}"/>
            </c:ext>
          </c:extLst>
        </c:ser>
        <c:ser>
          <c:idx val="1"/>
          <c:order val="3"/>
          <c:tx>
            <c:strRef>
              <c:f>'MWS 2015 chemistry'!$X$1:$AA$1</c:f>
              <c:strCache>
                <c:ptCount val="1"/>
                <c:pt idx="0">
                  <c:v>9/15/2015</c:v>
                </c:pt>
              </c:strCache>
            </c:strRef>
          </c:tx>
          <c:marker>
            <c:symbol val="none"/>
          </c:marker>
          <c:val>
            <c:numRef>
              <c:f>'MWS 2015 chemistry'!$X$3:$X$23</c:f>
              <c:numCache>
                <c:formatCode>General</c:formatCode>
                <c:ptCount val="21"/>
                <c:pt idx="0">
                  <c:v>145</c:v>
                </c:pt>
                <c:pt idx="1">
                  <c:v>125</c:v>
                </c:pt>
                <c:pt idx="2">
                  <c:v>142</c:v>
                </c:pt>
                <c:pt idx="3">
                  <c:v>104</c:v>
                </c:pt>
                <c:pt idx="6">
                  <c:v>179</c:v>
                </c:pt>
                <c:pt idx="7">
                  <c:v>310</c:v>
                </c:pt>
                <c:pt idx="8">
                  <c:v>358</c:v>
                </c:pt>
                <c:pt idx="9">
                  <c:v>547</c:v>
                </c:pt>
                <c:pt idx="10">
                  <c:v>593</c:v>
                </c:pt>
                <c:pt idx="11">
                  <c:v>454</c:v>
                </c:pt>
                <c:pt idx="12">
                  <c:v>1107</c:v>
                </c:pt>
                <c:pt idx="13">
                  <c:v>271</c:v>
                </c:pt>
                <c:pt idx="14">
                  <c:v>218</c:v>
                </c:pt>
                <c:pt idx="15">
                  <c:v>669</c:v>
                </c:pt>
                <c:pt idx="18">
                  <c:v>1121</c:v>
                </c:pt>
                <c:pt idx="19">
                  <c:v>780</c:v>
                </c:pt>
                <c:pt idx="20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05-40AC-BD41-F577C6F6751A}"/>
            </c:ext>
          </c:extLst>
        </c:ser>
        <c:ser>
          <c:idx val="2"/>
          <c:order val="4"/>
          <c:tx>
            <c:strRef>
              <c:f>'MWS 2015 chemistry'!$AB$1:$AE$1</c:f>
              <c:strCache>
                <c:ptCount val="1"/>
                <c:pt idx="0">
                  <c:v>10/26/2015</c:v>
                </c:pt>
              </c:strCache>
            </c:strRef>
          </c:tx>
          <c:marker>
            <c:symbol val="none"/>
          </c:marker>
          <c:val>
            <c:numRef>
              <c:f>'MWS 2015 chemistry'!$AB$3:$AB$23</c:f>
              <c:numCache>
                <c:formatCode>General</c:formatCode>
                <c:ptCount val="21"/>
                <c:pt idx="0">
                  <c:v>182</c:v>
                </c:pt>
                <c:pt idx="1">
                  <c:v>124</c:v>
                </c:pt>
                <c:pt idx="2">
                  <c:v>172</c:v>
                </c:pt>
                <c:pt idx="3">
                  <c:v>98</c:v>
                </c:pt>
                <c:pt idx="4">
                  <c:v>180</c:v>
                </c:pt>
                <c:pt idx="5">
                  <c:v>288</c:v>
                </c:pt>
                <c:pt idx="6">
                  <c:v>220</c:v>
                </c:pt>
                <c:pt idx="7">
                  <c:v>341</c:v>
                </c:pt>
                <c:pt idx="8">
                  <c:v>441</c:v>
                </c:pt>
                <c:pt idx="9">
                  <c:v>567</c:v>
                </c:pt>
                <c:pt idx="10">
                  <c:v>548</c:v>
                </c:pt>
                <c:pt idx="11">
                  <c:v>581</c:v>
                </c:pt>
                <c:pt idx="12">
                  <c:v>1179</c:v>
                </c:pt>
                <c:pt idx="13">
                  <c:v>399</c:v>
                </c:pt>
                <c:pt idx="14">
                  <c:v>439</c:v>
                </c:pt>
                <c:pt idx="15">
                  <c:v>700</c:v>
                </c:pt>
                <c:pt idx="16">
                  <c:v>1366</c:v>
                </c:pt>
                <c:pt idx="17">
                  <c:v>2249</c:v>
                </c:pt>
                <c:pt idx="18">
                  <c:v>1777</c:v>
                </c:pt>
                <c:pt idx="19">
                  <c:v>430</c:v>
                </c:pt>
                <c:pt idx="20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05-40AC-BD41-F577C6F6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52960"/>
        <c:axId val="116162944"/>
      </c:lineChart>
      <c:catAx>
        <c:axId val="116152960"/>
        <c:scaling>
          <c:orientation val="minMax"/>
        </c:scaling>
        <c:delete val="0"/>
        <c:axPos val="t"/>
        <c:majorTickMark val="none"/>
        <c:minorTickMark val="none"/>
        <c:tickLblPos val="nextTo"/>
        <c:crossAx val="116162944"/>
        <c:crosses val="autoZero"/>
        <c:auto val="1"/>
        <c:lblAlgn val="ctr"/>
        <c:lblOffset val="100"/>
        <c:noMultiLvlLbl val="0"/>
      </c:catAx>
      <c:valAx>
        <c:axId val="11616294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4.8279946520768745E-2"/>
              <c:y val="0.31655511200698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16152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Middle BCW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10801446743894"/>
          <c:y val="8.9967728362886662E-2"/>
          <c:w val="0.81856831670787755"/>
          <c:h val="0.55939272433183351"/>
        </c:manualLayout>
      </c:layout>
      <c:lineChart>
        <c:grouping val="standard"/>
        <c:varyColors val="0"/>
        <c:ser>
          <c:idx val="7"/>
          <c:order val="0"/>
          <c:tx>
            <c:strRef>
              <c:f>'MWS 2015 chemistry'!$L$1:$O$1</c:f>
              <c:strCache>
                <c:ptCount val="1"/>
                <c:pt idx="0">
                  <c:v>6/16/2015</c:v>
                </c:pt>
              </c:strCache>
            </c:strRef>
          </c:tx>
          <c:marker>
            <c:symbol val="none"/>
          </c:marker>
          <c:val>
            <c:numRef>
              <c:f>'MWS 2015 chemistry'!$O$3:$O$23</c:f>
              <c:numCache>
                <c:formatCode>General</c:formatCode>
                <c:ptCount val="21"/>
                <c:pt idx="0" formatCode="0">
                  <c:v>42</c:v>
                </c:pt>
                <c:pt idx="1">
                  <c:v>58</c:v>
                </c:pt>
                <c:pt idx="2">
                  <c:v>67</c:v>
                </c:pt>
                <c:pt idx="3">
                  <c:v>60</c:v>
                </c:pt>
                <c:pt idx="6">
                  <c:v>59</c:v>
                </c:pt>
                <c:pt idx="7">
                  <c:v>68</c:v>
                </c:pt>
                <c:pt idx="8">
                  <c:v>61</c:v>
                </c:pt>
                <c:pt idx="9">
                  <c:v>57</c:v>
                </c:pt>
                <c:pt idx="10">
                  <c:v>211</c:v>
                </c:pt>
                <c:pt idx="11">
                  <c:v>79</c:v>
                </c:pt>
                <c:pt idx="12">
                  <c:v>70</c:v>
                </c:pt>
                <c:pt idx="13">
                  <c:v>28</c:v>
                </c:pt>
                <c:pt idx="14">
                  <c:v>256</c:v>
                </c:pt>
                <c:pt idx="15">
                  <c:v>48</c:v>
                </c:pt>
                <c:pt idx="16">
                  <c:v>46</c:v>
                </c:pt>
                <c:pt idx="17">
                  <c:v>75</c:v>
                </c:pt>
                <c:pt idx="18">
                  <c:v>194</c:v>
                </c:pt>
                <c:pt idx="19">
                  <c:v>59</c:v>
                </c:pt>
                <c:pt idx="2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5DE-8002-9E36619010B8}"/>
            </c:ext>
          </c:extLst>
        </c:ser>
        <c:ser>
          <c:idx val="8"/>
          <c:order val="1"/>
          <c:tx>
            <c:strRef>
              <c:f>'MWS 2015 chemistry'!$P$1:$S$1</c:f>
              <c:strCache>
                <c:ptCount val="1"/>
                <c:pt idx="0">
                  <c:v>7/7/2015</c:v>
                </c:pt>
              </c:strCache>
            </c:strRef>
          </c:tx>
          <c:marker>
            <c:symbol val="none"/>
          </c:marker>
          <c:val>
            <c:numRef>
              <c:f>'MWS 2015 chemistry'!$S$3:$S$23</c:f>
              <c:numCache>
                <c:formatCode>General</c:formatCode>
                <c:ptCount val="21"/>
                <c:pt idx="0">
                  <c:v>19</c:v>
                </c:pt>
                <c:pt idx="1">
                  <c:v>33</c:v>
                </c:pt>
                <c:pt idx="2">
                  <c:v>42</c:v>
                </c:pt>
                <c:pt idx="3">
                  <c:v>24</c:v>
                </c:pt>
                <c:pt idx="6">
                  <c:v>27</c:v>
                </c:pt>
                <c:pt idx="7">
                  <c:v>36</c:v>
                </c:pt>
                <c:pt idx="8">
                  <c:v>43</c:v>
                </c:pt>
                <c:pt idx="9">
                  <c:v>48</c:v>
                </c:pt>
                <c:pt idx="10">
                  <c:v>50</c:v>
                </c:pt>
                <c:pt idx="11">
                  <c:v>54</c:v>
                </c:pt>
                <c:pt idx="12">
                  <c:v>85</c:v>
                </c:pt>
                <c:pt idx="13">
                  <c:v>29</c:v>
                </c:pt>
                <c:pt idx="14">
                  <c:v>55</c:v>
                </c:pt>
                <c:pt idx="15">
                  <c:v>103</c:v>
                </c:pt>
                <c:pt idx="18">
                  <c:v>114</c:v>
                </c:pt>
                <c:pt idx="19">
                  <c:v>144</c:v>
                </c:pt>
                <c:pt idx="2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4-45DE-8002-9E36619010B8}"/>
            </c:ext>
          </c:extLst>
        </c:ser>
        <c:ser>
          <c:idx val="0"/>
          <c:order val="2"/>
          <c:tx>
            <c:strRef>
              <c:f>'MWS 2015 chemistry'!$T$1:$W$1</c:f>
              <c:strCache>
                <c:ptCount val="1"/>
                <c:pt idx="0">
                  <c:v>8/18/2015</c:v>
                </c:pt>
              </c:strCache>
            </c:strRef>
          </c:tx>
          <c:marker>
            <c:symbol val="none"/>
          </c:marker>
          <c:cat>
            <c:strRef>
              <c:f>'MWS 2015 chemistry'!$B$3:$B$23</c:f>
              <c:strCache>
                <c:ptCount val="21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77</c:v>
                </c:pt>
                <c:pt idx="5">
                  <c:v>Site 78</c:v>
                </c:pt>
                <c:pt idx="6">
                  <c:v>Site 5</c:v>
                </c:pt>
                <c:pt idx="7">
                  <c:v>Site 8a</c:v>
                </c:pt>
                <c:pt idx="8">
                  <c:v>Site 9</c:v>
                </c:pt>
                <c:pt idx="9">
                  <c:v>Site 12</c:v>
                </c:pt>
                <c:pt idx="10">
                  <c:v>Site 13a</c:v>
                </c:pt>
                <c:pt idx="11">
                  <c:v>Site 14a</c:v>
                </c:pt>
                <c:pt idx="12">
                  <c:v>Site 34</c:v>
                </c:pt>
                <c:pt idx="13">
                  <c:v>Site 35</c:v>
                </c:pt>
                <c:pt idx="14">
                  <c:v>Site 50</c:v>
                </c:pt>
                <c:pt idx="15">
                  <c:v>Site 64</c:v>
                </c:pt>
                <c:pt idx="16">
                  <c:v>Site 79</c:v>
                </c:pt>
                <c:pt idx="17">
                  <c:v>Site 80</c:v>
                </c:pt>
                <c:pt idx="18">
                  <c:v>site 32</c:v>
                </c:pt>
                <c:pt idx="19">
                  <c:v>Site 18</c:v>
                </c:pt>
                <c:pt idx="20">
                  <c:v>Site 19</c:v>
                </c:pt>
              </c:strCache>
            </c:strRef>
          </c:cat>
          <c:val>
            <c:numRef>
              <c:f>'MWS 2015 chemistry'!$W$3:$W$23</c:f>
              <c:numCache>
                <c:formatCode>General</c:formatCode>
                <c:ptCount val="21"/>
                <c:pt idx="0">
                  <c:v>7</c:v>
                </c:pt>
                <c:pt idx="1">
                  <c:v>14</c:v>
                </c:pt>
                <c:pt idx="2">
                  <c:v>20</c:v>
                </c:pt>
                <c:pt idx="3">
                  <c:v>10</c:v>
                </c:pt>
                <c:pt idx="6">
                  <c:v>30</c:v>
                </c:pt>
                <c:pt idx="7">
                  <c:v>31</c:v>
                </c:pt>
                <c:pt idx="8">
                  <c:v>45</c:v>
                </c:pt>
                <c:pt idx="9">
                  <c:v>44</c:v>
                </c:pt>
                <c:pt idx="10">
                  <c:v>48</c:v>
                </c:pt>
                <c:pt idx="11">
                  <c:v>45</c:v>
                </c:pt>
                <c:pt idx="12">
                  <c:v>92</c:v>
                </c:pt>
                <c:pt idx="13">
                  <c:v>22</c:v>
                </c:pt>
                <c:pt idx="14">
                  <c:v>78</c:v>
                </c:pt>
                <c:pt idx="15">
                  <c:v>72</c:v>
                </c:pt>
                <c:pt idx="18">
                  <c:v>174</c:v>
                </c:pt>
                <c:pt idx="19">
                  <c:v>104</c:v>
                </c:pt>
                <c:pt idx="2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4-45DE-8002-9E36619010B8}"/>
            </c:ext>
          </c:extLst>
        </c:ser>
        <c:ser>
          <c:idx val="1"/>
          <c:order val="3"/>
          <c:tx>
            <c:strRef>
              <c:f>'MWS 2015 chemistry'!$X$1:$AA$1</c:f>
              <c:strCache>
                <c:ptCount val="1"/>
                <c:pt idx="0">
                  <c:v>9/15/2015</c:v>
                </c:pt>
              </c:strCache>
            </c:strRef>
          </c:tx>
          <c:marker>
            <c:symbol val="none"/>
          </c:marker>
          <c:val>
            <c:numRef>
              <c:f>'MWS 2015 chemistry'!$AA$3:$AA$23</c:f>
              <c:numCache>
                <c:formatCode>General</c:formatCode>
                <c:ptCount val="21"/>
                <c:pt idx="0">
                  <c:v>2</c:v>
                </c:pt>
                <c:pt idx="1">
                  <c:v>11</c:v>
                </c:pt>
                <c:pt idx="2">
                  <c:v>11</c:v>
                </c:pt>
                <c:pt idx="3">
                  <c:v>3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  <c:pt idx="9">
                  <c:v>19</c:v>
                </c:pt>
                <c:pt idx="10">
                  <c:v>18</c:v>
                </c:pt>
                <c:pt idx="11">
                  <c:v>15</c:v>
                </c:pt>
                <c:pt idx="12">
                  <c:v>13</c:v>
                </c:pt>
                <c:pt idx="13">
                  <c:v>75</c:v>
                </c:pt>
                <c:pt idx="14">
                  <c:v>20</c:v>
                </c:pt>
                <c:pt idx="15">
                  <c:v>33</c:v>
                </c:pt>
                <c:pt idx="18">
                  <c:v>97</c:v>
                </c:pt>
                <c:pt idx="19">
                  <c:v>57</c:v>
                </c:pt>
                <c:pt idx="2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4-45DE-8002-9E36619010B8}"/>
            </c:ext>
          </c:extLst>
        </c:ser>
        <c:ser>
          <c:idx val="2"/>
          <c:order val="4"/>
          <c:tx>
            <c:strRef>
              <c:f>'MWS 2015 chemistry'!$AB$1:$AE$1</c:f>
              <c:strCache>
                <c:ptCount val="1"/>
                <c:pt idx="0">
                  <c:v>10/26/2015</c:v>
                </c:pt>
              </c:strCache>
            </c:strRef>
          </c:tx>
          <c:marker>
            <c:symbol val="none"/>
          </c:marker>
          <c:val>
            <c:numRef>
              <c:f>'MWS 2015 chemistry'!$AE$3:$AE$23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20</c:v>
                </c:pt>
                <c:pt idx="3">
                  <c:v>2</c:v>
                </c:pt>
                <c:pt idx="4">
                  <c:v>32</c:v>
                </c:pt>
                <c:pt idx="5">
                  <c:v>31</c:v>
                </c:pt>
                <c:pt idx="6">
                  <c:v>10</c:v>
                </c:pt>
                <c:pt idx="7">
                  <c:v>27</c:v>
                </c:pt>
                <c:pt idx="8">
                  <c:v>20</c:v>
                </c:pt>
                <c:pt idx="9">
                  <c:v>39</c:v>
                </c:pt>
                <c:pt idx="10">
                  <c:v>14</c:v>
                </c:pt>
                <c:pt idx="11">
                  <c:v>13</c:v>
                </c:pt>
                <c:pt idx="12">
                  <c:v>5</c:v>
                </c:pt>
                <c:pt idx="13">
                  <c:v>8</c:v>
                </c:pt>
                <c:pt idx="14">
                  <c:v>13</c:v>
                </c:pt>
                <c:pt idx="15">
                  <c:v>38</c:v>
                </c:pt>
                <c:pt idx="16">
                  <c:v>2</c:v>
                </c:pt>
                <c:pt idx="17">
                  <c:v>86</c:v>
                </c:pt>
                <c:pt idx="18">
                  <c:v>82</c:v>
                </c:pt>
                <c:pt idx="19">
                  <c:v>16</c:v>
                </c:pt>
                <c:pt idx="2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4-45DE-8002-9E366190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24448"/>
        <c:axId val="119625984"/>
      </c:lineChart>
      <c:catAx>
        <c:axId val="119624448"/>
        <c:scaling>
          <c:orientation val="minMax"/>
        </c:scaling>
        <c:delete val="0"/>
        <c:axPos val="t"/>
        <c:majorTickMark val="none"/>
        <c:minorTickMark val="none"/>
        <c:tickLblPos val="nextTo"/>
        <c:crossAx val="119625984"/>
        <c:crosses val="autoZero"/>
        <c:auto val="1"/>
        <c:lblAlgn val="ctr"/>
        <c:lblOffset val="100"/>
        <c:noMultiLvlLbl val="0"/>
      </c:catAx>
      <c:valAx>
        <c:axId val="11962598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6.4887305107896184E-2"/>
              <c:y val="0.29771013176406275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19624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Ammonia- Nitrogen Middle BCW</a:t>
            </a:r>
          </a:p>
        </c:rich>
      </c:tx>
      <c:layout>
        <c:manualLayout>
          <c:xMode val="edge"/>
          <c:yMode val="edge"/>
          <c:x val="0.42750093067925504"/>
          <c:y val="0.201660672681719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59705805095875"/>
          <c:y val="7.7122449944158913E-2"/>
          <c:w val="0.81914018036949565"/>
          <c:h val="0.57255711915022856"/>
        </c:manualLayout>
      </c:layout>
      <c:lineChart>
        <c:grouping val="standard"/>
        <c:varyColors val="0"/>
        <c:ser>
          <c:idx val="7"/>
          <c:order val="0"/>
          <c:tx>
            <c:strRef>
              <c:f>'MWS 2015 chemistry'!$L$1:$O$1</c:f>
              <c:strCache>
                <c:ptCount val="1"/>
                <c:pt idx="0">
                  <c:v>6/16/2015</c:v>
                </c:pt>
              </c:strCache>
            </c:strRef>
          </c:tx>
          <c:marker>
            <c:symbol val="none"/>
          </c:marker>
          <c:val>
            <c:numRef>
              <c:f>'MWS 2015 chemistry'!$N$3:$N$23</c:f>
              <c:numCache>
                <c:formatCode>General</c:formatCode>
                <c:ptCount val="21"/>
                <c:pt idx="0" formatCode="0">
                  <c:v>17</c:v>
                </c:pt>
                <c:pt idx="1">
                  <c:v>27</c:v>
                </c:pt>
                <c:pt idx="2">
                  <c:v>30</c:v>
                </c:pt>
                <c:pt idx="3">
                  <c:v>27</c:v>
                </c:pt>
                <c:pt idx="6">
                  <c:v>35</c:v>
                </c:pt>
                <c:pt idx="7">
                  <c:v>40</c:v>
                </c:pt>
                <c:pt idx="8">
                  <c:v>48</c:v>
                </c:pt>
                <c:pt idx="9">
                  <c:v>44</c:v>
                </c:pt>
                <c:pt idx="10">
                  <c:v>39</c:v>
                </c:pt>
                <c:pt idx="11">
                  <c:v>37</c:v>
                </c:pt>
                <c:pt idx="12">
                  <c:v>44</c:v>
                </c:pt>
                <c:pt idx="13">
                  <c:v>18</c:v>
                </c:pt>
                <c:pt idx="14">
                  <c:v>98</c:v>
                </c:pt>
                <c:pt idx="15">
                  <c:v>27</c:v>
                </c:pt>
                <c:pt idx="18">
                  <c:v>621</c:v>
                </c:pt>
                <c:pt idx="19">
                  <c:v>37</c:v>
                </c:pt>
                <c:pt idx="2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7-4A52-8FE1-296E6A94F621}"/>
            </c:ext>
          </c:extLst>
        </c:ser>
        <c:ser>
          <c:idx val="8"/>
          <c:order val="1"/>
          <c:tx>
            <c:strRef>
              <c:f>'MWS 2015 chemistry'!$P$1:$S$1</c:f>
              <c:strCache>
                <c:ptCount val="1"/>
                <c:pt idx="0">
                  <c:v>7/7/2015</c:v>
                </c:pt>
              </c:strCache>
            </c:strRef>
          </c:tx>
          <c:marker>
            <c:symbol val="none"/>
          </c:marker>
          <c:val>
            <c:numRef>
              <c:f>'MWS 2015 chemistry'!$R$3:$R$23</c:f>
              <c:numCache>
                <c:formatCode>General</c:formatCode>
                <c:ptCount val="21"/>
                <c:pt idx="0">
                  <c:v>6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18</c:v>
                </c:pt>
                <c:pt idx="10">
                  <c:v>16</c:v>
                </c:pt>
                <c:pt idx="11">
                  <c:v>17</c:v>
                </c:pt>
                <c:pt idx="12">
                  <c:v>30</c:v>
                </c:pt>
                <c:pt idx="13">
                  <c:v>14</c:v>
                </c:pt>
                <c:pt idx="14">
                  <c:v>16</c:v>
                </c:pt>
                <c:pt idx="15">
                  <c:v>35</c:v>
                </c:pt>
                <c:pt idx="18">
                  <c:v>66</c:v>
                </c:pt>
                <c:pt idx="19">
                  <c:v>41</c:v>
                </c:pt>
                <c:pt idx="2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7-4A52-8FE1-296E6A94F621}"/>
            </c:ext>
          </c:extLst>
        </c:ser>
        <c:ser>
          <c:idx val="2"/>
          <c:order val="2"/>
          <c:tx>
            <c:strRef>
              <c:f>'MWS 2015 chemistry'!$T$1:$W$1</c:f>
              <c:strCache>
                <c:ptCount val="1"/>
                <c:pt idx="0">
                  <c:v>8/18/2015</c:v>
                </c:pt>
              </c:strCache>
            </c:strRef>
          </c:tx>
          <c:marker>
            <c:symbol val="none"/>
          </c:marker>
          <c:cat>
            <c:strRef>
              <c:f>'MWS 2015 chemistry'!$B$3:$B$23</c:f>
              <c:strCache>
                <c:ptCount val="21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77</c:v>
                </c:pt>
                <c:pt idx="5">
                  <c:v>Site 78</c:v>
                </c:pt>
                <c:pt idx="6">
                  <c:v>Site 5</c:v>
                </c:pt>
                <c:pt idx="7">
                  <c:v>Site 8a</c:v>
                </c:pt>
                <c:pt idx="8">
                  <c:v>Site 9</c:v>
                </c:pt>
                <c:pt idx="9">
                  <c:v>Site 12</c:v>
                </c:pt>
                <c:pt idx="10">
                  <c:v>Site 13a</c:v>
                </c:pt>
                <c:pt idx="11">
                  <c:v>Site 14a</c:v>
                </c:pt>
                <c:pt idx="12">
                  <c:v>Site 34</c:v>
                </c:pt>
                <c:pt idx="13">
                  <c:v>Site 35</c:v>
                </c:pt>
                <c:pt idx="14">
                  <c:v>Site 50</c:v>
                </c:pt>
                <c:pt idx="15">
                  <c:v>Site 64</c:v>
                </c:pt>
                <c:pt idx="16">
                  <c:v>Site 79</c:v>
                </c:pt>
                <c:pt idx="17">
                  <c:v>Site 80</c:v>
                </c:pt>
                <c:pt idx="18">
                  <c:v>site 32</c:v>
                </c:pt>
                <c:pt idx="19">
                  <c:v>Site 18</c:v>
                </c:pt>
                <c:pt idx="20">
                  <c:v>Site 19</c:v>
                </c:pt>
              </c:strCache>
            </c:strRef>
          </c:cat>
          <c:val>
            <c:numRef>
              <c:f>'MWS 2015 chemistry'!$V$3:$V$23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2">
                  <c:v>19</c:v>
                </c:pt>
                <c:pt idx="3">
                  <c:v>15</c:v>
                </c:pt>
                <c:pt idx="6">
                  <c:v>37</c:v>
                </c:pt>
                <c:pt idx="7">
                  <c:v>66</c:v>
                </c:pt>
                <c:pt idx="8">
                  <c:v>71</c:v>
                </c:pt>
                <c:pt idx="9">
                  <c:v>45</c:v>
                </c:pt>
                <c:pt idx="10">
                  <c:v>35</c:v>
                </c:pt>
                <c:pt idx="11">
                  <c:v>31</c:v>
                </c:pt>
                <c:pt idx="12">
                  <c:v>29</c:v>
                </c:pt>
                <c:pt idx="13">
                  <c:v>18</c:v>
                </c:pt>
                <c:pt idx="14">
                  <c:v>40</c:v>
                </c:pt>
                <c:pt idx="15">
                  <c:v>32</c:v>
                </c:pt>
                <c:pt idx="18">
                  <c:v>181</c:v>
                </c:pt>
                <c:pt idx="19">
                  <c:v>47</c:v>
                </c:pt>
                <c:pt idx="2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7-4A52-8FE1-296E6A94F621}"/>
            </c:ext>
          </c:extLst>
        </c:ser>
        <c:ser>
          <c:idx val="0"/>
          <c:order val="3"/>
          <c:tx>
            <c:strRef>
              <c:f>'MWS 2015 chemistry'!$X$1:$AA$1</c:f>
              <c:strCache>
                <c:ptCount val="1"/>
                <c:pt idx="0">
                  <c:v>9/15/2015</c:v>
                </c:pt>
              </c:strCache>
            </c:strRef>
          </c:tx>
          <c:marker>
            <c:symbol val="none"/>
          </c:marker>
          <c:val>
            <c:numRef>
              <c:f>'MWS 2015 chemistry'!$Z$3:$Z$23</c:f>
              <c:numCache>
                <c:formatCode>General</c:formatCode>
                <c:ptCount val="21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5</c:v>
                </c:pt>
                <c:pt idx="6">
                  <c:v>19</c:v>
                </c:pt>
                <c:pt idx="7">
                  <c:v>100</c:v>
                </c:pt>
                <c:pt idx="8">
                  <c:v>30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22</c:v>
                </c:pt>
                <c:pt idx="14">
                  <c:v>11</c:v>
                </c:pt>
                <c:pt idx="15">
                  <c:v>16</c:v>
                </c:pt>
                <c:pt idx="18">
                  <c:v>9</c:v>
                </c:pt>
                <c:pt idx="19">
                  <c:v>68</c:v>
                </c:pt>
                <c:pt idx="2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7-4A52-8FE1-296E6A94F621}"/>
            </c:ext>
          </c:extLst>
        </c:ser>
        <c:ser>
          <c:idx val="1"/>
          <c:order val="4"/>
          <c:tx>
            <c:strRef>
              <c:f>'MWS 2015 chemistry'!$AB$1:$AE$1</c:f>
              <c:strCache>
                <c:ptCount val="1"/>
                <c:pt idx="0">
                  <c:v>10/26/2015</c:v>
                </c:pt>
              </c:strCache>
            </c:strRef>
          </c:tx>
          <c:marker>
            <c:symbol val="none"/>
          </c:marker>
          <c:val>
            <c:numRef>
              <c:f>'MWS 2015 chemistry'!$AD$3:$AD$23</c:f>
              <c:numCache>
                <c:formatCode>General</c:formatCode>
                <c:ptCount val="21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6">
                  <c:v>39</c:v>
                </c:pt>
                <c:pt idx="7">
                  <c:v>100</c:v>
                </c:pt>
                <c:pt idx="8">
                  <c:v>44</c:v>
                </c:pt>
                <c:pt idx="9">
                  <c:v>25</c:v>
                </c:pt>
                <c:pt idx="10">
                  <c:v>13</c:v>
                </c:pt>
                <c:pt idx="11">
                  <c:v>10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19</c:v>
                </c:pt>
                <c:pt idx="18">
                  <c:v>327</c:v>
                </c:pt>
                <c:pt idx="19">
                  <c:v>20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47-4A52-8FE1-296E6A94F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09280"/>
        <c:axId val="119415168"/>
      </c:lineChart>
      <c:catAx>
        <c:axId val="119409280"/>
        <c:scaling>
          <c:orientation val="minMax"/>
        </c:scaling>
        <c:delete val="0"/>
        <c:axPos val="t"/>
        <c:numFmt formatCode="0.0" sourceLinked="1"/>
        <c:majorTickMark val="none"/>
        <c:minorTickMark val="none"/>
        <c:tickLblPos val="nextTo"/>
        <c:crossAx val="119415168"/>
        <c:crosses val="autoZero"/>
        <c:auto val="1"/>
        <c:lblAlgn val="ctr"/>
        <c:lblOffset val="100"/>
        <c:noMultiLvlLbl val="0"/>
      </c:catAx>
      <c:valAx>
        <c:axId val="119415168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Ammonia-Nitrogen ug/l</a:t>
                </a:r>
              </a:p>
            </c:rich>
          </c:tx>
          <c:layout>
            <c:manualLayout>
              <c:xMode val="edge"/>
              <c:yMode val="edge"/>
              <c:x val="7.1180494279061257E-2"/>
              <c:y val="0.1114915448540100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19409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Nitrate-Nitrogen Middle BCW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'MWS 2015 chemistry'!$L$1:$O$1</c:f>
              <c:strCache>
                <c:ptCount val="1"/>
                <c:pt idx="0">
                  <c:v>6/16/2015</c:v>
                </c:pt>
              </c:strCache>
            </c:strRef>
          </c:tx>
          <c:marker>
            <c:symbol val="none"/>
          </c:marker>
          <c:val>
            <c:numRef>
              <c:f>'MWS 2015 chemistry'!$M$3:$M$23</c:f>
              <c:numCache>
                <c:formatCode>General</c:formatCode>
                <c:ptCount val="21"/>
                <c:pt idx="0" formatCode="0">
                  <c:v>90</c:v>
                </c:pt>
                <c:pt idx="1">
                  <c:v>50</c:v>
                </c:pt>
                <c:pt idx="2">
                  <c:v>58</c:v>
                </c:pt>
                <c:pt idx="3">
                  <c:v>21</c:v>
                </c:pt>
                <c:pt idx="6">
                  <c:v>73</c:v>
                </c:pt>
                <c:pt idx="7">
                  <c:v>83</c:v>
                </c:pt>
                <c:pt idx="8">
                  <c:v>105</c:v>
                </c:pt>
                <c:pt idx="9">
                  <c:v>132</c:v>
                </c:pt>
                <c:pt idx="10">
                  <c:v>138</c:v>
                </c:pt>
                <c:pt idx="11">
                  <c:v>148</c:v>
                </c:pt>
                <c:pt idx="12">
                  <c:v>1655</c:v>
                </c:pt>
                <c:pt idx="13">
                  <c:v>148</c:v>
                </c:pt>
                <c:pt idx="14">
                  <c:v>224</c:v>
                </c:pt>
                <c:pt idx="15">
                  <c:v>147</c:v>
                </c:pt>
                <c:pt idx="18">
                  <c:v>674</c:v>
                </c:pt>
                <c:pt idx="19">
                  <c:v>66</c:v>
                </c:pt>
                <c:pt idx="20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8-459F-B6DB-0AA12CCFE270}"/>
            </c:ext>
          </c:extLst>
        </c:ser>
        <c:ser>
          <c:idx val="8"/>
          <c:order val="1"/>
          <c:tx>
            <c:strRef>
              <c:f>'MWS 2015 chemistry'!$P$1:$S$1</c:f>
              <c:strCache>
                <c:ptCount val="1"/>
                <c:pt idx="0">
                  <c:v>7/7/2015</c:v>
                </c:pt>
              </c:strCache>
            </c:strRef>
          </c:tx>
          <c:marker>
            <c:symbol val="none"/>
          </c:marker>
          <c:val>
            <c:numRef>
              <c:f>'MWS 2015 chemistry'!$Q$3:$Q$23</c:f>
              <c:numCache>
                <c:formatCode>General</c:formatCode>
                <c:ptCount val="21"/>
                <c:pt idx="0">
                  <c:v>84</c:v>
                </c:pt>
                <c:pt idx="1">
                  <c:v>59</c:v>
                </c:pt>
                <c:pt idx="2">
                  <c:v>62</c:v>
                </c:pt>
                <c:pt idx="3">
                  <c:v>28</c:v>
                </c:pt>
                <c:pt idx="6">
                  <c:v>60</c:v>
                </c:pt>
                <c:pt idx="7">
                  <c:v>69</c:v>
                </c:pt>
                <c:pt idx="8">
                  <c:v>93</c:v>
                </c:pt>
                <c:pt idx="9">
                  <c:v>143</c:v>
                </c:pt>
                <c:pt idx="10">
                  <c:v>152</c:v>
                </c:pt>
                <c:pt idx="11">
                  <c:v>154</c:v>
                </c:pt>
                <c:pt idx="12">
                  <c:v>1335</c:v>
                </c:pt>
                <c:pt idx="13">
                  <c:v>110</c:v>
                </c:pt>
                <c:pt idx="14">
                  <c:v>124</c:v>
                </c:pt>
                <c:pt idx="15">
                  <c:v>139</c:v>
                </c:pt>
                <c:pt idx="18">
                  <c:v>434</c:v>
                </c:pt>
                <c:pt idx="19">
                  <c:v>79</c:v>
                </c:pt>
                <c:pt idx="2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8-459F-B6DB-0AA12CCFE270}"/>
            </c:ext>
          </c:extLst>
        </c:ser>
        <c:ser>
          <c:idx val="0"/>
          <c:order val="2"/>
          <c:tx>
            <c:strRef>
              <c:f>'MWS 2015 chemistry'!$T$1:$W$1</c:f>
              <c:strCache>
                <c:ptCount val="1"/>
                <c:pt idx="0">
                  <c:v>8/18/2015</c:v>
                </c:pt>
              </c:strCache>
            </c:strRef>
          </c:tx>
          <c:marker>
            <c:symbol val="none"/>
          </c:marker>
          <c:cat>
            <c:strRef>
              <c:f>'MWS 2015 chemistry'!$B$3:$B$23</c:f>
              <c:strCache>
                <c:ptCount val="21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77</c:v>
                </c:pt>
                <c:pt idx="5">
                  <c:v>Site 78</c:v>
                </c:pt>
                <c:pt idx="6">
                  <c:v>Site 5</c:v>
                </c:pt>
                <c:pt idx="7">
                  <c:v>Site 8a</c:v>
                </c:pt>
                <c:pt idx="8">
                  <c:v>Site 9</c:v>
                </c:pt>
                <c:pt idx="9">
                  <c:v>Site 12</c:v>
                </c:pt>
                <c:pt idx="10">
                  <c:v>Site 13a</c:v>
                </c:pt>
                <c:pt idx="11">
                  <c:v>Site 14a</c:v>
                </c:pt>
                <c:pt idx="12">
                  <c:v>Site 34</c:v>
                </c:pt>
                <c:pt idx="13">
                  <c:v>Site 35</c:v>
                </c:pt>
                <c:pt idx="14">
                  <c:v>Site 50</c:v>
                </c:pt>
                <c:pt idx="15">
                  <c:v>Site 64</c:v>
                </c:pt>
                <c:pt idx="16">
                  <c:v>Site 79</c:v>
                </c:pt>
                <c:pt idx="17">
                  <c:v>Site 80</c:v>
                </c:pt>
                <c:pt idx="18">
                  <c:v>site 32</c:v>
                </c:pt>
                <c:pt idx="19">
                  <c:v>Site 18</c:v>
                </c:pt>
                <c:pt idx="20">
                  <c:v>Site 19</c:v>
                </c:pt>
              </c:strCache>
            </c:strRef>
          </c:cat>
          <c:val>
            <c:numRef>
              <c:f>'MWS 2015 chemistry'!$U$3:$U$23</c:f>
              <c:numCache>
                <c:formatCode>General</c:formatCode>
                <c:ptCount val="21"/>
                <c:pt idx="0">
                  <c:v>93</c:v>
                </c:pt>
                <c:pt idx="1">
                  <c:v>43</c:v>
                </c:pt>
                <c:pt idx="2">
                  <c:v>41</c:v>
                </c:pt>
                <c:pt idx="3">
                  <c:v>30</c:v>
                </c:pt>
                <c:pt idx="6">
                  <c:v>56</c:v>
                </c:pt>
                <c:pt idx="7">
                  <c:v>97</c:v>
                </c:pt>
                <c:pt idx="8">
                  <c:v>189</c:v>
                </c:pt>
                <c:pt idx="9">
                  <c:v>273</c:v>
                </c:pt>
                <c:pt idx="10">
                  <c:v>244</c:v>
                </c:pt>
                <c:pt idx="11">
                  <c:v>261</c:v>
                </c:pt>
                <c:pt idx="12">
                  <c:v>1327</c:v>
                </c:pt>
                <c:pt idx="13">
                  <c:v>148</c:v>
                </c:pt>
                <c:pt idx="14">
                  <c:v>246</c:v>
                </c:pt>
                <c:pt idx="15">
                  <c:v>221</c:v>
                </c:pt>
                <c:pt idx="18">
                  <c:v>1167</c:v>
                </c:pt>
                <c:pt idx="19">
                  <c:v>82</c:v>
                </c:pt>
                <c:pt idx="20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48-459F-B6DB-0AA12CCFE270}"/>
            </c:ext>
          </c:extLst>
        </c:ser>
        <c:ser>
          <c:idx val="1"/>
          <c:order val="3"/>
          <c:tx>
            <c:strRef>
              <c:f>'MWS 2015 chemistry'!$X$1:$AA$1</c:f>
              <c:strCache>
                <c:ptCount val="1"/>
                <c:pt idx="0">
                  <c:v>9/15/2015</c:v>
                </c:pt>
              </c:strCache>
            </c:strRef>
          </c:tx>
          <c:marker>
            <c:symbol val="none"/>
          </c:marker>
          <c:val>
            <c:numRef>
              <c:f>'MWS 2015 chemistry'!$Y$3:$Y$23</c:f>
              <c:numCache>
                <c:formatCode>General</c:formatCode>
                <c:ptCount val="21"/>
                <c:pt idx="0">
                  <c:v>84</c:v>
                </c:pt>
                <c:pt idx="1">
                  <c:v>42</c:v>
                </c:pt>
                <c:pt idx="2">
                  <c:v>46</c:v>
                </c:pt>
                <c:pt idx="3">
                  <c:v>31</c:v>
                </c:pt>
                <c:pt idx="6">
                  <c:v>35</c:v>
                </c:pt>
                <c:pt idx="7">
                  <c:v>119</c:v>
                </c:pt>
                <c:pt idx="8">
                  <c:v>201</c:v>
                </c:pt>
                <c:pt idx="9">
                  <c:v>395</c:v>
                </c:pt>
                <c:pt idx="10">
                  <c:v>411</c:v>
                </c:pt>
                <c:pt idx="11">
                  <c:v>273</c:v>
                </c:pt>
                <c:pt idx="12">
                  <c:v>853</c:v>
                </c:pt>
                <c:pt idx="13">
                  <c:v>127</c:v>
                </c:pt>
                <c:pt idx="14">
                  <c:v>43</c:v>
                </c:pt>
                <c:pt idx="15">
                  <c:v>492</c:v>
                </c:pt>
                <c:pt idx="18">
                  <c:v>788</c:v>
                </c:pt>
                <c:pt idx="19">
                  <c:v>307</c:v>
                </c:pt>
                <c:pt idx="2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48-459F-B6DB-0AA12CCFE270}"/>
            </c:ext>
          </c:extLst>
        </c:ser>
        <c:ser>
          <c:idx val="2"/>
          <c:order val="4"/>
          <c:tx>
            <c:strRef>
              <c:f>'MWS 2015 chemistry'!$AB$1:$AE$1</c:f>
              <c:strCache>
                <c:ptCount val="1"/>
                <c:pt idx="0">
                  <c:v>10/26/2015</c:v>
                </c:pt>
              </c:strCache>
            </c:strRef>
          </c:tx>
          <c:marker>
            <c:symbol val="none"/>
          </c:marker>
          <c:val>
            <c:numRef>
              <c:f>'MWS 2015 chemistry'!$AC$3:$AC$23</c:f>
              <c:numCache>
                <c:formatCode>General</c:formatCode>
                <c:ptCount val="21"/>
                <c:pt idx="0">
                  <c:v>125</c:v>
                </c:pt>
                <c:pt idx="1">
                  <c:v>63</c:v>
                </c:pt>
                <c:pt idx="2">
                  <c:v>64</c:v>
                </c:pt>
                <c:pt idx="3">
                  <c:v>40</c:v>
                </c:pt>
                <c:pt idx="6">
                  <c:v>70</c:v>
                </c:pt>
                <c:pt idx="7">
                  <c:v>147</c:v>
                </c:pt>
                <c:pt idx="8">
                  <c:v>288</c:v>
                </c:pt>
                <c:pt idx="9">
                  <c:v>454</c:v>
                </c:pt>
                <c:pt idx="10">
                  <c:v>464</c:v>
                </c:pt>
                <c:pt idx="11">
                  <c:v>486</c:v>
                </c:pt>
                <c:pt idx="12">
                  <c:v>1039</c:v>
                </c:pt>
                <c:pt idx="13">
                  <c:v>377</c:v>
                </c:pt>
                <c:pt idx="14">
                  <c:v>39</c:v>
                </c:pt>
                <c:pt idx="15">
                  <c:v>417</c:v>
                </c:pt>
                <c:pt idx="18">
                  <c:v>1177</c:v>
                </c:pt>
                <c:pt idx="19">
                  <c:v>115</c:v>
                </c:pt>
                <c:pt idx="20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48-459F-B6DB-0AA12CCFE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60608"/>
        <c:axId val="119462144"/>
      </c:lineChart>
      <c:catAx>
        <c:axId val="119460608"/>
        <c:scaling>
          <c:orientation val="minMax"/>
        </c:scaling>
        <c:delete val="0"/>
        <c:axPos val="t"/>
        <c:majorTickMark val="none"/>
        <c:minorTickMark val="none"/>
        <c:tickLblPos val="nextTo"/>
        <c:crossAx val="119462144"/>
        <c:crosses val="autoZero"/>
        <c:auto val="1"/>
        <c:lblAlgn val="ctr"/>
        <c:lblOffset val="100"/>
        <c:noMultiLvlLbl val="0"/>
      </c:catAx>
      <c:valAx>
        <c:axId val="119462144"/>
        <c:scaling>
          <c:orientation val="maxMin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Nitrogen ug/l</a:t>
                </a:r>
              </a:p>
            </c:rich>
          </c:tx>
          <c:layout>
            <c:manualLayout>
              <c:xMode val="edge"/>
              <c:yMode val="edge"/>
              <c:x val="6.3805582295943408E-2"/>
              <c:y val="9.9448654969482048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19460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36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Phosphorus (pounds) June and October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chemistry'!$AR$17</c:f>
              <c:strCache>
                <c:ptCount val="1"/>
                <c:pt idx="0">
                  <c:v>TP - June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0815-46A8-8292-9813FA8D9F28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815-46A8-8292-9813FA8D9F28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0815-46A8-8292-9813FA8D9F28}"/>
              </c:ext>
            </c:extLst>
          </c:dPt>
          <c:cat>
            <c:strRef>
              <c:f>'MWS 2015 chemistry'!$AK$18:$AK$25</c:f>
              <c:strCache>
                <c:ptCount val="8"/>
                <c:pt idx="0">
                  <c:v>Site 64 Upper Hiwan</c:v>
                </c:pt>
                <c:pt idx="1">
                  <c:v>Site 79 Lewis Road Drainage</c:v>
                </c:pt>
                <c:pt idx="2">
                  <c:v>Upstream West Jeff</c:v>
                </c:pt>
                <c:pt idx="3">
                  <c:v>Site 21 West Jeff County MD</c:v>
                </c:pt>
                <c:pt idx="4">
                  <c:v>North Troublesome System</c:v>
                </c:pt>
                <c:pt idx="5">
                  <c:v>Stagecoach Road Drainage</c:v>
                </c:pt>
                <c:pt idx="6">
                  <c:v>Site 80 Below Confluence</c:v>
                </c:pt>
                <c:pt idx="7">
                  <c:v>Site 32 Confluence Bear Creek</c:v>
                </c:pt>
              </c:strCache>
            </c:strRef>
          </c:cat>
          <c:val>
            <c:numRef>
              <c:f>'MWS 2015 chemistry'!$AR$18:$AR$25</c:f>
              <c:numCache>
                <c:formatCode>0</c:formatCode>
                <c:ptCount val="8"/>
                <c:pt idx="0">
                  <c:v>36.545230512000003</c:v>
                </c:pt>
                <c:pt idx="1">
                  <c:v>13.412877156</c:v>
                </c:pt>
                <c:pt idx="2" formatCode="#,##0">
                  <c:v>49.958107668000004</c:v>
                </c:pt>
                <c:pt idx="3">
                  <c:v>47.69</c:v>
                </c:pt>
                <c:pt idx="4" formatCode="#,##0">
                  <c:v>97.648107667999994</c:v>
                </c:pt>
                <c:pt idx="5" formatCode="#,##0">
                  <c:v>38.424559131999985</c:v>
                </c:pt>
                <c:pt idx="6">
                  <c:v>136.07266679999998</c:v>
                </c:pt>
                <c:pt idx="7">
                  <c:v>452.53881187200011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5-46A8-8292-9813FA8D9F28}"/>
            </c:ext>
          </c:extLst>
        </c:ser>
        <c:ser>
          <c:idx val="1"/>
          <c:order val="1"/>
          <c:tx>
            <c:strRef>
              <c:f>'MWS 2015 chemistry'!$AX$17</c:f>
              <c:strCache>
                <c:ptCount val="1"/>
                <c:pt idx="0">
                  <c:v>TP- Oct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2015 chemistry'!$AX$18:$AX$25</c:f>
              <c:numCache>
                <c:formatCode>0.0</c:formatCode>
                <c:ptCount val="8"/>
                <c:pt idx="0" formatCode="0">
                  <c:v>2.4622673040000005</c:v>
                </c:pt>
                <c:pt idx="1">
                  <c:v>9.7194762000000018E-2</c:v>
                </c:pt>
                <c:pt idx="2" formatCode="#,##0">
                  <c:v>2.5594620660000005</c:v>
                </c:pt>
                <c:pt idx="3" formatCode="0">
                  <c:v>14.7007077525</c:v>
                </c:pt>
                <c:pt idx="4" formatCode="#,##0">
                  <c:v>17.2601698185</c:v>
                </c:pt>
                <c:pt idx="5" formatCode="#,##0">
                  <c:v>57.968575969500009</c:v>
                </c:pt>
                <c:pt idx="6" formatCode="0">
                  <c:v>75.228745788000012</c:v>
                </c:pt>
                <c:pt idx="7" formatCode="0">
                  <c:v>100.95295946400002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43-4D46-BF96-0B9FC0675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701504"/>
        <c:axId val="119703040"/>
      </c:barChart>
      <c:catAx>
        <c:axId val="11970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03040"/>
        <c:crosses val="autoZero"/>
        <c:auto val="1"/>
        <c:lblAlgn val="ctr"/>
        <c:lblOffset val="100"/>
        <c:noMultiLvlLbl val="0"/>
      </c:catAx>
      <c:valAx>
        <c:axId val="1197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01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chemistry'!$AN$17</c:f>
              <c:strCache>
                <c:ptCount val="1"/>
                <c:pt idx="0">
                  <c:v>ac-ft/ mo (June)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9808-41F2-87BA-A20003042004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808-41F2-87BA-A20003042004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9808-41F2-87BA-A20003042004}"/>
              </c:ext>
            </c:extLst>
          </c:dPt>
          <c:cat>
            <c:strRef>
              <c:f>'MWS 2015 chemistry'!$AK$18:$AK$25</c:f>
              <c:strCache>
                <c:ptCount val="8"/>
                <c:pt idx="0">
                  <c:v>Site 64 Upper Hiwan</c:v>
                </c:pt>
                <c:pt idx="1">
                  <c:v>Site 79 Lewis Road Drainage</c:v>
                </c:pt>
                <c:pt idx="2">
                  <c:v>Upstream West Jeff</c:v>
                </c:pt>
                <c:pt idx="3">
                  <c:v>Site 21 West Jeff County MD</c:v>
                </c:pt>
                <c:pt idx="4">
                  <c:v>North Troublesome System</c:v>
                </c:pt>
                <c:pt idx="5">
                  <c:v>Stagecoach Road Drainage</c:v>
                </c:pt>
                <c:pt idx="6">
                  <c:v>Site 80 Below Confluence</c:v>
                </c:pt>
                <c:pt idx="7">
                  <c:v>Site 32 Confluence Bear Creek</c:v>
                </c:pt>
              </c:strCache>
            </c:strRef>
          </c:cat>
          <c:val>
            <c:numRef>
              <c:f>'MWS 2015 chemistry'!$AN$18:$AN$25</c:f>
              <c:numCache>
                <c:formatCode>#,##0</c:formatCode>
                <c:ptCount val="8"/>
                <c:pt idx="0">
                  <c:v>279.60300000000001</c:v>
                </c:pt>
                <c:pt idx="1">
                  <c:v>107.08200000000001</c:v>
                </c:pt>
                <c:pt idx="2">
                  <c:v>386.685</c:v>
                </c:pt>
                <c:pt idx="3">
                  <c:v>46.753191000000001</c:v>
                </c:pt>
                <c:pt idx="4">
                  <c:v>433.43819100000002</c:v>
                </c:pt>
                <c:pt idx="5">
                  <c:v>232.84980899999988</c:v>
                </c:pt>
                <c:pt idx="6">
                  <c:v>666.2879999999999</c:v>
                </c:pt>
                <c:pt idx="7">
                  <c:v>856.65600000000006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8-41F2-87BA-A20003042004}"/>
            </c:ext>
          </c:extLst>
        </c:ser>
        <c:ser>
          <c:idx val="1"/>
          <c:order val="1"/>
          <c:tx>
            <c:strRef>
              <c:f>'MWS 2015 chemistry'!$AT$17</c:f>
              <c:strCache>
                <c:ptCount val="1"/>
                <c:pt idx="0">
                  <c:v>ac-ft/ mo (Oct)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2015 chemistry'!$AT$18:$AT$25</c:f>
              <c:numCache>
                <c:formatCode>#,##0</c:formatCode>
                <c:ptCount val="8"/>
                <c:pt idx="0">
                  <c:v>23.796000000000003</c:v>
                </c:pt>
                <c:pt idx="1">
                  <c:v>17.847000000000001</c:v>
                </c:pt>
                <c:pt idx="2">
                  <c:v>41.643000000000001</c:v>
                </c:pt>
                <c:pt idx="3">
                  <c:v>44.6175</c:v>
                </c:pt>
                <c:pt idx="4">
                  <c:v>86.260500000000008</c:v>
                </c:pt>
                <c:pt idx="5">
                  <c:v>234.98550000000003</c:v>
                </c:pt>
                <c:pt idx="6">
                  <c:v>321.24600000000004</c:v>
                </c:pt>
                <c:pt idx="7">
                  <c:v>452.12400000000002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DD-41BF-B4D9-548DCD88B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730176"/>
        <c:axId val="119731712"/>
      </c:barChart>
      <c:catAx>
        <c:axId val="11973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31712"/>
        <c:crosses val="autoZero"/>
        <c:auto val="1"/>
        <c:lblAlgn val="ctr"/>
        <c:lblOffset val="100"/>
        <c:noMultiLvlLbl val="0"/>
      </c:catAx>
      <c:valAx>
        <c:axId val="1197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2015 Est Flow</a:t>
                </a:r>
              </a:p>
            </c:rich>
          </c:tx>
          <c:layout>
            <c:manualLayout>
              <c:xMode val="edge"/>
              <c:yMode val="edge"/>
              <c:x val="6.612213146635551E-2"/>
              <c:y val="0.284483470465068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3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Nitrogen (Pounds) June and October</a:t>
            </a:r>
          </a:p>
        </c:rich>
      </c:tx>
      <c:layout>
        <c:manualLayout>
          <c:xMode val="edge"/>
          <c:yMode val="edge"/>
          <c:x val="0.390312054632746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8687385808223"/>
          <c:y val="0.12385425780110819"/>
          <c:w val="0.85731909394717887"/>
          <c:h val="0.55277413240011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2015 chemistry'!$AQ$17</c:f>
              <c:strCache>
                <c:ptCount val="1"/>
                <c:pt idx="0">
                  <c:v>TN -June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0E7F-4582-B27C-4C7796CEEE78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E7F-4582-B27C-4C7796CEEE78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0E7F-4582-B27C-4C7796CEEE78}"/>
              </c:ext>
            </c:extLst>
          </c:dPt>
          <c:cat>
            <c:strRef>
              <c:f>'MWS 2015 chemistry'!$AK$18:$AK$25</c:f>
              <c:strCache>
                <c:ptCount val="8"/>
                <c:pt idx="0">
                  <c:v>Site 64 Upper Hiwan</c:v>
                </c:pt>
                <c:pt idx="1">
                  <c:v>Site 79 Lewis Road Drainage</c:v>
                </c:pt>
                <c:pt idx="2">
                  <c:v>Upstream West Jeff</c:v>
                </c:pt>
                <c:pt idx="3">
                  <c:v>Site 21 West Jeff County MD</c:v>
                </c:pt>
                <c:pt idx="4">
                  <c:v>North Troublesome System</c:v>
                </c:pt>
                <c:pt idx="5">
                  <c:v>Stagecoach Road Drainage</c:v>
                </c:pt>
                <c:pt idx="6">
                  <c:v>Site 80 Below Confluence</c:v>
                </c:pt>
                <c:pt idx="7">
                  <c:v>Site 32 Confluence Bear Creek</c:v>
                </c:pt>
              </c:strCache>
            </c:strRef>
          </c:cat>
          <c:val>
            <c:numRef>
              <c:f>'MWS 2015 chemistry'!$AQ$18:$AQ$25</c:f>
              <c:numCache>
                <c:formatCode>0</c:formatCode>
                <c:ptCount val="8"/>
                <c:pt idx="0">
                  <c:v>505.54235541600002</c:v>
                </c:pt>
                <c:pt idx="1">
                  <c:v>400.63680896400001</c:v>
                </c:pt>
                <c:pt idx="2" formatCode="#,##0">
                  <c:v>906.17916437999997</c:v>
                </c:pt>
                <c:pt idx="3">
                  <c:v>636.54469546500013</c:v>
                </c:pt>
                <c:pt idx="4" formatCode="#,##0">
                  <c:v>1542.7238598450001</c:v>
                </c:pt>
                <c:pt idx="5" formatCode="#,##0">
                  <c:v>1458.1320186509995</c:v>
                </c:pt>
                <c:pt idx="6">
                  <c:v>3000.8558784959996</c:v>
                </c:pt>
                <c:pt idx="7">
                  <c:v>2712.9001969440005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7F-4582-B27C-4C7796CEEE78}"/>
            </c:ext>
          </c:extLst>
        </c:ser>
        <c:ser>
          <c:idx val="1"/>
          <c:order val="1"/>
          <c:tx>
            <c:strRef>
              <c:f>'MWS 2015 chemistry'!$AW$17</c:f>
              <c:strCache>
                <c:ptCount val="1"/>
                <c:pt idx="0">
                  <c:v>TN - Oct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2015 chemistry'!$AW$18:$AW$25</c:f>
              <c:numCache>
                <c:formatCode>0</c:formatCode>
                <c:ptCount val="8"/>
                <c:pt idx="0">
                  <c:v>45.357555600000005</c:v>
                </c:pt>
                <c:pt idx="1">
                  <c:v>66.384022446000003</c:v>
                </c:pt>
                <c:pt idx="2" formatCode="#,##0">
                  <c:v>111.741578046</c:v>
                </c:pt>
                <c:pt idx="3">
                  <c:v>511.00146121500001</c:v>
                </c:pt>
                <c:pt idx="4" formatCode="#,##0">
                  <c:v>622.74303926100004</c:v>
                </c:pt>
                <c:pt idx="5" formatCode="#,##0">
                  <c:v>1344.5761383810004</c:v>
                </c:pt>
                <c:pt idx="6">
                  <c:v>1967.3191776420003</c:v>
                </c:pt>
                <c:pt idx="7">
                  <c:v>2187.7244996039999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44-4D77-A207-375DB2D55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758848"/>
        <c:axId val="119760384"/>
      </c:barChart>
      <c:catAx>
        <c:axId val="11975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60384"/>
        <c:crosses val="autoZero"/>
        <c:auto val="1"/>
        <c:lblAlgn val="ctr"/>
        <c:lblOffset val="100"/>
        <c:noMultiLvlLbl val="0"/>
      </c:catAx>
      <c:valAx>
        <c:axId val="11976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2015 Total Nitrogen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58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Phosphorus Pounds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74989744539495"/>
          <c:y val="0.11200240594925642"/>
          <c:w val="0.83689279503962422"/>
          <c:h val="0.63110746573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2015 chemistry'!$BF$18</c:f>
              <c:strCache>
                <c:ptCount val="1"/>
                <c:pt idx="0">
                  <c:v>TP - May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AC88-44EC-83B0-AE2A5CD82F23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C88-44EC-83B0-AE2A5CD82F23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C88-44EC-83B0-AE2A5CD82F23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C88-44EC-83B0-AE2A5CD82F23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AC88-44EC-83B0-AE2A5CD82F23}"/>
              </c:ext>
            </c:extLst>
          </c:dPt>
          <c:cat>
            <c:strRef>
              <c:f>'MWS 2015 chemistry'!$AZ$19:$AZ$27</c:f>
              <c:strCache>
                <c:ptCount val="9"/>
                <c:pt idx="0">
                  <c:v>Site 58 Upper Bear</c:v>
                </c:pt>
                <c:pt idx="1">
                  <c:v>Site 25 Vance</c:v>
                </c:pt>
                <c:pt idx="2">
                  <c:v>Bear Creek + Vance</c:v>
                </c:pt>
                <c:pt idx="3">
                  <c:v>Site 2A Goldenwillow</c:v>
                </c:pt>
                <c:pt idx="4">
                  <c:v>Site 77 Witter Gulch</c:v>
                </c:pt>
                <c:pt idx="5">
                  <c:v>Bear Creek + Witter</c:v>
                </c:pt>
                <c:pt idx="6">
                  <c:v>Site 78 Buffalo Creek</c:v>
                </c:pt>
                <c:pt idx="7">
                  <c:v>Bear Creek + Buffalo</c:v>
                </c:pt>
                <c:pt idx="8">
                  <c:v>Site 3A Keys Green</c:v>
                </c:pt>
              </c:strCache>
            </c:strRef>
          </c:cat>
          <c:val>
            <c:numRef>
              <c:f>'MWS 2015 chemistry'!$BF$19:$BF$27</c:f>
              <c:numCache>
                <c:formatCode>#,##0</c:formatCode>
                <c:ptCount val="9"/>
                <c:pt idx="0">
                  <c:v>952.50866760000008</c:v>
                </c:pt>
                <c:pt idx="1">
                  <c:v>1118.0637455400001</c:v>
                </c:pt>
                <c:pt idx="2">
                  <c:v>2070.5724131400002</c:v>
                </c:pt>
                <c:pt idx="3">
                  <c:v>2442.8283516000001</c:v>
                </c:pt>
                <c:pt idx="4">
                  <c:v>195.507263763</c:v>
                </c:pt>
                <c:pt idx="5">
                  <c:v>2638.3356153630002</c:v>
                </c:pt>
                <c:pt idx="6">
                  <c:v>435.91850757000003</c:v>
                </c:pt>
                <c:pt idx="7">
                  <c:v>3074.2541229330004</c:v>
                </c:pt>
                <c:pt idx="8">
                  <c:v>3429.6791684400005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88-44EC-83B0-AE2A5CD82F23}"/>
            </c:ext>
          </c:extLst>
        </c:ser>
        <c:ser>
          <c:idx val="1"/>
          <c:order val="1"/>
          <c:tx>
            <c:strRef>
              <c:f>'MWS 2015 chemistry'!$BL$18</c:f>
              <c:strCache>
                <c:ptCount val="1"/>
                <c:pt idx="0">
                  <c:v>TP - Oct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2015 chemistry'!$BL$19:$BL$27</c:f>
              <c:numCache>
                <c:formatCode>#,##0</c:formatCode>
                <c:ptCount val="9"/>
                <c:pt idx="0">
                  <c:v>5.7668892120000006</c:v>
                </c:pt>
                <c:pt idx="1">
                  <c:v>1.328328414</c:v>
                </c:pt>
                <c:pt idx="2">
                  <c:v>7.0952176260000002</c:v>
                </c:pt>
                <c:pt idx="3">
                  <c:v>5.7992874660000009</c:v>
                </c:pt>
                <c:pt idx="4">
                  <c:v>3.6286044479999995</c:v>
                </c:pt>
                <c:pt idx="5">
                  <c:v>9.4278919139999999</c:v>
                </c:pt>
                <c:pt idx="6">
                  <c:v>0.5021729370000001</c:v>
                </c:pt>
                <c:pt idx="7">
                  <c:v>9.9300648510000009</c:v>
                </c:pt>
                <c:pt idx="8">
                  <c:v>84.235460400000008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AC-4300-8C98-B1C8B0EDD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812864"/>
        <c:axId val="119814400"/>
      </c:barChart>
      <c:catAx>
        <c:axId val="11981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14400"/>
        <c:crosses val="autoZero"/>
        <c:auto val="1"/>
        <c:lblAlgn val="ctr"/>
        <c:lblOffset val="100"/>
        <c:noMultiLvlLbl val="0"/>
      </c:catAx>
      <c:valAx>
        <c:axId val="1198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12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chemistry'!$BB$18</c:f>
              <c:strCache>
                <c:ptCount val="1"/>
                <c:pt idx="0">
                  <c:v>ac-ft/ mo (May)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D310-42E8-9DF8-152DC02C3410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310-42E8-9DF8-152DC02C3410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D310-42E8-9DF8-152DC02C3410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310-42E8-9DF8-152DC02C3410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D310-42E8-9DF8-152DC02C3410}"/>
              </c:ext>
            </c:extLst>
          </c:dPt>
          <c:cat>
            <c:strRef>
              <c:f>'MWS 2015 chemistry'!$AZ$19:$AZ$27</c:f>
              <c:strCache>
                <c:ptCount val="9"/>
                <c:pt idx="0">
                  <c:v>Site 58 Upper Bear</c:v>
                </c:pt>
                <c:pt idx="1">
                  <c:v>Site 25 Vance</c:v>
                </c:pt>
                <c:pt idx="2">
                  <c:v>Bear Creek + Vance</c:v>
                </c:pt>
                <c:pt idx="3">
                  <c:v>Site 2A Goldenwillow</c:v>
                </c:pt>
                <c:pt idx="4">
                  <c:v>Site 77 Witter Gulch</c:v>
                </c:pt>
                <c:pt idx="5">
                  <c:v>Bear Creek + Witter</c:v>
                </c:pt>
                <c:pt idx="6">
                  <c:v>Site 78 Buffalo Creek</c:v>
                </c:pt>
                <c:pt idx="7">
                  <c:v>Bear Creek + Buffalo</c:v>
                </c:pt>
                <c:pt idx="8">
                  <c:v>Site 3A Keys Green</c:v>
                </c:pt>
              </c:strCache>
            </c:strRef>
          </c:cat>
          <c:val>
            <c:numRef>
              <c:f>'MWS 2015 chemistry'!$BB$19:$BB$27</c:f>
              <c:numCache>
                <c:formatCode>#,##0</c:formatCode>
                <c:ptCount val="9"/>
                <c:pt idx="0">
                  <c:v>8328.6</c:v>
                </c:pt>
                <c:pt idx="1">
                  <c:v>7079.31</c:v>
                </c:pt>
                <c:pt idx="2">
                  <c:v>15407.91</c:v>
                </c:pt>
                <c:pt idx="3">
                  <c:v>15467.400000000001</c:v>
                </c:pt>
                <c:pt idx="4">
                  <c:v>886.40100000000007</c:v>
                </c:pt>
                <c:pt idx="5">
                  <c:v>16353.801000000001</c:v>
                </c:pt>
                <c:pt idx="6">
                  <c:v>2320.11</c:v>
                </c:pt>
                <c:pt idx="7">
                  <c:v>18673.911</c:v>
                </c:pt>
                <c:pt idx="8">
                  <c:v>18798.84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10-42E8-9DF8-152DC02C3410}"/>
            </c:ext>
          </c:extLst>
        </c:ser>
        <c:ser>
          <c:idx val="1"/>
          <c:order val="1"/>
          <c:tx>
            <c:strRef>
              <c:f>'MWS 2015 chemistry'!$BH$18</c:f>
              <c:strCache>
                <c:ptCount val="1"/>
                <c:pt idx="0">
                  <c:v>ac-ft/ mo (Oct)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2015 chemistry'!$BH$19:$BH$27</c:f>
              <c:numCache>
                <c:formatCode>#,##0</c:formatCode>
                <c:ptCount val="9"/>
                <c:pt idx="0">
                  <c:v>1058.922</c:v>
                </c:pt>
                <c:pt idx="1">
                  <c:v>243.90899999999999</c:v>
                </c:pt>
                <c:pt idx="2">
                  <c:v>1302.8310000000001</c:v>
                </c:pt>
                <c:pt idx="3">
                  <c:v>1064.8710000000001</c:v>
                </c:pt>
                <c:pt idx="4">
                  <c:v>41.642999999999994</c:v>
                </c:pt>
                <c:pt idx="5">
                  <c:v>1106.5140000000001</c:v>
                </c:pt>
                <c:pt idx="6">
                  <c:v>5.9490000000000007</c:v>
                </c:pt>
                <c:pt idx="7">
                  <c:v>1112.463</c:v>
                </c:pt>
                <c:pt idx="8">
                  <c:v>1546.74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4E-433B-859B-7AC588972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867264"/>
        <c:axId val="119868800"/>
      </c:barChart>
      <c:catAx>
        <c:axId val="11986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68800"/>
        <c:crosses val="autoZero"/>
        <c:auto val="1"/>
        <c:lblAlgn val="ctr"/>
        <c:lblOffset val="100"/>
        <c:noMultiLvlLbl val="0"/>
      </c:catAx>
      <c:valAx>
        <c:axId val="1198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Flow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67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- Nitrate Trends </a:t>
            </a:r>
          </a:p>
        </c:rich>
      </c:tx>
      <c:layout>
        <c:manualLayout>
          <c:xMode val="edge"/>
          <c:yMode val="edge"/>
          <c:x val="0.36973235299229978"/>
          <c:y val="4.143136380982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757261302602"/>
          <c:y val="0.12994386129463856"/>
          <c:w val="0.84948038448836283"/>
          <c:h val="0.700566904371094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'Nitrogen Trends'!$E$105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Trends'!$B$106:$B$128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</c:numCache>
            </c:numRef>
          </c:cat>
          <c:val>
            <c:numRef>
              <c:f>'Nitrogen Trends'!$G$105:$G$129</c:f>
              <c:numCache>
                <c:formatCode>0</c:formatCode>
                <c:ptCount val="25"/>
                <c:pt idx="0">
                  <c:v>745</c:v>
                </c:pt>
                <c:pt idx="1">
                  <c:v>1611</c:v>
                </c:pt>
                <c:pt idx="2">
                  <c:v>807.5</c:v>
                </c:pt>
                <c:pt idx="3">
                  <c:v>866.5</c:v>
                </c:pt>
                <c:pt idx="4">
                  <c:v>713</c:v>
                </c:pt>
                <c:pt idx="5">
                  <c:v>413.5</c:v>
                </c:pt>
                <c:pt idx="6">
                  <c:v>88.660937500000045</c:v>
                </c:pt>
                <c:pt idx="7">
                  <c:v>125.5</c:v>
                </c:pt>
                <c:pt idx="8">
                  <c:v>130.5</c:v>
                </c:pt>
                <c:pt idx="9">
                  <c:v>706</c:v>
                </c:pt>
                <c:pt idx="10">
                  <c:v>342</c:v>
                </c:pt>
                <c:pt idx="11">
                  <c:v>2220</c:v>
                </c:pt>
                <c:pt idx="12">
                  <c:v>992.5</c:v>
                </c:pt>
                <c:pt idx="13">
                  <c:v>167.5</c:v>
                </c:pt>
                <c:pt idx="14">
                  <c:v>557.5</c:v>
                </c:pt>
                <c:pt idx="15">
                  <c:v>798.5</c:v>
                </c:pt>
                <c:pt idx="16">
                  <c:v>317.5</c:v>
                </c:pt>
                <c:pt idx="17">
                  <c:v>662</c:v>
                </c:pt>
                <c:pt idx="18">
                  <c:v>390</c:v>
                </c:pt>
                <c:pt idx="19">
                  <c:v>654.5</c:v>
                </c:pt>
                <c:pt idx="20">
                  <c:v>423.5</c:v>
                </c:pt>
                <c:pt idx="21">
                  <c:v>567.5</c:v>
                </c:pt>
                <c:pt idx="22">
                  <c:v>459.5</c:v>
                </c:pt>
                <c:pt idx="23">
                  <c:v>49</c:v>
                </c:pt>
                <c:pt idx="24">
                  <c:v>176.5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43648"/>
        <c:axId val="107645568"/>
      </c:barChart>
      <c:lineChart>
        <c:grouping val="standard"/>
        <c:varyColors val="0"/>
        <c:ser>
          <c:idx val="0"/>
          <c:order val="0"/>
          <c:tx>
            <c:strRef>
              <c:f>'Nitrogen Trends'!$A$105</c:f>
              <c:strCache>
                <c:ptCount val="1"/>
                <c:pt idx="0">
                  <c:v>Average Inflow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'Nitrogen Trends'!$B$106:$B$130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Trends'!$C$106:$C$130</c:f>
              <c:numCache>
                <c:formatCode>0</c:formatCode>
                <c:ptCount val="25"/>
                <c:pt idx="0">
                  <c:v>1334</c:v>
                </c:pt>
                <c:pt idx="1">
                  <c:v>1936</c:v>
                </c:pt>
                <c:pt idx="2">
                  <c:v>1238.5</c:v>
                </c:pt>
                <c:pt idx="3">
                  <c:v>1217.5</c:v>
                </c:pt>
                <c:pt idx="4">
                  <c:v>1204</c:v>
                </c:pt>
                <c:pt idx="5">
                  <c:v>992.875</c:v>
                </c:pt>
                <c:pt idx="6">
                  <c:v>609.06218750000005</c:v>
                </c:pt>
                <c:pt idx="7">
                  <c:v>530.5</c:v>
                </c:pt>
                <c:pt idx="8">
                  <c:v>356.5</c:v>
                </c:pt>
                <c:pt idx="9">
                  <c:v>1143</c:v>
                </c:pt>
                <c:pt idx="10">
                  <c:v>730</c:v>
                </c:pt>
                <c:pt idx="11">
                  <c:v>2500</c:v>
                </c:pt>
                <c:pt idx="12">
                  <c:v>1260.5</c:v>
                </c:pt>
                <c:pt idx="13">
                  <c:v>414.5</c:v>
                </c:pt>
                <c:pt idx="14">
                  <c:v>790.5</c:v>
                </c:pt>
                <c:pt idx="15">
                  <c:v>994.5</c:v>
                </c:pt>
                <c:pt idx="16">
                  <c:v>578.5</c:v>
                </c:pt>
                <c:pt idx="17">
                  <c:v>882</c:v>
                </c:pt>
                <c:pt idx="18">
                  <c:v>670</c:v>
                </c:pt>
                <c:pt idx="19">
                  <c:v>932.5</c:v>
                </c:pt>
                <c:pt idx="20">
                  <c:v>596.5</c:v>
                </c:pt>
                <c:pt idx="21">
                  <c:v>734.5</c:v>
                </c:pt>
                <c:pt idx="22">
                  <c:v>621.5</c:v>
                </c:pt>
                <c:pt idx="23">
                  <c:v>351</c:v>
                </c:pt>
                <c:pt idx="24">
                  <c:v>582.5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8-4CB4-861F-15C7887A3AC4}"/>
            </c:ext>
          </c:extLst>
        </c:ser>
        <c:ser>
          <c:idx val="1"/>
          <c:order val="1"/>
          <c:tx>
            <c:strRef>
              <c:f>'Nitrogen Trends'!$E$78</c:f>
              <c:strCache>
                <c:ptCount val="1"/>
                <c:pt idx="0">
                  <c:v>Reservoir Outflow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'Nitrogen Trends'!$B$106:$B$130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Trends'!$G$78:$G$102</c:f>
              <c:numCache>
                <c:formatCode>0</c:formatCode>
                <c:ptCount val="25"/>
                <c:pt idx="0">
                  <c:v>589</c:v>
                </c:pt>
                <c:pt idx="1">
                  <c:v>325</c:v>
                </c:pt>
                <c:pt idx="2">
                  <c:v>431</c:v>
                </c:pt>
                <c:pt idx="3">
                  <c:v>351</c:v>
                </c:pt>
                <c:pt idx="4">
                  <c:v>491</c:v>
                </c:pt>
                <c:pt idx="5">
                  <c:v>579.375</c:v>
                </c:pt>
                <c:pt idx="6">
                  <c:v>520.40125</c:v>
                </c:pt>
                <c:pt idx="7">
                  <c:v>405</c:v>
                </c:pt>
                <c:pt idx="8">
                  <c:v>226</c:v>
                </c:pt>
                <c:pt idx="9">
                  <c:v>437</c:v>
                </c:pt>
                <c:pt idx="10">
                  <c:v>388</c:v>
                </c:pt>
                <c:pt idx="11">
                  <c:v>280</c:v>
                </c:pt>
                <c:pt idx="12">
                  <c:v>268</c:v>
                </c:pt>
                <c:pt idx="13">
                  <c:v>247</c:v>
                </c:pt>
                <c:pt idx="14">
                  <c:v>233</c:v>
                </c:pt>
                <c:pt idx="15">
                  <c:v>196</c:v>
                </c:pt>
                <c:pt idx="16">
                  <c:v>261</c:v>
                </c:pt>
                <c:pt idx="17">
                  <c:v>220</c:v>
                </c:pt>
                <c:pt idx="18">
                  <c:v>280</c:v>
                </c:pt>
                <c:pt idx="19">
                  <c:v>278</c:v>
                </c:pt>
                <c:pt idx="20">
                  <c:v>173</c:v>
                </c:pt>
                <c:pt idx="21">
                  <c:v>167</c:v>
                </c:pt>
                <c:pt idx="22">
                  <c:v>162</c:v>
                </c:pt>
                <c:pt idx="23">
                  <c:v>302</c:v>
                </c:pt>
                <c:pt idx="24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3648"/>
        <c:axId val="107645568"/>
      </c:lineChart>
      <c:catAx>
        <c:axId val="1076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5568"/>
        <c:crossesAt val="-500"/>
        <c:auto val="1"/>
        <c:lblAlgn val="ctr"/>
        <c:lblOffset val="100"/>
        <c:tickLblSkip val="1"/>
        <c:tickMarkSkip val="1"/>
        <c:noMultiLvlLbl val="0"/>
      </c:catAx>
      <c:valAx>
        <c:axId val="10764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3.7567084078711989E-2"/>
              <c:y val="0.364407669380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364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Nitrogen Pounds</a:t>
            </a:r>
          </a:p>
        </c:rich>
      </c:tx>
      <c:layout>
        <c:manualLayout>
          <c:xMode val="edge"/>
          <c:yMode val="edge"/>
          <c:x val="0.34254818993888109"/>
          <c:y val="3.72856077554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38793317267157"/>
          <c:y val="0.121261665208517"/>
          <c:w val="0.82175405084237563"/>
          <c:h val="0.5992556138815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2015 chemistry'!$BE$18</c:f>
              <c:strCache>
                <c:ptCount val="1"/>
                <c:pt idx="0">
                  <c:v>TN - May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0928-4100-89BC-3CDF707E5A3F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928-4100-89BC-3CDF707E5A3F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0928-4100-89BC-3CDF707E5A3F}"/>
              </c:ext>
            </c:extLst>
          </c:dPt>
          <c:cat>
            <c:strRef>
              <c:f>'MWS 2015 chemistry'!$AZ$19:$AZ$27</c:f>
              <c:strCache>
                <c:ptCount val="9"/>
                <c:pt idx="0">
                  <c:v>Site 58 Upper Bear</c:v>
                </c:pt>
                <c:pt idx="1">
                  <c:v>Site 25 Vance</c:v>
                </c:pt>
                <c:pt idx="2">
                  <c:v>Bear Creek + Vance</c:v>
                </c:pt>
                <c:pt idx="3">
                  <c:v>Site 2A Goldenwillow</c:v>
                </c:pt>
                <c:pt idx="4">
                  <c:v>Site 77 Witter Gulch</c:v>
                </c:pt>
                <c:pt idx="5">
                  <c:v>Bear Creek + Witter</c:v>
                </c:pt>
                <c:pt idx="6">
                  <c:v>Site 78 Buffalo Creek</c:v>
                </c:pt>
                <c:pt idx="7">
                  <c:v>Bear Creek + Buffalo</c:v>
                </c:pt>
                <c:pt idx="8">
                  <c:v>Site 3A Keys Green</c:v>
                </c:pt>
              </c:strCache>
            </c:strRef>
          </c:cat>
          <c:val>
            <c:numRef>
              <c:f>'MWS 2015 chemistry'!$BE$19:$BE$27</c:f>
              <c:numCache>
                <c:formatCode>#,##0</c:formatCode>
                <c:ptCount val="9"/>
                <c:pt idx="0">
                  <c:v>8164.3600080000006</c:v>
                </c:pt>
                <c:pt idx="1">
                  <c:v>5069.8407771900002</c:v>
                </c:pt>
                <c:pt idx="2">
                  <c:v>13234.200785190002</c:v>
                </c:pt>
                <c:pt idx="3">
                  <c:v>14699.087839800002</c:v>
                </c:pt>
                <c:pt idx="4">
                  <c:v>1634.0545378710003</c:v>
                </c:pt>
                <c:pt idx="5">
                  <c:v>16333.142377671003</c:v>
                </c:pt>
                <c:pt idx="6">
                  <c:v>4649.7974140800006</c:v>
                </c:pt>
                <c:pt idx="7">
                  <c:v>20982.939791751003</c:v>
                </c:pt>
                <c:pt idx="8">
                  <c:v>18120.991427280002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28-4100-89BC-3CDF707E5A3F}"/>
            </c:ext>
          </c:extLst>
        </c:ser>
        <c:ser>
          <c:idx val="1"/>
          <c:order val="1"/>
          <c:tx>
            <c:strRef>
              <c:f>'MWS 2015 chemistry'!$BK$18</c:f>
              <c:strCache>
                <c:ptCount val="1"/>
                <c:pt idx="0">
                  <c:v>TN - Oct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2015 chemistry'!$BK$19:$BK$27</c:f>
              <c:numCache>
                <c:formatCode>#,##0</c:formatCode>
                <c:ptCount val="9"/>
                <c:pt idx="0">
                  <c:v>92.27022739200001</c:v>
                </c:pt>
                <c:pt idx="1">
                  <c:v>26.566568280000002</c:v>
                </c:pt>
                <c:pt idx="2">
                  <c:v>118.83679567200001</c:v>
                </c:pt>
                <c:pt idx="3">
                  <c:v>359.55582289200004</c:v>
                </c:pt>
                <c:pt idx="4">
                  <c:v>20.41090002</c:v>
                </c:pt>
                <c:pt idx="5">
                  <c:v>379.96672291200002</c:v>
                </c:pt>
                <c:pt idx="6">
                  <c:v>4.6653485760000004</c:v>
                </c:pt>
                <c:pt idx="7">
                  <c:v>384.63207148800001</c:v>
                </c:pt>
                <c:pt idx="8">
                  <c:v>724.42495944000007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BD-47D8-8F17-517696F7C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9890688"/>
        <c:axId val="119892224"/>
      </c:barChart>
      <c:catAx>
        <c:axId val="11989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2224"/>
        <c:crosses val="autoZero"/>
        <c:auto val="1"/>
        <c:lblAlgn val="ctr"/>
        <c:lblOffset val="100"/>
        <c:noMultiLvlLbl val="0"/>
      </c:catAx>
      <c:valAx>
        <c:axId val="11989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TN Load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0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22222222222231"/>
          <c:y val="4.8567452690460866E-2"/>
          <c:w val="0.7093333333333337"/>
          <c:h val="0.72598115196230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2015 chemistry'!$BO$81</c:f>
              <c:strCache>
                <c:ptCount val="1"/>
                <c:pt idx="0">
                  <c:v>Total Nitrogen</c:v>
                </c:pt>
              </c:strCache>
            </c:strRef>
          </c:tx>
          <c:invertIfNegative val="0"/>
          <c:cat>
            <c:numRef>
              <c:f>'MWS 2015 chemistry'!$BP$80:$BR$80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'MWS 2015 chemistry'!$BP$81:$BR$81</c:f>
              <c:numCache>
                <c:formatCode>#,##0</c:formatCode>
                <c:ptCount val="3"/>
                <c:pt idx="0">
                  <c:v>1952</c:v>
                </c:pt>
                <c:pt idx="1">
                  <c:v>4572</c:v>
                </c:pt>
                <c:pt idx="2">
                  <c:v>15189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D-4396-A46E-59274DFB5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35744"/>
        <c:axId val="119937280"/>
      </c:barChart>
      <c:lineChart>
        <c:grouping val="standard"/>
        <c:varyColors val="0"/>
        <c:ser>
          <c:idx val="1"/>
          <c:order val="1"/>
          <c:tx>
            <c:strRef>
              <c:f>'MWS 2015 chemistry'!$BO$84</c:f>
              <c:strCache>
                <c:ptCount val="1"/>
                <c:pt idx="0">
                  <c:v>ac-ft/ Season</c:v>
                </c:pt>
              </c:strCache>
            </c:strRef>
          </c:tx>
          <c:marker>
            <c:symbol val="none"/>
          </c:marker>
          <c:val>
            <c:numRef>
              <c:f>'MWS 2015 chemistry'!$BP$84:$BR$84</c:f>
              <c:numCache>
                <c:formatCode>#,##0</c:formatCode>
                <c:ptCount val="3"/>
                <c:pt idx="0">
                  <c:v>530</c:v>
                </c:pt>
                <c:pt idx="1">
                  <c:v>1468</c:v>
                </c:pt>
                <c:pt idx="2">
                  <c:v>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D-4396-A46E-59274DFB5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35744"/>
        <c:axId val="119937280"/>
      </c:lineChart>
      <c:catAx>
        <c:axId val="11993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937280"/>
        <c:crosses val="autoZero"/>
        <c:auto val="1"/>
        <c:lblAlgn val="ctr"/>
        <c:lblOffset val="100"/>
        <c:noMultiLvlLbl val="0"/>
      </c:catAx>
      <c:valAx>
        <c:axId val="119937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Nitrogen pounds/season</a:t>
                </a:r>
              </a:p>
            </c:rich>
          </c:tx>
          <c:layout>
            <c:manualLayout>
              <c:xMode val="edge"/>
              <c:yMode val="edge"/>
              <c:x val="7.7261592300962384E-2"/>
              <c:y val="0.1270323985092418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19935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23622047244092"/>
          <c:y val="5.1400554097404488E-2"/>
          <c:w val="0.6836526684164479"/>
          <c:h val="0.7099967191601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2015 chemistry'!$BO$82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cat>
            <c:numRef>
              <c:f>'MWS 2015 chemistry'!$BP$80:$BR$80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'MWS 2015 chemistry'!$BP$82:$BR$82</c:f>
              <c:numCache>
                <c:formatCode>#,##0</c:formatCode>
                <c:ptCount val="3"/>
                <c:pt idx="0">
                  <c:v>26</c:v>
                </c:pt>
                <c:pt idx="1">
                  <c:v>85</c:v>
                </c:pt>
                <c:pt idx="2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0-41C4-AC4B-C65D523B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75936"/>
        <c:axId val="119977472"/>
      </c:barChart>
      <c:lineChart>
        <c:grouping val="standard"/>
        <c:varyColors val="0"/>
        <c:ser>
          <c:idx val="1"/>
          <c:order val="1"/>
          <c:tx>
            <c:strRef>
              <c:f>'MWS 2015 chemistry'!$BO$84</c:f>
              <c:strCache>
                <c:ptCount val="1"/>
                <c:pt idx="0">
                  <c:v>ac-ft/ Season</c:v>
                </c:pt>
              </c:strCache>
            </c:strRef>
          </c:tx>
          <c:marker>
            <c:symbol val="none"/>
          </c:marker>
          <c:val>
            <c:numRef>
              <c:f>'MWS 2015 chemistry'!$BP$84:$BR$84</c:f>
              <c:numCache>
                <c:formatCode>#,##0</c:formatCode>
                <c:ptCount val="3"/>
                <c:pt idx="0">
                  <c:v>530</c:v>
                </c:pt>
                <c:pt idx="1">
                  <c:v>1468</c:v>
                </c:pt>
                <c:pt idx="2">
                  <c:v>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0-41C4-AC4B-C65D523B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75936"/>
        <c:axId val="119977472"/>
      </c:lineChart>
      <c:catAx>
        <c:axId val="1199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977472"/>
        <c:crosses val="autoZero"/>
        <c:auto val="1"/>
        <c:lblAlgn val="ctr"/>
        <c:lblOffset val="100"/>
        <c:noMultiLvlLbl val="0"/>
      </c:catAx>
      <c:valAx>
        <c:axId val="11997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pounds/season</a:t>
                </a:r>
              </a:p>
            </c:rich>
          </c:tx>
          <c:layout>
            <c:manualLayout>
              <c:xMode val="edge"/>
              <c:yMode val="edge"/>
              <c:x val="0.13091426071741091"/>
              <c:y val="7.1734470691163621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19975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Total Nitrogen (Annual Pounds vs. Flow)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007174103237128"/>
          <c:y val="0.19480351414406533"/>
          <c:w val="0.78937270341207344"/>
          <c:h val="0.61514253426655063"/>
        </c:manualLayout>
      </c:layout>
      <c:lineChart>
        <c:grouping val="standard"/>
        <c:varyColors val="0"/>
        <c:ser>
          <c:idx val="0"/>
          <c:order val="0"/>
          <c:tx>
            <c:strRef>
              <c:f>'MWS 2015 chemistry'!$BP$79:$BR$79</c:f>
              <c:strCache>
                <c:ptCount val="3"/>
                <c:pt idx="0">
                  <c:v>Seasonal Load (Pounds)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9.7090551181102366E-2"/>
                  <c:y val="-3.5906969962088071E-4"/>
                </c:manualLayout>
              </c:layout>
              <c:numFmt formatCode="General" sourceLinked="0"/>
              <c:spPr>
                <a:gradFill>
                  <a:gsLst>
                    <a:gs pos="0">
                      <a:srgbClr val="4F81BD">
                        <a:tint val="66000"/>
                        <a:satMod val="160000"/>
                      </a:srgbClr>
                    </a:gs>
                    <a:gs pos="50000">
                      <a:srgbClr val="4F81BD">
                        <a:tint val="44500"/>
                        <a:satMod val="160000"/>
                      </a:srgbClr>
                    </a:gs>
                    <a:gs pos="100000">
                      <a:srgbClr val="4F81BD">
                        <a:tint val="23500"/>
                        <a:satMod val="160000"/>
                      </a:srgbClr>
                    </a:gs>
                  </a:gsLst>
                  <a:lin ang="5400000" scaled="0"/>
                </a:gradFill>
              </c:spPr>
            </c:trendlineLbl>
          </c:trendline>
          <c:cat>
            <c:numRef>
              <c:f>'MWS 2015 chemistry'!$BP$84:$BR$84</c:f>
              <c:numCache>
                <c:formatCode>#,##0</c:formatCode>
                <c:ptCount val="3"/>
                <c:pt idx="0">
                  <c:v>530</c:v>
                </c:pt>
                <c:pt idx="1">
                  <c:v>1468</c:v>
                </c:pt>
                <c:pt idx="2">
                  <c:v>2748</c:v>
                </c:pt>
              </c:numCache>
            </c:numRef>
          </c:cat>
          <c:val>
            <c:numRef>
              <c:f>'MWS 2015 chemistry'!$BP$81:$BR$81</c:f>
              <c:numCache>
                <c:formatCode>#,##0</c:formatCode>
                <c:ptCount val="3"/>
                <c:pt idx="0">
                  <c:v>1952</c:v>
                </c:pt>
                <c:pt idx="1">
                  <c:v>4572</c:v>
                </c:pt>
                <c:pt idx="2">
                  <c:v>15189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1-417F-BB52-A48E83BD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5392"/>
        <c:axId val="83666048"/>
      </c:lineChart>
      <c:catAx>
        <c:axId val="1199953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ac-ft/Season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83666048"/>
        <c:crosses val="autoZero"/>
        <c:auto val="1"/>
        <c:lblAlgn val="ctr"/>
        <c:lblOffset val="100"/>
        <c:noMultiLvlLbl val="0"/>
      </c:catAx>
      <c:valAx>
        <c:axId val="83666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Nitrogen Pounds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1999539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Total Phosphorus (Annual Pounds vs. Flow)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2015 chemistry'!$BP$79:$BR$79</c:f>
              <c:strCache>
                <c:ptCount val="3"/>
                <c:pt idx="0">
                  <c:v>Seasonal Load (Pounds)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0.14285214348206512"/>
                  <c:y val="-2.6779673374161612E-2"/>
                </c:manualLayout>
              </c:layout>
              <c:numFmt formatCode="General" sourceLinked="0"/>
              <c:spPr>
                <a:gradFill>
                  <a:gsLst>
                    <a:gs pos="0">
                      <a:srgbClr val="4F81BD">
                        <a:tint val="66000"/>
                        <a:satMod val="160000"/>
                      </a:srgbClr>
                    </a:gs>
                    <a:gs pos="50000">
                      <a:srgbClr val="4F81BD">
                        <a:tint val="44500"/>
                        <a:satMod val="160000"/>
                      </a:srgbClr>
                    </a:gs>
                    <a:gs pos="100000">
                      <a:srgbClr val="4F81BD">
                        <a:tint val="23500"/>
                        <a:satMod val="160000"/>
                      </a:srgbClr>
                    </a:gs>
                  </a:gsLst>
                  <a:lin ang="5400000" scaled="0"/>
                </a:gradFill>
              </c:spPr>
            </c:trendlineLbl>
          </c:trendline>
          <c:cat>
            <c:numRef>
              <c:f>'MWS 2015 chemistry'!$BP$84:$BR$84</c:f>
              <c:numCache>
                <c:formatCode>#,##0</c:formatCode>
                <c:ptCount val="3"/>
                <c:pt idx="0">
                  <c:v>530</c:v>
                </c:pt>
                <c:pt idx="1">
                  <c:v>1468</c:v>
                </c:pt>
                <c:pt idx="2">
                  <c:v>2748</c:v>
                </c:pt>
              </c:numCache>
            </c:numRef>
          </c:cat>
          <c:val>
            <c:numRef>
              <c:f>'MWS 2015 chemistry'!$BP$82:$BR$82</c:f>
              <c:numCache>
                <c:formatCode>#,##0</c:formatCode>
                <c:ptCount val="3"/>
                <c:pt idx="0">
                  <c:v>26</c:v>
                </c:pt>
                <c:pt idx="1">
                  <c:v>85</c:v>
                </c:pt>
                <c:pt idx="2">
                  <c:v>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1-4008-8CCB-94307645D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91008"/>
        <c:axId val="83692928"/>
      </c:lineChart>
      <c:catAx>
        <c:axId val="83691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ac-ft/Season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3692928"/>
        <c:crosses val="autoZero"/>
        <c:auto val="1"/>
        <c:lblAlgn val="ctr"/>
        <c:lblOffset val="100"/>
        <c:noMultiLvlLbl val="0"/>
      </c:catAx>
      <c:valAx>
        <c:axId val="8369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Pounds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369100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Estimate August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2015 chemistry'!$BZ$30</c:f>
              <c:strCache>
                <c:ptCount val="1"/>
                <c:pt idx="0">
                  <c:v>TP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5D6B-429A-A75C-BC86492713B0}"/>
              </c:ext>
            </c:extLst>
          </c:dPt>
          <c:cat>
            <c:strRef>
              <c:f>'MWS 2015 chemistry'!$BX$31:$BX$38</c:f>
              <c:strCache>
                <c:ptCount val="8"/>
                <c:pt idx="0">
                  <c:v>Mount Vernon above FHMD</c:v>
                </c:pt>
                <c:pt idx="1">
                  <c:v>FHMD</c:v>
                </c:pt>
                <c:pt idx="2">
                  <c:v>Shingle Creek</c:v>
                </c:pt>
                <c:pt idx="3">
                  <c:v>Mount Vernon with FHMD &amp; Shingle Ck</c:v>
                </c:pt>
                <c:pt idx="4">
                  <c:v>Mount Vernon Mathew Park</c:v>
                </c:pt>
                <c:pt idx="5">
                  <c:v>Mount Vernon RR Entrance #1</c:v>
                </c:pt>
                <c:pt idx="6">
                  <c:v>Mount Vernon RR Entrance #2</c:v>
                </c:pt>
                <c:pt idx="7">
                  <c:v>Mount Vernon Mouth</c:v>
                </c:pt>
              </c:strCache>
            </c:strRef>
          </c:cat>
          <c:val>
            <c:numRef>
              <c:f>'MWS 2015 chemistry'!$BZ$31:$BZ$38</c:f>
              <c:numCache>
                <c:formatCode>#,##0.0</c:formatCode>
                <c:ptCount val="8"/>
                <c:pt idx="0">
                  <c:v>2.654925</c:v>
                </c:pt>
                <c:pt idx="1">
                  <c:v>5.6366100000000001</c:v>
                </c:pt>
                <c:pt idx="2">
                  <c:v>0.42206500000000002</c:v>
                </c:pt>
                <c:pt idx="3">
                  <c:v>8.7135999999999996</c:v>
                </c:pt>
                <c:pt idx="4">
                  <c:v>8.7136000000000013</c:v>
                </c:pt>
                <c:pt idx="5">
                  <c:v>8.4957600000000006</c:v>
                </c:pt>
                <c:pt idx="6">
                  <c:v>5.9688160000000003</c:v>
                </c:pt>
                <c:pt idx="7">
                  <c:v>7.1070300000000008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B-429A-A75C-BC8649271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7968"/>
        <c:axId val="83749504"/>
      </c:barChart>
      <c:catAx>
        <c:axId val="8374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749504"/>
        <c:crosses val="autoZero"/>
        <c:auto val="1"/>
        <c:lblAlgn val="ctr"/>
        <c:lblOffset val="100"/>
        <c:noMultiLvlLbl val="0"/>
      </c:catAx>
      <c:valAx>
        <c:axId val="8374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Phosphorus Pounds/month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crossAx val="837479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Nitrogen Estimate August 2015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79194704356831"/>
          <c:y val="0.12072944006999151"/>
          <c:w val="0.84435664254721432"/>
          <c:h val="0.44511191309419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2015 chemistry'!$CA$30</c:f>
              <c:strCache>
                <c:ptCount val="1"/>
                <c:pt idx="0">
                  <c:v>TN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0-C9FF-4225-9739-34AAE56431ED}"/>
              </c:ext>
            </c:extLst>
          </c:dPt>
          <c:cat>
            <c:strRef>
              <c:f>'MWS 2015 chemistry'!$BX$31:$BX$38</c:f>
              <c:strCache>
                <c:ptCount val="8"/>
                <c:pt idx="0">
                  <c:v>Mount Vernon above FHMD</c:v>
                </c:pt>
                <c:pt idx="1">
                  <c:v>FHMD</c:v>
                </c:pt>
                <c:pt idx="2">
                  <c:v>Shingle Creek</c:v>
                </c:pt>
                <c:pt idx="3">
                  <c:v>Mount Vernon with FHMD &amp; Shingle Ck</c:v>
                </c:pt>
                <c:pt idx="4">
                  <c:v>Mount Vernon Mathew Park</c:v>
                </c:pt>
                <c:pt idx="5">
                  <c:v>Mount Vernon RR Entrance #1</c:v>
                </c:pt>
                <c:pt idx="6">
                  <c:v>Mount Vernon RR Entrance #2</c:v>
                </c:pt>
                <c:pt idx="7">
                  <c:v>Mount Vernon Mouth</c:v>
                </c:pt>
              </c:strCache>
            </c:strRef>
          </c:cat>
          <c:val>
            <c:numRef>
              <c:f>'MWS 2015 chemistry'!$CA$31:$CA$38</c:f>
              <c:numCache>
                <c:formatCode>#,##0.0</c:formatCode>
                <c:ptCount val="8"/>
                <c:pt idx="0">
                  <c:v>471.35130000000004</c:v>
                </c:pt>
                <c:pt idx="1">
                  <c:v>472.22266000000002</c:v>
                </c:pt>
                <c:pt idx="2">
                  <c:v>8.5502200000000013</c:v>
                </c:pt>
                <c:pt idx="3">
                  <c:v>952.12418000000002</c:v>
                </c:pt>
                <c:pt idx="4">
                  <c:v>859.85804800000005</c:v>
                </c:pt>
                <c:pt idx="5">
                  <c:v>829.75256000000002</c:v>
                </c:pt>
                <c:pt idx="6">
                  <c:v>569.64887700000008</c:v>
                </c:pt>
                <c:pt idx="7">
                  <c:v>598.96469500000001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F-4225-9739-34AAE5643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31808"/>
        <c:axId val="83882752"/>
      </c:barChart>
      <c:catAx>
        <c:axId val="8383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882752"/>
        <c:crosses val="autoZero"/>
        <c:auto val="1"/>
        <c:lblAlgn val="ctr"/>
        <c:lblOffset val="100"/>
        <c:noMultiLvlLbl val="0"/>
      </c:catAx>
      <c:valAx>
        <c:axId val="8388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Nitrogen Pounds/ Month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crossAx val="83831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Total Nitrogen Loading Pounds/Day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'MWS 2015 chemistry'!$J$26:$K$26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2015 chemistry'!$A$28:$B$48</c:f>
              <c:multiLvlStrCache>
                <c:ptCount val="21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77</c:v>
                  </c:pt>
                  <c:pt idx="5">
                    <c:v>Site 78</c:v>
                  </c:pt>
                  <c:pt idx="6">
                    <c:v>Site 5</c:v>
                  </c:pt>
                  <c:pt idx="7">
                    <c:v>Site 8a</c:v>
                  </c:pt>
                  <c:pt idx="8">
                    <c:v>Site 9</c:v>
                  </c:pt>
                  <c:pt idx="9">
                    <c:v>Site 12</c:v>
                  </c:pt>
                  <c:pt idx="10">
                    <c:v>Site 13a</c:v>
                  </c:pt>
                  <c:pt idx="11">
                    <c:v>Site 14a</c:v>
                  </c:pt>
                  <c:pt idx="12">
                    <c:v>Site 34</c:v>
                  </c:pt>
                  <c:pt idx="13">
                    <c:v>Site 35</c:v>
                  </c:pt>
                  <c:pt idx="14">
                    <c:v>Site 50</c:v>
                  </c:pt>
                  <c:pt idx="15">
                    <c:v>Site 64</c:v>
                  </c:pt>
                  <c:pt idx="16">
                    <c:v>Site 79</c:v>
                  </c:pt>
                  <c:pt idx="17">
                    <c:v>Site 80</c:v>
                  </c:pt>
                  <c:pt idx="18">
                    <c:v>site 32</c:v>
                  </c:pt>
                  <c:pt idx="19">
                    <c:v>Site 18</c:v>
                  </c:pt>
                  <c:pt idx="20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6">
                    <c:v>Seg 1e</c:v>
                  </c:pt>
                  <c:pt idx="12">
                    <c:v>Seg 4a</c:v>
                  </c:pt>
                  <c:pt idx="13">
                    <c:v>Seg 5</c:v>
                  </c:pt>
                  <c:pt idx="19">
                    <c:v>Seg 6a</c:v>
                  </c:pt>
                  <c:pt idx="20">
                    <c:v>Seg 6b</c:v>
                  </c:pt>
                </c:lvl>
              </c:multiLvlStrCache>
            </c:multiLvlStrRef>
          </c:cat>
          <c:val>
            <c:numRef>
              <c:f>'MWS 2015 chemistry'!$J$28:$J$48</c:f>
              <c:numCache>
                <c:formatCode>#,##0.0</c:formatCode>
                <c:ptCount val="21"/>
                <c:pt idx="0">
                  <c:v>78.177329999999998</c:v>
                </c:pt>
                <c:pt idx="1">
                  <c:v>201.85326700000002</c:v>
                </c:pt>
                <c:pt idx="2">
                  <c:v>272.686666</c:v>
                </c:pt>
                <c:pt idx="3">
                  <c:v>85.221731000000005</c:v>
                </c:pt>
                <c:pt idx="4">
                  <c:v>27.467717900000004</c:v>
                </c:pt>
                <c:pt idx="5">
                  <c:v>78.160992000000007</c:v>
                </c:pt>
                <c:pt idx="6">
                  <c:v>590.95090600000003</c:v>
                </c:pt>
                <c:pt idx="7">
                  <c:v>846.85300000000007</c:v>
                </c:pt>
                <c:pt idx="8">
                  <c:v>730.51282500000002</c:v>
                </c:pt>
                <c:pt idx="9">
                  <c:v>834.19105000000002</c:v>
                </c:pt>
                <c:pt idx="10">
                  <c:v>986.59736000000009</c:v>
                </c:pt>
                <c:pt idx="11">
                  <c:v>924.64911000000006</c:v>
                </c:pt>
                <c:pt idx="12">
                  <c:v>505.71011400000003</c:v>
                </c:pt>
                <c:pt idx="13">
                  <c:v>16.577079399999999</c:v>
                </c:pt>
                <c:pt idx="14">
                  <c:v>369.957672</c:v>
                </c:pt>
                <c:pt idx="15">
                  <c:v>11.469003700000002</c:v>
                </c:pt>
                <c:pt idx="18">
                  <c:v>50.360795799999998</c:v>
                </c:pt>
                <c:pt idx="19">
                  <c:v>2.9898540000000002</c:v>
                </c:pt>
                <c:pt idx="20">
                  <c:v>36.1018063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E-48C3-ADF7-D911EA712827}"/>
            </c:ext>
          </c:extLst>
        </c:ser>
        <c:ser>
          <c:idx val="1"/>
          <c:order val="1"/>
          <c:tx>
            <c:strRef>
              <c:f>'MWS 2015 chemistry'!$L$26:$M$26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'MWS 2015 chemistry'!$A$28:$B$48</c:f>
              <c:multiLvlStrCache>
                <c:ptCount val="21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77</c:v>
                  </c:pt>
                  <c:pt idx="5">
                    <c:v>Site 78</c:v>
                  </c:pt>
                  <c:pt idx="6">
                    <c:v>Site 5</c:v>
                  </c:pt>
                  <c:pt idx="7">
                    <c:v>Site 8a</c:v>
                  </c:pt>
                  <c:pt idx="8">
                    <c:v>Site 9</c:v>
                  </c:pt>
                  <c:pt idx="9">
                    <c:v>Site 12</c:v>
                  </c:pt>
                  <c:pt idx="10">
                    <c:v>Site 13a</c:v>
                  </c:pt>
                  <c:pt idx="11">
                    <c:v>Site 14a</c:v>
                  </c:pt>
                  <c:pt idx="12">
                    <c:v>Site 34</c:v>
                  </c:pt>
                  <c:pt idx="13">
                    <c:v>Site 35</c:v>
                  </c:pt>
                  <c:pt idx="14">
                    <c:v>Site 50</c:v>
                  </c:pt>
                  <c:pt idx="15">
                    <c:v>Site 64</c:v>
                  </c:pt>
                  <c:pt idx="16">
                    <c:v>Site 79</c:v>
                  </c:pt>
                  <c:pt idx="17">
                    <c:v>Site 80</c:v>
                  </c:pt>
                  <c:pt idx="18">
                    <c:v>site 32</c:v>
                  </c:pt>
                  <c:pt idx="19">
                    <c:v>Site 18</c:v>
                  </c:pt>
                  <c:pt idx="20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6">
                    <c:v>Seg 1e</c:v>
                  </c:pt>
                  <c:pt idx="12">
                    <c:v>Seg 4a</c:v>
                  </c:pt>
                  <c:pt idx="13">
                    <c:v>Seg 5</c:v>
                  </c:pt>
                  <c:pt idx="19">
                    <c:v>Seg 6a</c:v>
                  </c:pt>
                  <c:pt idx="20">
                    <c:v>Seg 6b</c:v>
                  </c:pt>
                </c:lvl>
              </c:multiLvlStrCache>
            </c:multiLvlStrRef>
          </c:cat>
          <c:val>
            <c:numRef>
              <c:f>'MWS 2015 chemistry'!$L$28:$L$48</c:f>
              <c:numCache>
                <c:formatCode>#,##0.0</c:formatCode>
                <c:ptCount val="21"/>
                <c:pt idx="0">
                  <c:v>207.81936000000002</c:v>
                </c:pt>
                <c:pt idx="1">
                  <c:v>361.12426000000005</c:v>
                </c:pt>
                <c:pt idx="2">
                  <c:v>419.31477000000001</c:v>
                </c:pt>
                <c:pt idx="3">
                  <c:v>87.024901600000007</c:v>
                </c:pt>
                <c:pt idx="6">
                  <c:v>398.6472</c:v>
                </c:pt>
                <c:pt idx="7">
                  <c:v>450.60204000000004</c:v>
                </c:pt>
                <c:pt idx="8">
                  <c:v>477.35551500000003</c:v>
                </c:pt>
                <c:pt idx="9">
                  <c:v>460.45930000000004</c:v>
                </c:pt>
                <c:pt idx="10">
                  <c:v>531.80190000000005</c:v>
                </c:pt>
                <c:pt idx="11">
                  <c:v>720.84889800000008</c:v>
                </c:pt>
                <c:pt idx="12">
                  <c:v>38.5781025</c:v>
                </c:pt>
                <c:pt idx="13">
                  <c:v>4.363062900000001</c:v>
                </c:pt>
                <c:pt idx="14">
                  <c:v>45.127189799999996</c:v>
                </c:pt>
                <c:pt idx="15">
                  <c:v>8.4979384000000007</c:v>
                </c:pt>
                <c:pt idx="16">
                  <c:v>10.101785400000001</c:v>
                </c:pt>
                <c:pt idx="17">
                  <c:v>47.290341000000005</c:v>
                </c:pt>
                <c:pt idx="18">
                  <c:v>38.943801399999998</c:v>
                </c:pt>
                <c:pt idx="19">
                  <c:v>4.1027440999999998</c:v>
                </c:pt>
                <c:pt idx="20">
                  <c:v>9.0577871999999999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E-48C3-ADF7-D911EA712827}"/>
            </c:ext>
          </c:extLst>
        </c:ser>
        <c:ser>
          <c:idx val="2"/>
          <c:order val="2"/>
          <c:tx>
            <c:strRef>
              <c:f>'MWS 2015 chemistry'!$N$26:$O$26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'MWS 2015 chemistry'!$A$28:$B$48</c:f>
              <c:multiLvlStrCache>
                <c:ptCount val="21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77</c:v>
                  </c:pt>
                  <c:pt idx="5">
                    <c:v>Site 78</c:v>
                  </c:pt>
                  <c:pt idx="6">
                    <c:v>Site 5</c:v>
                  </c:pt>
                  <c:pt idx="7">
                    <c:v>Site 8a</c:v>
                  </c:pt>
                  <c:pt idx="8">
                    <c:v>Site 9</c:v>
                  </c:pt>
                  <c:pt idx="9">
                    <c:v>Site 12</c:v>
                  </c:pt>
                  <c:pt idx="10">
                    <c:v>Site 13a</c:v>
                  </c:pt>
                  <c:pt idx="11">
                    <c:v>Site 14a</c:v>
                  </c:pt>
                  <c:pt idx="12">
                    <c:v>Site 34</c:v>
                  </c:pt>
                  <c:pt idx="13">
                    <c:v>Site 35</c:v>
                  </c:pt>
                  <c:pt idx="14">
                    <c:v>Site 50</c:v>
                  </c:pt>
                  <c:pt idx="15">
                    <c:v>Site 64</c:v>
                  </c:pt>
                  <c:pt idx="16">
                    <c:v>Site 79</c:v>
                  </c:pt>
                  <c:pt idx="17">
                    <c:v>Site 80</c:v>
                  </c:pt>
                  <c:pt idx="18">
                    <c:v>site 32</c:v>
                  </c:pt>
                  <c:pt idx="19">
                    <c:v>Site 18</c:v>
                  </c:pt>
                  <c:pt idx="20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6">
                    <c:v>Seg 1e</c:v>
                  </c:pt>
                  <c:pt idx="12">
                    <c:v>Seg 4a</c:v>
                  </c:pt>
                  <c:pt idx="13">
                    <c:v>Seg 5</c:v>
                  </c:pt>
                  <c:pt idx="19">
                    <c:v>Seg 6a</c:v>
                  </c:pt>
                  <c:pt idx="20">
                    <c:v>Seg 6b</c:v>
                  </c:pt>
                </c:lvl>
              </c:multiLvlStrCache>
            </c:multiLvlStrRef>
          </c:cat>
          <c:val>
            <c:numRef>
              <c:f>'MWS 2015 chemistry'!$N$28:$N$48</c:f>
              <c:numCache>
                <c:formatCode>#,##0.0</c:formatCode>
                <c:ptCount val="21"/>
                <c:pt idx="0">
                  <c:v>33.885012000000003</c:v>
                </c:pt>
                <c:pt idx="1">
                  <c:v>89.586700000000008</c:v>
                </c:pt>
                <c:pt idx="2">
                  <c:v>128.08992000000001</c:v>
                </c:pt>
                <c:pt idx="3">
                  <c:v>11.4480366</c:v>
                </c:pt>
                <c:pt idx="6">
                  <c:v>73.139780000000002</c:v>
                </c:pt>
                <c:pt idx="7">
                  <c:v>119.43078000000001</c:v>
                </c:pt>
                <c:pt idx="8">
                  <c:v>136.759952</c:v>
                </c:pt>
                <c:pt idx="9">
                  <c:v>178.22035</c:v>
                </c:pt>
                <c:pt idx="10">
                  <c:v>173.50956000000002</c:v>
                </c:pt>
                <c:pt idx="11">
                  <c:v>186.876767</c:v>
                </c:pt>
                <c:pt idx="12">
                  <c:v>30.653355600000005</c:v>
                </c:pt>
                <c:pt idx="13">
                  <c:v>1.7293773000000001</c:v>
                </c:pt>
                <c:pt idx="14">
                  <c:v>8.9769141000000001</c:v>
                </c:pt>
                <c:pt idx="15">
                  <c:v>4.7118792000000003</c:v>
                </c:pt>
                <c:pt idx="18">
                  <c:v>20.769682500000002</c:v>
                </c:pt>
                <c:pt idx="19">
                  <c:v>3.1412527999999997</c:v>
                </c:pt>
                <c:pt idx="20">
                  <c:v>4.1493074000000005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E-48C3-ADF7-D911EA712827}"/>
            </c:ext>
          </c:extLst>
        </c:ser>
        <c:ser>
          <c:idx val="3"/>
          <c:order val="3"/>
          <c:tx>
            <c:strRef>
              <c:f>'MWS 2015 chemistry'!$P$26:$Q$26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'MWS 2015 chemistry'!$A$28:$B$48</c:f>
              <c:multiLvlStrCache>
                <c:ptCount val="21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77</c:v>
                  </c:pt>
                  <c:pt idx="5">
                    <c:v>Site 78</c:v>
                  </c:pt>
                  <c:pt idx="6">
                    <c:v>Site 5</c:v>
                  </c:pt>
                  <c:pt idx="7">
                    <c:v>Site 8a</c:v>
                  </c:pt>
                  <c:pt idx="8">
                    <c:v>Site 9</c:v>
                  </c:pt>
                  <c:pt idx="9">
                    <c:v>Site 12</c:v>
                  </c:pt>
                  <c:pt idx="10">
                    <c:v>Site 13a</c:v>
                  </c:pt>
                  <c:pt idx="11">
                    <c:v>Site 14a</c:v>
                  </c:pt>
                  <c:pt idx="12">
                    <c:v>Site 34</c:v>
                  </c:pt>
                  <c:pt idx="13">
                    <c:v>Site 35</c:v>
                  </c:pt>
                  <c:pt idx="14">
                    <c:v>Site 50</c:v>
                  </c:pt>
                  <c:pt idx="15">
                    <c:v>Site 64</c:v>
                  </c:pt>
                  <c:pt idx="16">
                    <c:v>Site 79</c:v>
                  </c:pt>
                  <c:pt idx="17">
                    <c:v>Site 80</c:v>
                  </c:pt>
                  <c:pt idx="18">
                    <c:v>site 32</c:v>
                  </c:pt>
                  <c:pt idx="19">
                    <c:v>Site 18</c:v>
                  </c:pt>
                  <c:pt idx="20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6">
                    <c:v>Seg 1e</c:v>
                  </c:pt>
                  <c:pt idx="12">
                    <c:v>Seg 4a</c:v>
                  </c:pt>
                  <c:pt idx="13">
                    <c:v>Seg 5</c:v>
                  </c:pt>
                  <c:pt idx="19">
                    <c:v>Seg 6a</c:v>
                  </c:pt>
                  <c:pt idx="20">
                    <c:v>Seg 6b</c:v>
                  </c:pt>
                </c:lvl>
              </c:multiLvlStrCache>
            </c:multiLvlStrRef>
          </c:cat>
          <c:val>
            <c:numRef>
              <c:f>'MWS 2015 chemistry'!$P$28:$P$48</c:f>
              <c:numCache>
                <c:formatCode>#,##0.0</c:formatCode>
                <c:ptCount val="21"/>
                <c:pt idx="0">
                  <c:v>18.385695999999999</c:v>
                </c:pt>
                <c:pt idx="1">
                  <c:v>15.365889000000003</c:v>
                </c:pt>
                <c:pt idx="2">
                  <c:v>23.145500000000002</c:v>
                </c:pt>
                <c:pt idx="3">
                  <c:v>3.0031966999999997</c:v>
                </c:pt>
                <c:pt idx="6">
                  <c:v>55.140750000000004</c:v>
                </c:pt>
                <c:pt idx="7">
                  <c:v>55.658120000000004</c:v>
                </c:pt>
                <c:pt idx="8">
                  <c:v>91.77054600000001</c:v>
                </c:pt>
                <c:pt idx="9">
                  <c:v>100.85992</c:v>
                </c:pt>
                <c:pt idx="10">
                  <c:v>94.106880000000004</c:v>
                </c:pt>
                <c:pt idx="11">
                  <c:v>81.733568000000005</c:v>
                </c:pt>
                <c:pt idx="12">
                  <c:v>16.248141</c:v>
                </c:pt>
                <c:pt idx="13">
                  <c:v>0.76788600000000007</c:v>
                </c:pt>
                <c:pt idx="14">
                  <c:v>17.293773000000002</c:v>
                </c:pt>
                <c:pt idx="15">
                  <c:v>1.4028896000000002</c:v>
                </c:pt>
                <c:pt idx="18">
                  <c:v>28.200749500000001</c:v>
                </c:pt>
                <c:pt idx="19">
                  <c:v>2.1770385000000001</c:v>
                </c:pt>
                <c:pt idx="20">
                  <c:v>2.6304180000000001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E-48C3-ADF7-D911EA712827}"/>
            </c:ext>
          </c:extLst>
        </c:ser>
        <c:ser>
          <c:idx val="4"/>
          <c:order val="4"/>
          <c:tx>
            <c:strRef>
              <c:f>'MWS 2015 chemistry'!$R$26:$S$26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'MWS 2015 chemistry'!$A$28:$B$48</c:f>
              <c:multiLvlStrCache>
                <c:ptCount val="21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77</c:v>
                  </c:pt>
                  <c:pt idx="5">
                    <c:v>Site 78</c:v>
                  </c:pt>
                  <c:pt idx="6">
                    <c:v>Site 5</c:v>
                  </c:pt>
                  <c:pt idx="7">
                    <c:v>Site 8a</c:v>
                  </c:pt>
                  <c:pt idx="8">
                    <c:v>Site 9</c:v>
                  </c:pt>
                  <c:pt idx="9">
                    <c:v>Site 12</c:v>
                  </c:pt>
                  <c:pt idx="10">
                    <c:v>Site 13a</c:v>
                  </c:pt>
                  <c:pt idx="11">
                    <c:v>Site 14a</c:v>
                  </c:pt>
                  <c:pt idx="12">
                    <c:v>Site 34</c:v>
                  </c:pt>
                  <c:pt idx="13">
                    <c:v>Site 35</c:v>
                  </c:pt>
                  <c:pt idx="14">
                    <c:v>Site 50</c:v>
                  </c:pt>
                  <c:pt idx="15">
                    <c:v>Site 64</c:v>
                  </c:pt>
                  <c:pt idx="16">
                    <c:v>Site 79</c:v>
                  </c:pt>
                  <c:pt idx="17">
                    <c:v>Site 80</c:v>
                  </c:pt>
                  <c:pt idx="18">
                    <c:v>site 32</c:v>
                  </c:pt>
                  <c:pt idx="19">
                    <c:v>Site 18</c:v>
                  </c:pt>
                  <c:pt idx="20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6">
                    <c:v>Seg 1e</c:v>
                  </c:pt>
                  <c:pt idx="12">
                    <c:v>Seg 4a</c:v>
                  </c:pt>
                  <c:pt idx="13">
                    <c:v>Seg 5</c:v>
                  </c:pt>
                  <c:pt idx="19">
                    <c:v>Seg 6a</c:v>
                  </c:pt>
                  <c:pt idx="20">
                    <c:v>Seg 6b</c:v>
                  </c:pt>
                </c:lvl>
              </c:multiLvlStrCache>
            </c:multiLvlStrRef>
          </c:cat>
          <c:val>
            <c:numRef>
              <c:f>'MWS 2015 chemistry'!$R$28:$R$48</c:f>
              <c:numCache>
                <c:formatCode>#,##0.0</c:formatCode>
                <c:ptCount val="21"/>
                <c:pt idx="0">
                  <c:v>5.9620085000000005</c:v>
                </c:pt>
                <c:pt idx="1">
                  <c:v>7.8286250000000006</c:v>
                </c:pt>
                <c:pt idx="2">
                  <c:v>9.2799840000000007</c:v>
                </c:pt>
                <c:pt idx="3">
                  <c:v>0.48142639999999998</c:v>
                </c:pt>
                <c:pt idx="6">
                  <c:v>12.185425</c:v>
                </c:pt>
                <c:pt idx="7">
                  <c:v>18.57086</c:v>
                </c:pt>
                <c:pt idx="8">
                  <c:v>20.471514000000003</c:v>
                </c:pt>
                <c:pt idx="9">
                  <c:v>35.747544000000005</c:v>
                </c:pt>
                <c:pt idx="10">
                  <c:v>37.138997000000003</c:v>
                </c:pt>
                <c:pt idx="11">
                  <c:v>27.197324000000002</c:v>
                </c:pt>
                <c:pt idx="12">
                  <c:v>0.90430829999999995</c:v>
                </c:pt>
                <c:pt idx="13">
                  <c:v>0.14758660000000001</c:v>
                </c:pt>
                <c:pt idx="14">
                  <c:v>0.1780842</c:v>
                </c:pt>
                <c:pt idx="15">
                  <c:v>0.54650609999999999</c:v>
                </c:pt>
                <c:pt idx="18">
                  <c:v>5.1892211000000001</c:v>
                </c:pt>
                <c:pt idx="19">
                  <c:v>0.106197</c:v>
                </c:pt>
                <c:pt idx="20">
                  <c:v>0.74610200000000004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3E-48C3-ADF7-D911EA712827}"/>
            </c:ext>
          </c:extLst>
        </c:ser>
        <c:ser>
          <c:idx val="5"/>
          <c:order val="5"/>
          <c:tx>
            <c:strRef>
              <c:f>'MWS 2015 chemistry'!$T$26:$U$26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'MWS 2015 chemistry'!$A$28:$B$48</c:f>
              <c:multiLvlStrCache>
                <c:ptCount val="21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77</c:v>
                  </c:pt>
                  <c:pt idx="5">
                    <c:v>Site 78</c:v>
                  </c:pt>
                  <c:pt idx="6">
                    <c:v>Site 5</c:v>
                  </c:pt>
                  <c:pt idx="7">
                    <c:v>Site 8a</c:v>
                  </c:pt>
                  <c:pt idx="8">
                    <c:v>Site 9</c:v>
                  </c:pt>
                  <c:pt idx="9">
                    <c:v>Site 12</c:v>
                  </c:pt>
                  <c:pt idx="10">
                    <c:v>Site 13a</c:v>
                  </c:pt>
                  <c:pt idx="11">
                    <c:v>Site 14a</c:v>
                  </c:pt>
                  <c:pt idx="12">
                    <c:v>Site 34</c:v>
                  </c:pt>
                  <c:pt idx="13">
                    <c:v>Site 35</c:v>
                  </c:pt>
                  <c:pt idx="14">
                    <c:v>Site 50</c:v>
                  </c:pt>
                  <c:pt idx="15">
                    <c:v>Site 64</c:v>
                  </c:pt>
                  <c:pt idx="16">
                    <c:v>Site 79</c:v>
                  </c:pt>
                  <c:pt idx="17">
                    <c:v>Site 80</c:v>
                  </c:pt>
                  <c:pt idx="18">
                    <c:v>site 32</c:v>
                  </c:pt>
                  <c:pt idx="19">
                    <c:v>Site 18</c:v>
                  </c:pt>
                  <c:pt idx="20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6">
                    <c:v>Seg 1e</c:v>
                  </c:pt>
                  <c:pt idx="12">
                    <c:v>Seg 4a</c:v>
                  </c:pt>
                  <c:pt idx="13">
                    <c:v>Seg 5</c:v>
                  </c:pt>
                  <c:pt idx="19">
                    <c:v>Seg 6a</c:v>
                  </c:pt>
                  <c:pt idx="20">
                    <c:v>Seg 6b</c:v>
                  </c:pt>
                </c:lvl>
              </c:multiLvlStrCache>
            </c:multiLvlStrRef>
          </c:cat>
          <c:val>
            <c:numRef>
              <c:f>'MWS 2015 chemistry'!$T$28:$T$48</c:f>
              <c:numCache>
                <c:formatCode>#,##0.0</c:formatCode>
                <c:ptCount val="21"/>
                <c:pt idx="0">
                  <c:v>8.8214307999999999</c:v>
                </c:pt>
                <c:pt idx="1">
                  <c:v>6.0439708000000003</c:v>
                </c:pt>
                <c:pt idx="2">
                  <c:v>12.177256</c:v>
                </c:pt>
                <c:pt idx="3">
                  <c:v>1.0941014</c:v>
                </c:pt>
                <c:pt idx="4">
                  <c:v>0.34309799999999996</c:v>
                </c:pt>
                <c:pt idx="5">
                  <c:v>7.8422400000000003E-2</c:v>
                </c:pt>
                <c:pt idx="6">
                  <c:v>13.77838</c:v>
                </c:pt>
                <c:pt idx="7">
                  <c:v>22.285032000000001</c:v>
                </c:pt>
                <c:pt idx="8">
                  <c:v>28.820232000000001</c:v>
                </c:pt>
                <c:pt idx="9">
                  <c:v>41.686407000000003</c:v>
                </c:pt>
                <c:pt idx="10">
                  <c:v>44.766120000000001</c:v>
                </c:pt>
                <c:pt idx="11">
                  <c:v>53.790142000000003</c:v>
                </c:pt>
                <c:pt idx="12">
                  <c:v>7.3839591000000002</c:v>
                </c:pt>
                <c:pt idx="13">
                  <c:v>1.7383632000000004</c:v>
                </c:pt>
                <c:pt idx="14">
                  <c:v>1.195397</c:v>
                </c:pt>
                <c:pt idx="15">
                  <c:v>0.76244000000000001</c:v>
                </c:pt>
                <c:pt idx="16">
                  <c:v>1.1158854</c:v>
                </c:pt>
                <c:pt idx="17">
                  <c:v>33.0697458</c:v>
                </c:pt>
                <c:pt idx="18">
                  <c:v>36.7746596</c:v>
                </c:pt>
                <c:pt idx="19">
                  <c:v>0.351267</c:v>
                </c:pt>
                <c:pt idx="20">
                  <c:v>0.68183920000000009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3E-48C3-ADF7-D911EA71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482464"/>
        <c:axId val="216482792"/>
      </c:barChart>
      <c:catAx>
        <c:axId val="21648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82792"/>
        <c:crosses val="autoZero"/>
        <c:auto val="1"/>
        <c:lblAlgn val="ctr"/>
        <c:lblOffset val="100"/>
        <c:noMultiLvlLbl val="0"/>
      </c:catAx>
      <c:valAx>
        <c:axId val="21648279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8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Loading Pounds/Day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'MWS 2015 chemistry'!$J$26:$K$26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2015 chemistry'!$A$28:$B$48</c:f>
              <c:multiLvlStrCache>
                <c:ptCount val="21"/>
                <c:lvl>
                  <c:pt idx="0">
                    <c:v>Site 58</c:v>
                  </c:pt>
                  <c:pt idx="1">
                    <c:v>Site 2a</c:v>
                  </c:pt>
                  <c:pt idx="2">
                    <c:v>Site 3a</c:v>
                  </c:pt>
                  <c:pt idx="3">
                    <c:v>Site 25</c:v>
                  </c:pt>
                  <c:pt idx="4">
                    <c:v>Site 77</c:v>
                  </c:pt>
                  <c:pt idx="5">
                    <c:v>Site 78</c:v>
                  </c:pt>
                  <c:pt idx="6">
                    <c:v>Site 5</c:v>
                  </c:pt>
                  <c:pt idx="7">
                    <c:v>Site 8a</c:v>
                  </c:pt>
                  <c:pt idx="8">
                    <c:v>Site 9</c:v>
                  </c:pt>
                  <c:pt idx="9">
                    <c:v>Site 12</c:v>
                  </c:pt>
                  <c:pt idx="10">
                    <c:v>Site 13a</c:v>
                  </c:pt>
                  <c:pt idx="11">
                    <c:v>Site 14a</c:v>
                  </c:pt>
                  <c:pt idx="12">
                    <c:v>Site 34</c:v>
                  </c:pt>
                  <c:pt idx="13">
                    <c:v>Site 35</c:v>
                  </c:pt>
                  <c:pt idx="14">
                    <c:v>Site 50</c:v>
                  </c:pt>
                  <c:pt idx="15">
                    <c:v>Site 64</c:v>
                  </c:pt>
                  <c:pt idx="16">
                    <c:v>Site 79</c:v>
                  </c:pt>
                  <c:pt idx="17">
                    <c:v>Site 80</c:v>
                  </c:pt>
                  <c:pt idx="18">
                    <c:v>site 32</c:v>
                  </c:pt>
                  <c:pt idx="19">
                    <c:v>Site 18</c:v>
                  </c:pt>
                  <c:pt idx="20">
                    <c:v>Site 19</c:v>
                  </c:pt>
                </c:lvl>
                <c:lvl>
                  <c:pt idx="0">
                    <c:v>Seg 1a</c:v>
                  </c:pt>
                  <c:pt idx="3">
                    <c:v>Seg 3</c:v>
                  </c:pt>
                  <c:pt idx="6">
                    <c:v>Seg 1e</c:v>
                  </c:pt>
                  <c:pt idx="12">
                    <c:v>Seg 4a</c:v>
                  </c:pt>
                  <c:pt idx="13">
                    <c:v>Seg 5</c:v>
                  </c:pt>
                  <c:pt idx="19">
                    <c:v>Seg 6a</c:v>
                  </c:pt>
                  <c:pt idx="20">
                    <c:v>Seg 6b</c:v>
                  </c:pt>
                </c:lvl>
              </c:multiLvlStrCache>
            </c:multiLvlStrRef>
          </c:cat>
          <c:val>
            <c:numRef>
              <c:f>'MWS 2015 chemistry'!$K$28:$K$48</c:f>
              <c:numCache>
                <c:formatCode>#,##0.0</c:formatCode>
                <c:ptCount val="21"/>
                <c:pt idx="0">
                  <c:v>19.169920000000001</c:v>
                </c:pt>
                <c:pt idx="1">
                  <c:v>31.115721000000001</c:v>
                </c:pt>
                <c:pt idx="2">
                  <c:v>50.854748000000001</c:v>
                </c:pt>
                <c:pt idx="3">
                  <c:v>18.794146000000001</c:v>
                </c:pt>
                <c:pt idx="4">
                  <c:v>3.2863887000000003</c:v>
                </c:pt>
                <c:pt idx="5">
                  <c:v>7.3275930000000002</c:v>
                </c:pt>
                <c:pt idx="6">
                  <c:v>77.545594000000008</c:v>
                </c:pt>
                <c:pt idx="7">
                  <c:v>91.220500000000001</c:v>
                </c:pt>
                <c:pt idx="8">
                  <c:v>88.633650000000003</c:v>
                </c:pt>
                <c:pt idx="9">
                  <c:v>139.28145000000001</c:v>
                </c:pt>
                <c:pt idx="10">
                  <c:v>106.74160000000001</c:v>
                </c:pt>
                <c:pt idx="11">
                  <c:v>121.79979</c:v>
                </c:pt>
                <c:pt idx="12">
                  <c:v>14.655186</c:v>
                </c:pt>
                <c:pt idx="13">
                  <c:v>1.3620445999999999</c:v>
                </c:pt>
                <c:pt idx="14">
                  <c:v>54.699624</c:v>
                </c:pt>
                <c:pt idx="15">
                  <c:v>1.0902892000000002</c:v>
                </c:pt>
                <c:pt idx="18">
                  <c:v>3.8903501000000005</c:v>
                </c:pt>
                <c:pt idx="19">
                  <c:v>0.17971800000000002</c:v>
                </c:pt>
                <c:pt idx="20">
                  <c:v>3.7013739000000001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A-4312-A1A0-4F64E6C2175A}"/>
            </c:ext>
          </c:extLst>
        </c:ser>
        <c:ser>
          <c:idx val="1"/>
          <c:order val="1"/>
          <c:tx>
            <c:strRef>
              <c:f>'MWS 2015 chemistry'!$L$26:$M$26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'MWS 2015 chemistry'!$M$28:$M$48</c:f>
              <c:numCache>
                <c:formatCode>#,##0.0</c:formatCode>
                <c:ptCount val="21"/>
                <c:pt idx="0">
                  <c:v>24.245592000000002</c:v>
                </c:pt>
                <c:pt idx="1">
                  <c:v>60.014920000000004</c:v>
                </c:pt>
                <c:pt idx="2">
                  <c:v>79.361834999999999</c:v>
                </c:pt>
                <c:pt idx="3">
                  <c:v>14.344764000000001</c:v>
                </c:pt>
                <c:pt idx="6">
                  <c:v>64.262799999999999</c:v>
                </c:pt>
                <c:pt idx="7">
                  <c:v>77.76888000000001</c:v>
                </c:pt>
                <c:pt idx="8">
                  <c:v>72.254805000000005</c:v>
                </c:pt>
                <c:pt idx="9">
                  <c:v>69.068894999999998</c:v>
                </c:pt>
                <c:pt idx="10">
                  <c:v>258.54885000000002</c:v>
                </c:pt>
                <c:pt idx="11">
                  <c:v>123.26204100000001</c:v>
                </c:pt>
                <c:pt idx="12">
                  <c:v>1.429575</c:v>
                </c:pt>
                <c:pt idx="13">
                  <c:v>0.37359560000000008</c:v>
                </c:pt>
                <c:pt idx="14">
                  <c:v>20.703513600000001</c:v>
                </c:pt>
                <c:pt idx="15">
                  <c:v>0.6143088000000001</c:v>
                </c:pt>
                <c:pt idx="16">
                  <c:v>0.33819660000000001</c:v>
                </c:pt>
                <c:pt idx="17">
                  <c:v>2.1443625000000002</c:v>
                </c:pt>
                <c:pt idx="18">
                  <c:v>4.5430532000000001</c:v>
                </c:pt>
                <c:pt idx="19">
                  <c:v>0.30524830000000003</c:v>
                </c:pt>
                <c:pt idx="20">
                  <c:v>0.73766069999999995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A-4312-A1A0-4F64E6C2175A}"/>
            </c:ext>
          </c:extLst>
        </c:ser>
        <c:ser>
          <c:idx val="2"/>
          <c:order val="2"/>
          <c:tx>
            <c:strRef>
              <c:f>'MWS 2015 chemistry'!$N$26:$O$26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'MWS 2015 chemistry'!$O$28:$O$48</c:f>
              <c:numCache>
                <c:formatCode>#,##0.0</c:formatCode>
                <c:ptCount val="21"/>
                <c:pt idx="0">
                  <c:v>2.6385870000000002</c:v>
                </c:pt>
                <c:pt idx="1">
                  <c:v>12.580260000000001</c:v>
                </c:pt>
                <c:pt idx="2">
                  <c:v>22.415736000000003</c:v>
                </c:pt>
                <c:pt idx="3">
                  <c:v>1.7841096000000003</c:v>
                </c:pt>
                <c:pt idx="6">
                  <c:v>12.498570000000001</c:v>
                </c:pt>
                <c:pt idx="7">
                  <c:v>16.664760000000001</c:v>
                </c:pt>
                <c:pt idx="8">
                  <c:v>20.139308</c:v>
                </c:pt>
                <c:pt idx="9">
                  <c:v>22.873200000000001</c:v>
                </c:pt>
                <c:pt idx="10">
                  <c:v>24.507000000000001</c:v>
                </c:pt>
                <c:pt idx="11">
                  <c:v>27.496854000000003</c:v>
                </c:pt>
                <c:pt idx="12">
                  <c:v>1.3655845000000002</c:v>
                </c:pt>
                <c:pt idx="13">
                  <c:v>0.22900429999999999</c:v>
                </c:pt>
                <c:pt idx="14">
                  <c:v>1.6623915</c:v>
                </c:pt>
                <c:pt idx="15">
                  <c:v>0.78531319999999993</c:v>
                </c:pt>
                <c:pt idx="18">
                  <c:v>2.3281650000000003</c:v>
                </c:pt>
                <c:pt idx="19">
                  <c:v>0.54895680000000002</c:v>
                </c:pt>
                <c:pt idx="20">
                  <c:v>0.55875960000000002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A-4312-A1A0-4F64E6C2175A}"/>
            </c:ext>
          </c:extLst>
        </c:ser>
        <c:ser>
          <c:idx val="3"/>
          <c:order val="3"/>
          <c:tx>
            <c:strRef>
              <c:f>'MWS 2015 chemistry'!$P$26:$Q$26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'MWS 2015 chemistry'!$Q$28:$Q$48</c:f>
              <c:numCache>
                <c:formatCode>#,##0.0</c:formatCode>
                <c:ptCount val="21"/>
                <c:pt idx="0">
                  <c:v>0.60995200000000005</c:v>
                </c:pt>
                <c:pt idx="1">
                  <c:v>1.3037724000000002</c:v>
                </c:pt>
                <c:pt idx="2">
                  <c:v>2.7230000000000003</c:v>
                </c:pt>
                <c:pt idx="3">
                  <c:v>0.11164300000000001</c:v>
                </c:pt>
                <c:pt idx="6">
                  <c:v>6.1267500000000004</c:v>
                </c:pt>
                <c:pt idx="7">
                  <c:v>5.9089100000000006</c:v>
                </c:pt>
                <c:pt idx="8">
                  <c:v>10.047870000000001</c:v>
                </c:pt>
                <c:pt idx="9">
                  <c:v>9.5849600000000006</c:v>
                </c:pt>
                <c:pt idx="10">
                  <c:v>10.45632</c:v>
                </c:pt>
                <c:pt idx="11">
                  <c:v>8.2098449999999996</c:v>
                </c:pt>
                <c:pt idx="12">
                  <c:v>0.85175440000000013</c:v>
                </c:pt>
                <c:pt idx="13">
                  <c:v>7.1887199999999998E-2</c:v>
                </c:pt>
                <c:pt idx="14">
                  <c:v>3.1009524000000002</c:v>
                </c:pt>
                <c:pt idx="15">
                  <c:v>0.15684480000000001</c:v>
                </c:pt>
                <c:pt idx="18">
                  <c:v>2.6059110000000003</c:v>
                </c:pt>
                <c:pt idx="19">
                  <c:v>0.36814960000000008</c:v>
                </c:pt>
                <c:pt idx="20">
                  <c:v>0.17971800000000002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A-4312-A1A0-4F64E6C2175A}"/>
            </c:ext>
          </c:extLst>
        </c:ser>
        <c:ser>
          <c:idx val="4"/>
          <c:order val="4"/>
          <c:tx>
            <c:strRef>
              <c:f>'MWS 2015 chemistry'!$R$26:$S$26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'MWS 2015 chemistry'!$S$28:$S$48</c:f>
              <c:numCache>
                <c:formatCode>#,##0.0</c:formatCode>
                <c:ptCount val="21"/>
                <c:pt idx="0">
                  <c:v>8.2234600000000005E-2</c:v>
                </c:pt>
                <c:pt idx="1">
                  <c:v>0.68891900000000006</c:v>
                </c:pt>
                <c:pt idx="2">
                  <c:v>0.71887200000000007</c:v>
                </c:pt>
                <c:pt idx="3" formatCode="#,##0.00">
                  <c:v>1.38873E-2</c:v>
                </c:pt>
                <c:pt idx="6">
                  <c:v>0.74882500000000007</c:v>
                </c:pt>
                <c:pt idx="7">
                  <c:v>0.8386840000000001</c:v>
                </c:pt>
                <c:pt idx="8">
                  <c:v>1.0292940000000002</c:v>
                </c:pt>
                <c:pt idx="9">
                  <c:v>1.2416880000000001</c:v>
                </c:pt>
                <c:pt idx="10">
                  <c:v>1.1273220000000002</c:v>
                </c:pt>
                <c:pt idx="11">
                  <c:v>0.89859</c:v>
                </c:pt>
                <c:pt idx="12" formatCode="#,##0.00">
                  <c:v>1.0619700000000001E-2</c:v>
                </c:pt>
                <c:pt idx="13" formatCode="#,##0.00">
                  <c:v>4.0844999999999999E-2</c:v>
                </c:pt>
                <c:pt idx="14" formatCode="#,##0.00">
                  <c:v>1.6338000000000002E-2</c:v>
                </c:pt>
                <c:pt idx="15" formatCode="#,##0.00">
                  <c:v>2.6957700000000001E-2</c:v>
                </c:pt>
                <c:pt idx="18">
                  <c:v>0.44902270000000005</c:v>
                </c:pt>
                <c:pt idx="19" formatCode="#,##0.00">
                  <c:v>7.7605500000000006E-3</c:v>
                </c:pt>
                <c:pt idx="20" formatCode="#,##0.00">
                  <c:v>2.9953E-2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A-4312-A1A0-4F64E6C2175A}"/>
            </c:ext>
          </c:extLst>
        </c:ser>
        <c:ser>
          <c:idx val="5"/>
          <c:order val="5"/>
          <c:tx>
            <c:strRef>
              <c:f>'MWS 2015 chemistry'!$T$26:$U$26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'MWS 2015 chemistry'!$U$28:$U$48</c:f>
              <c:numCache>
                <c:formatCode>#,##0.0</c:formatCode>
                <c:ptCount val="21"/>
                <c:pt idx="0">
                  <c:v>9.6938800000000006E-2</c:v>
                </c:pt>
                <c:pt idx="1">
                  <c:v>9.7483399999999998E-2</c:v>
                </c:pt>
                <c:pt idx="2">
                  <c:v>1.4159600000000001</c:v>
                </c:pt>
                <c:pt idx="3" formatCode="#,##0.00">
                  <c:v>2.2328600000000001E-2</c:v>
                </c:pt>
                <c:pt idx="4">
                  <c:v>6.0995199999999999E-2</c:v>
                </c:pt>
                <c:pt idx="5" formatCode="#,##0.00">
                  <c:v>8.4413000000000005E-3</c:v>
                </c:pt>
                <c:pt idx="6">
                  <c:v>0.62629000000000001</c:v>
                </c:pt>
                <c:pt idx="7">
                  <c:v>1.7645040000000001</c:v>
                </c:pt>
                <c:pt idx="8">
                  <c:v>1.30704</c:v>
                </c:pt>
                <c:pt idx="9">
                  <c:v>2.8673190000000002</c:v>
                </c:pt>
                <c:pt idx="10">
                  <c:v>1.1436600000000001</c:v>
                </c:pt>
                <c:pt idx="11">
                  <c:v>1.2035660000000001</c:v>
                </c:pt>
                <c:pt idx="12">
                  <c:v>3.1314500000000002E-2</c:v>
                </c:pt>
                <c:pt idx="13">
                  <c:v>3.4854400000000001E-2</c:v>
                </c:pt>
                <c:pt idx="14">
                  <c:v>3.5399E-2</c:v>
                </c:pt>
                <c:pt idx="15">
                  <c:v>4.1389600000000006E-2</c:v>
                </c:pt>
                <c:pt idx="16">
                  <c:v>1.6338000000000001E-3</c:v>
                </c:pt>
                <c:pt idx="17">
                  <c:v>1.2645612000000002</c:v>
                </c:pt>
                <c:pt idx="18">
                  <c:v>1.6969736</c:v>
                </c:pt>
                <c:pt idx="19" formatCode="#,##0.00">
                  <c:v>1.3070400000000001E-2</c:v>
                </c:pt>
                <c:pt idx="20" formatCode="#,##0.00">
                  <c:v>8.7136000000000002E-3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1A-4312-A1A0-4F64E6C2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63104"/>
        <c:axId val="403156872"/>
      </c:barChart>
      <c:catAx>
        <c:axId val="4031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56872"/>
        <c:crosses val="autoZero"/>
        <c:auto val="1"/>
        <c:lblAlgn val="ctr"/>
        <c:lblOffset val="100"/>
        <c:noMultiLvlLbl val="0"/>
      </c:catAx>
      <c:valAx>
        <c:axId val="40315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631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Loading Pounds Segment 1e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'MWS 2015 chemistry'!$J$26:$K$26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'MWS 2015 chemistry'!$B$34:$C$39</c:f>
              <c:multiLvlStrCache>
                <c:ptCount val="6"/>
                <c:lvl>
                  <c:pt idx="0">
                    <c:v>Little Bear</c:v>
                  </c:pt>
                  <c:pt idx="1">
                    <c:v>Bear Creek Cabins</c:v>
                  </c:pt>
                  <c:pt idx="2">
                    <c:v>O'Fallon Park</c:v>
                  </c:pt>
                  <c:pt idx="3">
                    <c:v>Lair o' Bear Park</c:v>
                  </c:pt>
                  <c:pt idx="4">
                    <c:v>Idledale, Shady Lane</c:v>
                  </c:pt>
                  <c:pt idx="5">
                    <c:v>Morrison Park west</c:v>
                  </c:pt>
                </c:lvl>
                <c:lvl>
                  <c:pt idx="0">
                    <c:v>Site 5</c:v>
                  </c:pt>
                  <c:pt idx="1">
                    <c:v>Site 8a</c:v>
                  </c:pt>
                  <c:pt idx="2">
                    <c:v>Site 9</c:v>
                  </c:pt>
                  <c:pt idx="3">
                    <c:v>Site 12</c:v>
                  </c:pt>
                  <c:pt idx="4">
                    <c:v>Site 13a</c:v>
                  </c:pt>
                  <c:pt idx="5">
                    <c:v>Site 14a</c:v>
                  </c:pt>
                </c:lvl>
              </c:multiLvlStrCache>
            </c:multiLvlStrRef>
          </c:cat>
          <c:val>
            <c:numRef>
              <c:f>'MWS 2015 chemistry'!$K$34:$K$39</c:f>
              <c:numCache>
                <c:formatCode>#,##0.0</c:formatCode>
                <c:ptCount val="6"/>
                <c:pt idx="0">
                  <c:v>77.545594000000008</c:v>
                </c:pt>
                <c:pt idx="1">
                  <c:v>91.220500000000001</c:v>
                </c:pt>
                <c:pt idx="2">
                  <c:v>88.633650000000003</c:v>
                </c:pt>
                <c:pt idx="3">
                  <c:v>139.28145000000001</c:v>
                </c:pt>
                <c:pt idx="4">
                  <c:v>106.74160000000001</c:v>
                </c:pt>
                <c:pt idx="5">
                  <c:v>121.79979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8-4845-A6D4-3273DE4C5CE5}"/>
            </c:ext>
          </c:extLst>
        </c:ser>
        <c:ser>
          <c:idx val="1"/>
          <c:order val="1"/>
          <c:tx>
            <c:strRef>
              <c:f>'MWS 2015 chemistry'!$L$26:$M$26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'MWS 2015 chemistry'!$B$34:$C$39</c:f>
              <c:multiLvlStrCache>
                <c:ptCount val="6"/>
                <c:lvl>
                  <c:pt idx="0">
                    <c:v>Little Bear</c:v>
                  </c:pt>
                  <c:pt idx="1">
                    <c:v>Bear Creek Cabins</c:v>
                  </c:pt>
                  <c:pt idx="2">
                    <c:v>O'Fallon Park</c:v>
                  </c:pt>
                  <c:pt idx="3">
                    <c:v>Lair o' Bear Park</c:v>
                  </c:pt>
                  <c:pt idx="4">
                    <c:v>Idledale, Shady Lane</c:v>
                  </c:pt>
                  <c:pt idx="5">
                    <c:v>Morrison Park west</c:v>
                  </c:pt>
                </c:lvl>
                <c:lvl>
                  <c:pt idx="0">
                    <c:v>Site 5</c:v>
                  </c:pt>
                  <c:pt idx="1">
                    <c:v>Site 8a</c:v>
                  </c:pt>
                  <c:pt idx="2">
                    <c:v>Site 9</c:v>
                  </c:pt>
                  <c:pt idx="3">
                    <c:v>Site 12</c:v>
                  </c:pt>
                  <c:pt idx="4">
                    <c:v>Site 13a</c:v>
                  </c:pt>
                  <c:pt idx="5">
                    <c:v>Site 14a</c:v>
                  </c:pt>
                </c:lvl>
              </c:multiLvlStrCache>
            </c:multiLvlStrRef>
          </c:cat>
          <c:val>
            <c:numRef>
              <c:f>'MWS 2015 chemistry'!$M$34:$M$39</c:f>
              <c:numCache>
                <c:formatCode>#,##0.0</c:formatCode>
                <c:ptCount val="6"/>
                <c:pt idx="0">
                  <c:v>64.262799999999999</c:v>
                </c:pt>
                <c:pt idx="1">
                  <c:v>77.76888000000001</c:v>
                </c:pt>
                <c:pt idx="2">
                  <c:v>72.254805000000005</c:v>
                </c:pt>
                <c:pt idx="3">
                  <c:v>69.068894999999998</c:v>
                </c:pt>
                <c:pt idx="4">
                  <c:v>258.54885000000002</c:v>
                </c:pt>
                <c:pt idx="5">
                  <c:v>123.26204100000001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8-4845-A6D4-3273DE4C5CE5}"/>
            </c:ext>
          </c:extLst>
        </c:ser>
        <c:ser>
          <c:idx val="2"/>
          <c:order val="2"/>
          <c:tx>
            <c:strRef>
              <c:f>'MWS 2015 chemistry'!$N$26:$O$26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'MWS 2015 chemistry'!$B$34:$C$39</c:f>
              <c:multiLvlStrCache>
                <c:ptCount val="6"/>
                <c:lvl>
                  <c:pt idx="0">
                    <c:v>Little Bear</c:v>
                  </c:pt>
                  <c:pt idx="1">
                    <c:v>Bear Creek Cabins</c:v>
                  </c:pt>
                  <c:pt idx="2">
                    <c:v>O'Fallon Park</c:v>
                  </c:pt>
                  <c:pt idx="3">
                    <c:v>Lair o' Bear Park</c:v>
                  </c:pt>
                  <c:pt idx="4">
                    <c:v>Idledale, Shady Lane</c:v>
                  </c:pt>
                  <c:pt idx="5">
                    <c:v>Morrison Park west</c:v>
                  </c:pt>
                </c:lvl>
                <c:lvl>
                  <c:pt idx="0">
                    <c:v>Site 5</c:v>
                  </c:pt>
                  <c:pt idx="1">
                    <c:v>Site 8a</c:v>
                  </c:pt>
                  <c:pt idx="2">
                    <c:v>Site 9</c:v>
                  </c:pt>
                  <c:pt idx="3">
                    <c:v>Site 12</c:v>
                  </c:pt>
                  <c:pt idx="4">
                    <c:v>Site 13a</c:v>
                  </c:pt>
                  <c:pt idx="5">
                    <c:v>Site 14a</c:v>
                  </c:pt>
                </c:lvl>
              </c:multiLvlStrCache>
            </c:multiLvlStrRef>
          </c:cat>
          <c:val>
            <c:numRef>
              <c:f>'MWS 2015 chemistry'!$O$34:$O$39</c:f>
              <c:numCache>
                <c:formatCode>#,##0.0</c:formatCode>
                <c:ptCount val="6"/>
                <c:pt idx="0">
                  <c:v>12.498570000000001</c:v>
                </c:pt>
                <c:pt idx="1">
                  <c:v>16.664760000000001</c:v>
                </c:pt>
                <c:pt idx="2">
                  <c:v>20.139308</c:v>
                </c:pt>
                <c:pt idx="3">
                  <c:v>22.873200000000001</c:v>
                </c:pt>
                <c:pt idx="4">
                  <c:v>24.507000000000001</c:v>
                </c:pt>
                <c:pt idx="5">
                  <c:v>27.496854000000003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8-4845-A6D4-3273DE4C5CE5}"/>
            </c:ext>
          </c:extLst>
        </c:ser>
        <c:ser>
          <c:idx val="3"/>
          <c:order val="3"/>
          <c:tx>
            <c:strRef>
              <c:f>'MWS 2015 chemistry'!$P$26:$Q$26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'MWS 2015 chemistry'!$B$34:$C$39</c:f>
              <c:multiLvlStrCache>
                <c:ptCount val="6"/>
                <c:lvl>
                  <c:pt idx="0">
                    <c:v>Little Bear</c:v>
                  </c:pt>
                  <c:pt idx="1">
                    <c:v>Bear Creek Cabins</c:v>
                  </c:pt>
                  <c:pt idx="2">
                    <c:v>O'Fallon Park</c:v>
                  </c:pt>
                  <c:pt idx="3">
                    <c:v>Lair o' Bear Park</c:v>
                  </c:pt>
                  <c:pt idx="4">
                    <c:v>Idledale, Shady Lane</c:v>
                  </c:pt>
                  <c:pt idx="5">
                    <c:v>Morrison Park west</c:v>
                  </c:pt>
                </c:lvl>
                <c:lvl>
                  <c:pt idx="0">
                    <c:v>Site 5</c:v>
                  </c:pt>
                  <c:pt idx="1">
                    <c:v>Site 8a</c:v>
                  </c:pt>
                  <c:pt idx="2">
                    <c:v>Site 9</c:v>
                  </c:pt>
                  <c:pt idx="3">
                    <c:v>Site 12</c:v>
                  </c:pt>
                  <c:pt idx="4">
                    <c:v>Site 13a</c:v>
                  </c:pt>
                  <c:pt idx="5">
                    <c:v>Site 14a</c:v>
                  </c:pt>
                </c:lvl>
              </c:multiLvlStrCache>
            </c:multiLvlStrRef>
          </c:cat>
          <c:val>
            <c:numRef>
              <c:f>'MWS 2015 chemistry'!$Q$34:$Q$39</c:f>
              <c:numCache>
                <c:formatCode>#,##0.0</c:formatCode>
                <c:ptCount val="6"/>
                <c:pt idx="0">
                  <c:v>6.1267500000000004</c:v>
                </c:pt>
                <c:pt idx="1">
                  <c:v>5.9089100000000006</c:v>
                </c:pt>
                <c:pt idx="2">
                  <c:v>10.047870000000001</c:v>
                </c:pt>
                <c:pt idx="3">
                  <c:v>9.5849600000000006</c:v>
                </c:pt>
                <c:pt idx="4">
                  <c:v>10.45632</c:v>
                </c:pt>
                <c:pt idx="5">
                  <c:v>8.2098449999999996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8-4845-A6D4-3273DE4C5CE5}"/>
            </c:ext>
          </c:extLst>
        </c:ser>
        <c:ser>
          <c:idx val="4"/>
          <c:order val="4"/>
          <c:tx>
            <c:strRef>
              <c:f>'MWS 2015 chemistry'!$R$26:$S$26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'MWS 2015 chemistry'!$B$34:$C$39</c:f>
              <c:multiLvlStrCache>
                <c:ptCount val="6"/>
                <c:lvl>
                  <c:pt idx="0">
                    <c:v>Little Bear</c:v>
                  </c:pt>
                  <c:pt idx="1">
                    <c:v>Bear Creek Cabins</c:v>
                  </c:pt>
                  <c:pt idx="2">
                    <c:v>O'Fallon Park</c:v>
                  </c:pt>
                  <c:pt idx="3">
                    <c:v>Lair o' Bear Park</c:v>
                  </c:pt>
                  <c:pt idx="4">
                    <c:v>Idledale, Shady Lane</c:v>
                  </c:pt>
                  <c:pt idx="5">
                    <c:v>Morrison Park west</c:v>
                  </c:pt>
                </c:lvl>
                <c:lvl>
                  <c:pt idx="0">
                    <c:v>Site 5</c:v>
                  </c:pt>
                  <c:pt idx="1">
                    <c:v>Site 8a</c:v>
                  </c:pt>
                  <c:pt idx="2">
                    <c:v>Site 9</c:v>
                  </c:pt>
                  <c:pt idx="3">
                    <c:v>Site 12</c:v>
                  </c:pt>
                  <c:pt idx="4">
                    <c:v>Site 13a</c:v>
                  </c:pt>
                  <c:pt idx="5">
                    <c:v>Site 14a</c:v>
                  </c:pt>
                </c:lvl>
              </c:multiLvlStrCache>
            </c:multiLvlStrRef>
          </c:cat>
          <c:val>
            <c:numRef>
              <c:f>'MWS 2015 chemistry'!$S$34:$S$39</c:f>
              <c:numCache>
                <c:formatCode>#,##0.0</c:formatCode>
                <c:ptCount val="6"/>
                <c:pt idx="0">
                  <c:v>0.74882500000000007</c:v>
                </c:pt>
                <c:pt idx="1">
                  <c:v>0.8386840000000001</c:v>
                </c:pt>
                <c:pt idx="2">
                  <c:v>1.0292940000000002</c:v>
                </c:pt>
                <c:pt idx="3">
                  <c:v>1.2416880000000001</c:v>
                </c:pt>
                <c:pt idx="4">
                  <c:v>1.1273220000000002</c:v>
                </c:pt>
                <c:pt idx="5">
                  <c:v>0.89859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8-4845-A6D4-3273DE4C5CE5}"/>
            </c:ext>
          </c:extLst>
        </c:ser>
        <c:ser>
          <c:idx val="5"/>
          <c:order val="5"/>
          <c:tx>
            <c:strRef>
              <c:f>'MWS 2015 chemistry'!$T$26:$U$26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'MWS 2015 chemistry'!$B$34:$C$39</c:f>
              <c:multiLvlStrCache>
                <c:ptCount val="6"/>
                <c:lvl>
                  <c:pt idx="0">
                    <c:v>Little Bear</c:v>
                  </c:pt>
                  <c:pt idx="1">
                    <c:v>Bear Creek Cabins</c:v>
                  </c:pt>
                  <c:pt idx="2">
                    <c:v>O'Fallon Park</c:v>
                  </c:pt>
                  <c:pt idx="3">
                    <c:v>Lair o' Bear Park</c:v>
                  </c:pt>
                  <c:pt idx="4">
                    <c:v>Idledale, Shady Lane</c:v>
                  </c:pt>
                  <c:pt idx="5">
                    <c:v>Morrison Park west</c:v>
                  </c:pt>
                </c:lvl>
                <c:lvl>
                  <c:pt idx="0">
                    <c:v>Site 5</c:v>
                  </c:pt>
                  <c:pt idx="1">
                    <c:v>Site 8a</c:v>
                  </c:pt>
                  <c:pt idx="2">
                    <c:v>Site 9</c:v>
                  </c:pt>
                  <c:pt idx="3">
                    <c:v>Site 12</c:v>
                  </c:pt>
                  <c:pt idx="4">
                    <c:v>Site 13a</c:v>
                  </c:pt>
                  <c:pt idx="5">
                    <c:v>Site 14a</c:v>
                  </c:pt>
                </c:lvl>
              </c:multiLvlStrCache>
            </c:multiLvlStrRef>
          </c:cat>
          <c:val>
            <c:numRef>
              <c:f>'MWS 2015 chemistry'!$U$34:$U$39</c:f>
              <c:numCache>
                <c:formatCode>#,##0.0</c:formatCode>
                <c:ptCount val="6"/>
                <c:pt idx="0">
                  <c:v>0.62629000000000001</c:v>
                </c:pt>
                <c:pt idx="1">
                  <c:v>1.7645040000000001</c:v>
                </c:pt>
                <c:pt idx="2">
                  <c:v>1.30704</c:v>
                </c:pt>
                <c:pt idx="3">
                  <c:v>2.8673190000000002</c:v>
                </c:pt>
                <c:pt idx="4">
                  <c:v>1.1436600000000001</c:v>
                </c:pt>
                <c:pt idx="5">
                  <c:v>1.2035660000000001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88-4845-A6D4-3273DE4C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126840"/>
        <c:axId val="216149144"/>
      </c:barChart>
      <c:catAx>
        <c:axId val="21612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149144"/>
        <c:crosses val="autoZero"/>
        <c:auto val="1"/>
        <c:lblAlgn val="ctr"/>
        <c:lblOffset val="100"/>
        <c:noMultiLvlLbl val="0"/>
      </c:catAx>
      <c:valAx>
        <c:axId val="21614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12684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image" Target="../media/image1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0.xml"/><Relationship Id="rId3" Type="http://schemas.openxmlformats.org/officeDocument/2006/relationships/chart" Target="../charts/chart65.xml"/><Relationship Id="rId7" Type="http://schemas.openxmlformats.org/officeDocument/2006/relationships/chart" Target="../charts/chart69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6" Type="http://schemas.openxmlformats.org/officeDocument/2006/relationships/chart" Target="../charts/chart68.xml"/><Relationship Id="rId5" Type="http://schemas.openxmlformats.org/officeDocument/2006/relationships/chart" Target="../charts/chart67.xml"/><Relationship Id="rId4" Type="http://schemas.openxmlformats.org/officeDocument/2006/relationships/chart" Target="../charts/chart66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13" Type="http://schemas.openxmlformats.org/officeDocument/2006/relationships/chart" Target="../charts/chart93.xml"/><Relationship Id="rId18" Type="http://schemas.openxmlformats.org/officeDocument/2006/relationships/chart" Target="../charts/chart9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12" Type="http://schemas.openxmlformats.org/officeDocument/2006/relationships/chart" Target="../charts/chart92.xml"/><Relationship Id="rId17" Type="http://schemas.openxmlformats.org/officeDocument/2006/relationships/chart" Target="../charts/chart97.xml"/><Relationship Id="rId2" Type="http://schemas.openxmlformats.org/officeDocument/2006/relationships/chart" Target="../charts/chart82.xml"/><Relationship Id="rId16" Type="http://schemas.openxmlformats.org/officeDocument/2006/relationships/chart" Target="../charts/chart96.xml"/><Relationship Id="rId20" Type="http://schemas.openxmlformats.org/officeDocument/2006/relationships/chart" Target="../charts/chart100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5" Type="http://schemas.openxmlformats.org/officeDocument/2006/relationships/chart" Target="../charts/chart85.xml"/><Relationship Id="rId15" Type="http://schemas.openxmlformats.org/officeDocument/2006/relationships/chart" Target="../charts/chart95.xml"/><Relationship Id="rId10" Type="http://schemas.openxmlformats.org/officeDocument/2006/relationships/chart" Target="../charts/chart90.xml"/><Relationship Id="rId19" Type="http://schemas.openxmlformats.org/officeDocument/2006/relationships/chart" Target="../charts/chart99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Relationship Id="rId14" Type="http://schemas.openxmlformats.org/officeDocument/2006/relationships/chart" Target="../charts/chart9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3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5" Type="http://schemas.openxmlformats.org/officeDocument/2006/relationships/chart" Target="../charts/chart105.xml"/><Relationship Id="rId4" Type="http://schemas.openxmlformats.org/officeDocument/2006/relationships/chart" Target="../charts/chart10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4" Type="http://schemas.openxmlformats.org/officeDocument/2006/relationships/chart" Target="../charts/chart10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22</xdr:row>
      <xdr:rowOff>123825</xdr:rowOff>
    </xdr:from>
    <xdr:to>
      <xdr:col>12</xdr:col>
      <xdr:colOff>114300</xdr:colOff>
      <xdr:row>37</xdr:row>
      <xdr:rowOff>38100</xdr:rowOff>
    </xdr:to>
    <xdr:graphicFrame macro="">
      <xdr:nvGraphicFramePr>
        <xdr:cNvPr id="1445" name="Chart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22</xdr:row>
      <xdr:rowOff>123825</xdr:rowOff>
    </xdr:from>
    <xdr:to>
      <xdr:col>15</xdr:col>
      <xdr:colOff>314325</xdr:colOff>
      <xdr:row>37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55</xdr:row>
      <xdr:rowOff>0</xdr:rowOff>
    </xdr:from>
    <xdr:to>
      <xdr:col>16</xdr:col>
      <xdr:colOff>152400</xdr:colOff>
      <xdr:row>71</xdr:row>
      <xdr:rowOff>137160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438149</xdr:colOff>
      <xdr:row>37</xdr:row>
      <xdr:rowOff>167641</xdr:rowOff>
    </xdr:from>
    <xdr:to>
      <xdr:col>16</xdr:col>
      <xdr:colOff>142874</xdr:colOff>
      <xdr:row>53</xdr:row>
      <xdr:rowOff>148591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</xdr:colOff>
      <xdr:row>22</xdr:row>
      <xdr:rowOff>152400</xdr:rowOff>
    </xdr:from>
    <xdr:to>
      <xdr:col>32</xdr:col>
      <xdr:colOff>388620</xdr:colOff>
      <xdr:row>37</xdr:row>
      <xdr:rowOff>66675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9525</xdr:colOff>
      <xdr:row>38</xdr:row>
      <xdr:rowOff>19050</xdr:rowOff>
    </xdr:from>
    <xdr:to>
      <xdr:col>32</xdr:col>
      <xdr:colOff>373380</xdr:colOff>
      <xdr:row>52</xdr:row>
      <xdr:rowOff>152399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521609</xdr:colOff>
      <xdr:row>24</xdr:row>
      <xdr:rowOff>90714</xdr:rowOff>
    </xdr:from>
    <xdr:to>
      <xdr:col>18</xdr:col>
      <xdr:colOff>144781</xdr:colOff>
      <xdr:row>41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24</xdr:row>
      <xdr:rowOff>112394</xdr:rowOff>
    </xdr:from>
    <xdr:to>
      <xdr:col>9</xdr:col>
      <xdr:colOff>476250</xdr:colOff>
      <xdr:row>43</xdr:row>
      <xdr:rowOff>30480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</xdr:colOff>
      <xdr:row>54</xdr:row>
      <xdr:rowOff>91440</xdr:rowOff>
    </xdr:from>
    <xdr:to>
      <xdr:col>12</xdr:col>
      <xdr:colOff>563880</xdr:colOff>
      <xdr:row>66</xdr:row>
      <xdr:rowOff>41092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23</xdr:row>
      <xdr:rowOff>158749</xdr:rowOff>
    </xdr:from>
    <xdr:to>
      <xdr:col>29</xdr:col>
      <xdr:colOff>238124</xdr:colOff>
      <xdr:row>45</xdr:row>
      <xdr:rowOff>113392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782411</xdr:colOff>
      <xdr:row>111</xdr:row>
      <xdr:rowOff>79376</xdr:rowOff>
    </xdr:from>
    <xdr:to>
      <xdr:col>23</xdr:col>
      <xdr:colOff>1065893</xdr:colOff>
      <xdr:row>139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601980</xdr:colOff>
      <xdr:row>2</xdr:row>
      <xdr:rowOff>320040</xdr:rowOff>
    </xdr:from>
    <xdr:to>
      <xdr:col>59</xdr:col>
      <xdr:colOff>571500</xdr:colOff>
      <xdr:row>17</xdr:row>
      <xdr:rowOff>137160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0</xdr:colOff>
      <xdr:row>70</xdr:row>
      <xdr:rowOff>0</xdr:rowOff>
    </xdr:from>
    <xdr:to>
      <xdr:col>13</xdr:col>
      <xdr:colOff>325107</xdr:colOff>
      <xdr:row>81</xdr:row>
      <xdr:rowOff>15420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26380" y="13152120"/>
          <a:ext cx="5712447" cy="20728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1</xdr:row>
      <xdr:rowOff>175260</xdr:rowOff>
    </xdr:from>
    <xdr:to>
      <xdr:col>33</xdr:col>
      <xdr:colOff>469900</xdr:colOff>
      <xdr:row>25</xdr:row>
      <xdr:rowOff>48260</xdr:rowOff>
    </xdr:to>
    <xdr:graphicFrame macro="">
      <xdr:nvGraphicFramePr>
        <xdr:cNvPr id="23721" name="Chart 1">
          <a:extLst>
            <a:ext uri="{FF2B5EF4-FFF2-40B4-BE49-F238E27FC236}">
              <a16:creationId xmlns:a16="http://schemas.microsoft.com/office/drawing/2014/main" id="{00000000-0008-0000-0800-0000A9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345440</xdr:colOff>
      <xdr:row>26</xdr:row>
      <xdr:rowOff>48260</xdr:rowOff>
    </xdr:from>
    <xdr:to>
      <xdr:col>33</xdr:col>
      <xdr:colOff>495300</xdr:colOff>
      <xdr:row>57</xdr:row>
      <xdr:rowOff>126999</xdr:rowOff>
    </xdr:to>
    <xdr:graphicFrame macro="">
      <xdr:nvGraphicFramePr>
        <xdr:cNvPr id="23722" name="Chart 2">
          <a:extLst>
            <a:ext uri="{FF2B5EF4-FFF2-40B4-BE49-F238E27FC236}">
              <a16:creationId xmlns:a16="http://schemas.microsoft.com/office/drawing/2014/main" id="{00000000-0008-0000-0800-0000AA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43814</xdr:colOff>
      <xdr:row>27</xdr:row>
      <xdr:rowOff>43814</xdr:rowOff>
    </xdr:from>
    <xdr:to>
      <xdr:col>30</xdr:col>
      <xdr:colOff>419100</xdr:colOff>
      <xdr:row>54</xdr:row>
      <xdr:rowOff>20320</xdr:rowOff>
    </xdr:to>
    <xdr:graphicFrame macro="">
      <xdr:nvGraphicFramePr>
        <xdr:cNvPr id="29865" name="Chart 1">
          <a:extLst>
            <a:ext uri="{FF2B5EF4-FFF2-40B4-BE49-F238E27FC236}">
              <a16:creationId xmlns:a16="http://schemas.microsoft.com/office/drawing/2014/main" id="{00000000-0008-0000-0900-0000A9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819150</xdr:colOff>
      <xdr:row>1</xdr:row>
      <xdr:rowOff>11430</xdr:rowOff>
    </xdr:from>
    <xdr:to>
      <xdr:col>30</xdr:col>
      <xdr:colOff>533400</xdr:colOff>
      <xdr:row>24</xdr:row>
      <xdr:rowOff>170180</xdr:rowOff>
    </xdr:to>
    <xdr:graphicFrame macro="">
      <xdr:nvGraphicFramePr>
        <xdr:cNvPr id="29866" name="Chart 2">
          <a:extLst>
            <a:ext uri="{FF2B5EF4-FFF2-40B4-BE49-F238E27FC236}">
              <a16:creationId xmlns:a16="http://schemas.microsoft.com/office/drawing/2014/main" id="{00000000-0008-0000-0900-0000AA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701040</xdr:colOff>
      <xdr:row>32</xdr:row>
      <xdr:rowOff>162560</xdr:rowOff>
    </xdr:from>
    <xdr:to>
      <xdr:col>31</xdr:col>
      <xdr:colOff>584200</xdr:colOff>
      <xdr:row>64</xdr:row>
      <xdr:rowOff>152400</xdr:rowOff>
    </xdr:to>
    <xdr:graphicFrame macro="">
      <xdr:nvGraphicFramePr>
        <xdr:cNvPr id="24661" name="Chart 1">
          <a:extLst>
            <a:ext uri="{FF2B5EF4-FFF2-40B4-BE49-F238E27FC236}">
              <a16:creationId xmlns:a16="http://schemas.microsoft.com/office/drawing/2014/main" id="{00000000-0008-0000-0A00-00005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660400</xdr:colOff>
      <xdr:row>3</xdr:row>
      <xdr:rowOff>12700</xdr:rowOff>
    </xdr:from>
    <xdr:to>
      <xdr:col>31</xdr:col>
      <xdr:colOff>482600</xdr:colOff>
      <xdr:row>31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698500</xdr:colOff>
      <xdr:row>1</xdr:row>
      <xdr:rowOff>130174</xdr:rowOff>
    </xdr:from>
    <xdr:to>
      <xdr:col>36</xdr:col>
      <xdr:colOff>368300</xdr:colOff>
      <xdr:row>29</xdr:row>
      <xdr:rowOff>114300</xdr:rowOff>
    </xdr:to>
    <xdr:graphicFrame macro="">
      <xdr:nvGraphicFramePr>
        <xdr:cNvPr id="17493" name="Chart 1">
          <a:extLst>
            <a:ext uri="{FF2B5EF4-FFF2-40B4-BE49-F238E27FC236}">
              <a16:creationId xmlns:a16="http://schemas.microsoft.com/office/drawing/2014/main" id="{00000000-0008-0000-0B00-00005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38100</xdr:colOff>
      <xdr:row>32</xdr:row>
      <xdr:rowOff>177800</xdr:rowOff>
    </xdr:from>
    <xdr:to>
      <xdr:col>36</xdr:col>
      <xdr:colOff>444500</xdr:colOff>
      <xdr:row>61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325751</xdr:colOff>
      <xdr:row>10</xdr:row>
      <xdr:rowOff>154303</xdr:rowOff>
    </xdr:from>
    <xdr:to>
      <xdr:col>17</xdr:col>
      <xdr:colOff>95249</xdr:colOff>
      <xdr:row>37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333374</xdr:colOff>
      <xdr:row>10</xdr:row>
      <xdr:rowOff>97155</xdr:rowOff>
    </xdr:from>
    <xdr:to>
      <xdr:col>34</xdr:col>
      <xdr:colOff>53340</xdr:colOff>
      <xdr:row>35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21</xdr:row>
      <xdr:rowOff>3174</xdr:rowOff>
    </xdr:from>
    <xdr:to>
      <xdr:col>12</xdr:col>
      <xdr:colOff>533400</xdr:colOff>
      <xdr:row>42</xdr:row>
      <xdr:rowOff>101600</xdr:rowOff>
    </xdr:to>
    <xdr:graphicFrame macro="">
      <xdr:nvGraphicFramePr>
        <xdr:cNvPr id="33963" name="Chart 1">
          <a:extLst>
            <a:ext uri="{FF2B5EF4-FFF2-40B4-BE49-F238E27FC236}">
              <a16:creationId xmlns:a16="http://schemas.microsoft.com/office/drawing/2014/main" id="{00000000-0008-0000-0D00-0000A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177800</xdr:colOff>
      <xdr:row>19</xdr:row>
      <xdr:rowOff>101600</xdr:rowOff>
    </xdr:from>
    <xdr:to>
      <xdr:col>25</xdr:col>
      <xdr:colOff>416560</xdr:colOff>
      <xdr:row>42</xdr:row>
      <xdr:rowOff>139700</xdr:rowOff>
    </xdr:to>
    <xdr:graphicFrame macro="">
      <xdr:nvGraphicFramePr>
        <xdr:cNvPr id="33964" name="Chart 2">
          <a:extLst>
            <a:ext uri="{FF2B5EF4-FFF2-40B4-BE49-F238E27FC236}">
              <a16:creationId xmlns:a16="http://schemas.microsoft.com/office/drawing/2014/main" id="{00000000-0008-0000-0D00-0000A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937260</xdr:colOff>
      <xdr:row>62</xdr:row>
      <xdr:rowOff>101600</xdr:rowOff>
    </xdr:from>
    <xdr:to>
      <xdr:col>15</xdr:col>
      <xdr:colOff>294640</xdr:colOff>
      <xdr:row>93</xdr:row>
      <xdr:rowOff>162560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36</xdr:row>
      <xdr:rowOff>63500</xdr:rowOff>
    </xdr:from>
    <xdr:to>
      <xdr:col>10</xdr:col>
      <xdr:colOff>723900</xdr:colOff>
      <xdr:row>64</xdr:row>
      <xdr:rowOff>63500</xdr:rowOff>
    </xdr:to>
    <xdr:graphicFrame macro="">
      <xdr:nvGraphicFramePr>
        <xdr:cNvPr id="28757" name="Chart 1">
          <a:extLst>
            <a:ext uri="{FF2B5EF4-FFF2-40B4-BE49-F238E27FC236}">
              <a16:creationId xmlns:a16="http://schemas.microsoft.com/office/drawing/2014/main" id="{00000000-0008-0000-0E00-000055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454660</xdr:colOff>
      <xdr:row>36</xdr:row>
      <xdr:rowOff>139700</xdr:rowOff>
    </xdr:from>
    <xdr:to>
      <xdr:col>24</xdr:col>
      <xdr:colOff>375920</xdr:colOff>
      <xdr:row>64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584200</xdr:colOff>
      <xdr:row>67</xdr:row>
      <xdr:rowOff>152400</xdr:rowOff>
    </xdr:from>
    <xdr:to>
      <xdr:col>11</xdr:col>
      <xdr:colOff>101600</xdr:colOff>
      <xdr:row>88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381000</xdr:colOff>
      <xdr:row>67</xdr:row>
      <xdr:rowOff>152400</xdr:rowOff>
    </xdr:from>
    <xdr:to>
      <xdr:col>24</xdr:col>
      <xdr:colOff>213360</xdr:colOff>
      <xdr:row>88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538480</xdr:colOff>
      <xdr:row>21</xdr:row>
      <xdr:rowOff>40640</xdr:rowOff>
    </xdr:from>
    <xdr:to>
      <xdr:col>33</xdr:col>
      <xdr:colOff>386080</xdr:colOff>
      <xdr:row>40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815975</xdr:colOff>
      <xdr:row>23</xdr:row>
      <xdr:rowOff>139700</xdr:rowOff>
    </xdr:from>
    <xdr:to>
      <xdr:col>12</xdr:col>
      <xdr:colOff>345440</xdr:colOff>
      <xdr:row>49</xdr:row>
      <xdr:rowOff>132080</xdr:rowOff>
    </xdr:to>
    <xdr:graphicFrame macro="">
      <xdr:nvGraphicFramePr>
        <xdr:cNvPr id="18517" name="Chart 1">
          <a:extLst>
            <a:ext uri="{FF2B5EF4-FFF2-40B4-BE49-F238E27FC236}">
              <a16:creationId xmlns:a16="http://schemas.microsoft.com/office/drawing/2014/main" id="{00000000-0008-0000-0F00-000055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276224</xdr:colOff>
      <xdr:row>24</xdr:row>
      <xdr:rowOff>150283</xdr:rowOff>
    </xdr:from>
    <xdr:to>
      <xdr:col>21</xdr:col>
      <xdr:colOff>190499</xdr:colOff>
      <xdr:row>51</xdr:row>
      <xdr:rowOff>93133</xdr:rowOff>
    </xdr:to>
    <xdr:graphicFrame macro="">
      <xdr:nvGraphicFramePr>
        <xdr:cNvPr id="12457" name="Chart 1">
          <a:extLst>
            <a:ext uri="{FF2B5EF4-FFF2-40B4-BE49-F238E27FC236}">
              <a16:creationId xmlns:a16="http://schemas.microsoft.com/office/drawing/2014/main" id="{00000000-0008-0000-1000-0000A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24</xdr:row>
      <xdr:rowOff>169544</xdr:rowOff>
    </xdr:from>
    <xdr:to>
      <xdr:col>9</xdr:col>
      <xdr:colOff>692785</xdr:colOff>
      <xdr:row>52</xdr:row>
      <xdr:rowOff>7620</xdr:rowOff>
    </xdr:to>
    <xdr:graphicFrame macro="">
      <xdr:nvGraphicFramePr>
        <xdr:cNvPr id="12458" name="Chart 2">
          <a:extLst>
            <a:ext uri="{FF2B5EF4-FFF2-40B4-BE49-F238E27FC236}">
              <a16:creationId xmlns:a16="http://schemas.microsoft.com/office/drawing/2014/main" id="{00000000-0008-0000-1000-0000A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125729</xdr:colOff>
      <xdr:row>20</xdr:row>
      <xdr:rowOff>171450</xdr:rowOff>
    </xdr:from>
    <xdr:to>
      <xdr:col>20</xdr:col>
      <xdr:colOff>1904</xdr:colOff>
      <xdr:row>37</xdr:row>
      <xdr:rowOff>114300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114299</xdr:colOff>
      <xdr:row>0</xdr:row>
      <xdr:rowOff>190501</xdr:rowOff>
    </xdr:from>
    <xdr:to>
      <xdr:col>19</xdr:col>
      <xdr:colOff>600074</xdr:colOff>
      <xdr:row>18</xdr:row>
      <xdr:rowOff>60960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89535</xdr:colOff>
      <xdr:row>44</xdr:row>
      <xdr:rowOff>80011</xdr:rowOff>
    </xdr:from>
    <xdr:to>
      <xdr:col>19</xdr:col>
      <xdr:colOff>575310</xdr:colOff>
      <xdr:row>64</xdr:row>
      <xdr:rowOff>7621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609599</xdr:colOff>
      <xdr:row>65</xdr:row>
      <xdr:rowOff>19051</xdr:rowOff>
    </xdr:from>
    <xdr:to>
      <xdr:col>19</xdr:col>
      <xdr:colOff>552450</xdr:colOff>
      <xdr:row>87</xdr:row>
      <xdr:rowOff>114300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53340</xdr:colOff>
      <xdr:row>135</xdr:row>
      <xdr:rowOff>171450</xdr:rowOff>
    </xdr:from>
    <xdr:to>
      <xdr:col>15</xdr:col>
      <xdr:colOff>137160</xdr:colOff>
      <xdr:row>151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628648</xdr:colOff>
      <xdr:row>37</xdr:row>
      <xdr:rowOff>47625</xdr:rowOff>
    </xdr:from>
    <xdr:to>
      <xdr:col>9</xdr:col>
      <xdr:colOff>523874</xdr:colOff>
      <xdr:row>56</xdr:row>
      <xdr:rowOff>24741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235032</xdr:colOff>
      <xdr:row>37</xdr:row>
      <xdr:rowOff>61851</xdr:rowOff>
    </xdr:from>
    <xdr:to>
      <xdr:col>21</xdr:col>
      <xdr:colOff>0</xdr:colOff>
      <xdr:row>56</xdr:row>
      <xdr:rowOff>123701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619122</xdr:colOff>
      <xdr:row>58</xdr:row>
      <xdr:rowOff>23812</xdr:rowOff>
    </xdr:from>
    <xdr:to>
      <xdr:col>9</xdr:col>
      <xdr:colOff>476249</xdr:colOff>
      <xdr:row>78</xdr:row>
      <xdr:rowOff>61911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416719</xdr:colOff>
      <xdr:row>79</xdr:row>
      <xdr:rowOff>95250</xdr:rowOff>
    </xdr:from>
    <xdr:to>
      <xdr:col>9</xdr:col>
      <xdr:colOff>333375</xdr:colOff>
      <xdr:row>103</xdr:row>
      <xdr:rowOff>63707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321622</xdr:colOff>
      <xdr:row>79</xdr:row>
      <xdr:rowOff>98960</xdr:rowOff>
    </xdr:from>
    <xdr:to>
      <xdr:col>21</xdr:col>
      <xdr:colOff>0</xdr:colOff>
      <xdr:row>103</xdr:row>
      <xdr:rowOff>59531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213076</xdr:colOff>
      <xdr:row>57</xdr:row>
      <xdr:rowOff>142875</xdr:rowOff>
    </xdr:from>
    <xdr:to>
      <xdr:col>20</xdr:col>
      <xdr:colOff>257175</xdr:colOff>
      <xdr:row>78</xdr:row>
      <xdr:rowOff>21432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157160</xdr:colOff>
      <xdr:row>37</xdr:row>
      <xdr:rowOff>16669</xdr:rowOff>
    </xdr:from>
    <xdr:to>
      <xdr:col>28</xdr:col>
      <xdr:colOff>1019175</xdr:colOff>
      <xdr:row>57</xdr:row>
      <xdr:rowOff>100012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320040</xdr:colOff>
      <xdr:row>50</xdr:row>
      <xdr:rowOff>7620</xdr:rowOff>
    </xdr:from>
    <xdr:to>
      <xdr:col>23</xdr:col>
      <xdr:colOff>472440</xdr:colOff>
      <xdr:row>66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350520</xdr:colOff>
      <xdr:row>66</xdr:row>
      <xdr:rowOff>190500</xdr:rowOff>
    </xdr:from>
    <xdr:to>
      <xdr:col>23</xdr:col>
      <xdr:colOff>510540</xdr:colOff>
      <xdr:row>83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723900</xdr:colOff>
      <xdr:row>51</xdr:row>
      <xdr:rowOff>57150</xdr:rowOff>
    </xdr:from>
    <xdr:to>
      <xdr:col>34</xdr:col>
      <xdr:colOff>236220</xdr:colOff>
      <xdr:row>66</xdr:row>
      <xdr:rowOff>99060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60960</xdr:colOff>
      <xdr:row>66</xdr:row>
      <xdr:rowOff>156210</xdr:rowOff>
    </xdr:from>
    <xdr:to>
      <xdr:col>34</xdr:col>
      <xdr:colOff>312420</xdr:colOff>
      <xdr:row>83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297180</xdr:colOff>
      <xdr:row>27</xdr:row>
      <xdr:rowOff>175260</xdr:rowOff>
    </xdr:from>
    <xdr:to>
      <xdr:col>37</xdr:col>
      <xdr:colOff>76200</xdr:colOff>
      <xdr:row>43</xdr:row>
      <xdr:rowOff>144780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274320</xdr:colOff>
      <xdr:row>64</xdr:row>
      <xdr:rowOff>41910</xdr:rowOff>
    </xdr:from>
    <xdr:to>
      <xdr:col>11</xdr:col>
      <xdr:colOff>1760220</xdr:colOff>
      <xdr:row>77</xdr:row>
      <xdr:rowOff>110490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320040</xdr:colOff>
      <xdr:row>78</xdr:row>
      <xdr:rowOff>148590</xdr:rowOff>
    </xdr:from>
    <xdr:to>
      <xdr:col>11</xdr:col>
      <xdr:colOff>1805940</xdr:colOff>
      <xdr:row>94</xdr:row>
      <xdr:rowOff>83820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106680</xdr:colOff>
      <xdr:row>11</xdr:row>
      <xdr:rowOff>38100</xdr:rowOff>
    </xdr:from>
    <xdr:to>
      <xdr:col>36</xdr:col>
      <xdr:colOff>495300</xdr:colOff>
      <xdr:row>26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</xdr:colOff>
      <xdr:row>39</xdr:row>
      <xdr:rowOff>76201</xdr:rowOff>
    </xdr:from>
    <xdr:to>
      <xdr:col>23</xdr:col>
      <xdr:colOff>121920</xdr:colOff>
      <xdr:row>57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</xdr:colOff>
      <xdr:row>58</xdr:row>
      <xdr:rowOff>28574</xdr:rowOff>
    </xdr:from>
    <xdr:to>
      <xdr:col>23</xdr:col>
      <xdr:colOff>100965</xdr:colOff>
      <xdr:row>75</xdr:row>
      <xdr:rowOff>59055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17145</xdr:colOff>
      <xdr:row>18</xdr:row>
      <xdr:rowOff>15240</xdr:rowOff>
    </xdr:from>
    <xdr:to>
      <xdr:col>23</xdr:col>
      <xdr:colOff>144780</xdr:colOff>
      <xdr:row>38</xdr:row>
      <xdr:rowOff>64770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3811</xdr:colOff>
      <xdr:row>77</xdr:row>
      <xdr:rowOff>190499</xdr:rowOff>
    </xdr:from>
    <xdr:to>
      <xdr:col>22</xdr:col>
      <xdr:colOff>198120</xdr:colOff>
      <xdr:row>97</xdr:row>
      <xdr:rowOff>121919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198119</xdr:colOff>
      <xdr:row>109</xdr:row>
      <xdr:rowOff>148590</xdr:rowOff>
    </xdr:from>
    <xdr:to>
      <xdr:col>19</xdr:col>
      <xdr:colOff>563880</xdr:colOff>
      <xdr:row>124</xdr:row>
      <xdr:rowOff>30480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190500</xdr:colOff>
      <xdr:row>137</xdr:row>
      <xdr:rowOff>139065</xdr:rowOff>
    </xdr:from>
    <xdr:to>
      <xdr:col>20</xdr:col>
      <xdr:colOff>7620</xdr:colOff>
      <xdr:row>149</xdr:row>
      <xdr:rowOff>144780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205740</xdr:colOff>
      <xdr:row>151</xdr:row>
      <xdr:rowOff>43814</xdr:rowOff>
    </xdr:from>
    <xdr:to>
      <xdr:col>20</xdr:col>
      <xdr:colOff>15240</xdr:colOff>
      <xdr:row>162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238125</xdr:colOff>
      <xdr:row>163</xdr:row>
      <xdr:rowOff>97155</xdr:rowOff>
    </xdr:from>
    <xdr:to>
      <xdr:col>20</xdr:col>
      <xdr:colOff>38100</xdr:colOff>
      <xdr:row>176</xdr:row>
      <xdr:rowOff>53340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152400</xdr:colOff>
      <xdr:row>125</xdr:row>
      <xdr:rowOff>15239</xdr:rowOff>
    </xdr:from>
    <xdr:to>
      <xdr:col>19</xdr:col>
      <xdr:colOff>594360</xdr:colOff>
      <xdr:row>136</xdr:row>
      <xdr:rowOff>81914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230504</xdr:colOff>
      <xdr:row>177</xdr:row>
      <xdr:rowOff>41910</xdr:rowOff>
    </xdr:from>
    <xdr:to>
      <xdr:col>20</xdr:col>
      <xdr:colOff>41910</xdr:colOff>
      <xdr:row>189</xdr:row>
      <xdr:rowOff>160019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</xdr:colOff>
      <xdr:row>80</xdr:row>
      <xdr:rowOff>102868</xdr:rowOff>
    </xdr:from>
    <xdr:to>
      <xdr:col>36</xdr:col>
      <xdr:colOff>590550</xdr:colOff>
      <xdr:row>101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556260</xdr:colOff>
      <xdr:row>24</xdr:row>
      <xdr:rowOff>38101</xdr:rowOff>
    </xdr:from>
    <xdr:to>
      <xdr:col>35</xdr:col>
      <xdr:colOff>487680</xdr:colOff>
      <xdr:row>45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62</xdr:row>
      <xdr:rowOff>125729</xdr:rowOff>
    </xdr:from>
    <xdr:to>
      <xdr:col>36</xdr:col>
      <xdr:colOff>127635</xdr:colOff>
      <xdr:row>80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556260</xdr:colOff>
      <xdr:row>45</xdr:row>
      <xdr:rowOff>249555</xdr:rowOff>
    </xdr:from>
    <xdr:to>
      <xdr:col>35</xdr:col>
      <xdr:colOff>441960</xdr:colOff>
      <xdr:row>61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510540</xdr:colOff>
      <xdr:row>25</xdr:row>
      <xdr:rowOff>60960</xdr:rowOff>
    </xdr:from>
    <xdr:to>
      <xdr:col>45</xdr:col>
      <xdr:colOff>30480</xdr:colOff>
      <xdr:row>39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807720</xdr:colOff>
      <xdr:row>42</xdr:row>
      <xdr:rowOff>91440</xdr:rowOff>
    </xdr:from>
    <xdr:to>
      <xdr:col>45</xdr:col>
      <xdr:colOff>312420</xdr:colOff>
      <xdr:row>55</xdr:row>
      <xdr:rowOff>53340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685800</xdr:colOff>
      <xdr:row>60</xdr:row>
      <xdr:rowOff>99060</xdr:rowOff>
    </xdr:from>
    <xdr:to>
      <xdr:col>45</xdr:col>
      <xdr:colOff>281940</xdr:colOff>
      <xdr:row>78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50</xdr:col>
      <xdr:colOff>601980</xdr:colOff>
      <xdr:row>28</xdr:row>
      <xdr:rowOff>121920</xdr:rowOff>
    </xdr:from>
    <xdr:to>
      <xdr:col>58</xdr:col>
      <xdr:colOff>419100</xdr:colOff>
      <xdr:row>45</xdr:row>
      <xdr:rowOff>213360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594360</xdr:colOff>
      <xdr:row>45</xdr:row>
      <xdr:rowOff>487680</xdr:rowOff>
    </xdr:from>
    <xdr:to>
      <xdr:col>59</xdr:col>
      <xdr:colOff>160020</xdr:colOff>
      <xdr:row>60</xdr:row>
      <xdr:rowOff>129540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0</xdr:colOff>
      <xdr:row>62</xdr:row>
      <xdr:rowOff>160020</xdr:rowOff>
    </xdr:from>
    <xdr:to>
      <xdr:col>59</xdr:col>
      <xdr:colOff>15240</xdr:colOff>
      <xdr:row>80</xdr:row>
      <xdr:rowOff>236220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72</xdr:col>
      <xdr:colOff>236220</xdr:colOff>
      <xdr:row>74</xdr:row>
      <xdr:rowOff>114300</xdr:rowOff>
    </xdr:from>
    <xdr:to>
      <xdr:col>78</xdr:col>
      <xdr:colOff>472440</xdr:colOff>
      <xdr:row>86</xdr:row>
      <xdr:rowOff>106680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72</xdr:col>
      <xdr:colOff>350520</xdr:colOff>
      <xdr:row>88</xdr:row>
      <xdr:rowOff>137160</xdr:rowOff>
    </xdr:from>
    <xdr:to>
      <xdr:col>78</xdr:col>
      <xdr:colOff>586740</xdr:colOff>
      <xdr:row>104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64</xdr:col>
      <xdr:colOff>1295400</xdr:colOff>
      <xdr:row>86</xdr:row>
      <xdr:rowOff>99060</xdr:rowOff>
    </xdr:from>
    <xdr:to>
      <xdr:col>72</xdr:col>
      <xdr:colOff>60960</xdr:colOff>
      <xdr:row>102</xdr:row>
      <xdr:rowOff>38100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64</xdr:col>
      <xdr:colOff>1394460</xdr:colOff>
      <xdr:row>103</xdr:row>
      <xdr:rowOff>129540</xdr:rowOff>
    </xdr:from>
    <xdr:to>
      <xdr:col>72</xdr:col>
      <xdr:colOff>160020</xdr:colOff>
      <xdr:row>119</xdr:row>
      <xdr:rowOff>68580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79</xdr:col>
      <xdr:colOff>129540</xdr:colOff>
      <xdr:row>28</xdr:row>
      <xdr:rowOff>38100</xdr:rowOff>
    </xdr:from>
    <xdr:to>
      <xdr:col>89</xdr:col>
      <xdr:colOff>83820</xdr:colOff>
      <xdr:row>40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78</xdr:col>
      <xdr:colOff>167640</xdr:colOff>
      <xdr:row>48</xdr:row>
      <xdr:rowOff>121920</xdr:rowOff>
    </xdr:from>
    <xdr:to>
      <xdr:col>89</xdr:col>
      <xdr:colOff>388620</xdr:colOff>
      <xdr:row>64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80</xdr:row>
      <xdr:rowOff>110490</xdr:rowOff>
    </xdr:from>
    <xdr:to>
      <xdr:col>16</xdr:col>
      <xdr:colOff>106680</xdr:colOff>
      <xdr:row>99</xdr:row>
      <xdr:rowOff>144780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53340</xdr:colOff>
      <xdr:row>100</xdr:row>
      <xdr:rowOff>133350</xdr:rowOff>
    </xdr:from>
    <xdr:to>
      <xdr:col>16</xdr:col>
      <xdr:colOff>175260</xdr:colOff>
      <xdr:row>122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83820</xdr:colOff>
      <xdr:row>122</xdr:row>
      <xdr:rowOff>163830</xdr:rowOff>
    </xdr:from>
    <xdr:to>
      <xdr:col>11</xdr:col>
      <xdr:colOff>53340</xdr:colOff>
      <xdr:row>144</xdr:row>
      <xdr:rowOff>22860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327660</xdr:colOff>
      <xdr:row>123</xdr:row>
      <xdr:rowOff>110490</xdr:rowOff>
    </xdr:from>
    <xdr:to>
      <xdr:col>25</xdr:col>
      <xdr:colOff>251460</xdr:colOff>
      <xdr:row>141</xdr:row>
      <xdr:rowOff>45720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114300</xdr:rowOff>
    </xdr:from>
    <xdr:to>
      <xdr:col>8</xdr:col>
      <xdr:colOff>114300</xdr:colOff>
      <xdr:row>44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45</xdr:row>
      <xdr:rowOff>95250</xdr:rowOff>
    </xdr:from>
    <xdr:to>
      <xdr:col>8</xdr:col>
      <xdr:colOff>114300</xdr:colOff>
      <xdr:row>62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361949</xdr:colOff>
      <xdr:row>63</xdr:row>
      <xdr:rowOff>152400</xdr:rowOff>
    </xdr:from>
    <xdr:to>
      <xdr:col>8</xdr:col>
      <xdr:colOff>133349</xdr:colOff>
      <xdr:row>80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175260</xdr:colOff>
      <xdr:row>99</xdr:row>
      <xdr:rowOff>64770</xdr:rowOff>
    </xdr:from>
    <xdr:to>
      <xdr:col>6</xdr:col>
      <xdr:colOff>609600</xdr:colOff>
      <xdr:row>115</xdr:row>
      <xdr:rowOff>125730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411480</xdr:colOff>
      <xdr:row>99</xdr:row>
      <xdr:rowOff>118110</xdr:rowOff>
    </xdr:from>
    <xdr:to>
      <xdr:col>14</xdr:col>
      <xdr:colOff>182880</xdr:colOff>
      <xdr:row>116</xdr:row>
      <xdr:rowOff>11430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160020</xdr:colOff>
      <xdr:row>56</xdr:row>
      <xdr:rowOff>76200</xdr:rowOff>
    </xdr:from>
    <xdr:to>
      <xdr:col>43</xdr:col>
      <xdr:colOff>53340</xdr:colOff>
      <xdr:row>72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175260</xdr:colOff>
      <xdr:row>37</xdr:row>
      <xdr:rowOff>91440</xdr:rowOff>
    </xdr:from>
    <xdr:to>
      <xdr:col>52</xdr:col>
      <xdr:colOff>502920</xdr:colOff>
      <xdr:row>53</xdr:row>
      <xdr:rowOff>30480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327660</xdr:colOff>
      <xdr:row>19</xdr:row>
      <xdr:rowOff>60960</xdr:rowOff>
    </xdr:from>
    <xdr:to>
      <xdr:col>22</xdr:col>
      <xdr:colOff>297180</xdr:colOff>
      <xdr:row>34</xdr:row>
      <xdr:rowOff>83820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358140</xdr:colOff>
      <xdr:row>0</xdr:row>
      <xdr:rowOff>60960</xdr:rowOff>
    </xdr:from>
    <xdr:to>
      <xdr:col>50</xdr:col>
      <xdr:colOff>99060</xdr:colOff>
      <xdr:row>13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352424</xdr:colOff>
      <xdr:row>0</xdr:row>
      <xdr:rowOff>57151</xdr:rowOff>
    </xdr:from>
    <xdr:to>
      <xdr:col>20</xdr:col>
      <xdr:colOff>266700</xdr:colOff>
      <xdr:row>18</xdr:row>
      <xdr:rowOff>38100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255269</xdr:colOff>
      <xdr:row>19</xdr:row>
      <xdr:rowOff>11430</xdr:rowOff>
    </xdr:from>
    <xdr:to>
      <xdr:col>20</xdr:col>
      <xdr:colOff>169544</xdr:colOff>
      <xdr:row>40</xdr:row>
      <xdr:rowOff>38100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45</xdr:row>
      <xdr:rowOff>123826</xdr:rowOff>
    </xdr:from>
    <xdr:to>
      <xdr:col>20</xdr:col>
      <xdr:colOff>333374</xdr:colOff>
      <xdr:row>63</xdr:row>
      <xdr:rowOff>129540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104774</xdr:colOff>
      <xdr:row>67</xdr:row>
      <xdr:rowOff>114301</xdr:rowOff>
    </xdr:from>
    <xdr:to>
      <xdr:col>20</xdr:col>
      <xdr:colOff>38099</xdr:colOff>
      <xdr:row>85</xdr:row>
      <xdr:rowOff>114300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63</xdr:row>
      <xdr:rowOff>9525</xdr:rowOff>
    </xdr:from>
    <xdr:to>
      <xdr:col>5</xdr:col>
      <xdr:colOff>541020</xdr:colOff>
      <xdr:row>79</xdr:row>
      <xdr:rowOff>99060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80</xdr:row>
      <xdr:rowOff>19049</xdr:rowOff>
    </xdr:from>
    <xdr:to>
      <xdr:col>5</xdr:col>
      <xdr:colOff>434340</xdr:colOff>
      <xdr:row>96</xdr:row>
      <xdr:rowOff>85724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97</xdr:row>
      <xdr:rowOff>43815</xdr:rowOff>
    </xdr:from>
    <xdr:to>
      <xdr:col>5</xdr:col>
      <xdr:colOff>480060</xdr:colOff>
      <xdr:row>114</xdr:row>
      <xdr:rowOff>100965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285749</xdr:colOff>
      <xdr:row>80</xdr:row>
      <xdr:rowOff>66675</xdr:rowOff>
    </xdr:from>
    <xdr:to>
      <xdr:col>14</xdr:col>
      <xdr:colOff>632460</xdr:colOff>
      <xdr:row>96</xdr:row>
      <xdr:rowOff>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97</xdr:row>
      <xdr:rowOff>41911</xdr:rowOff>
    </xdr:from>
    <xdr:to>
      <xdr:col>14</xdr:col>
      <xdr:colOff>632461</xdr:colOff>
      <xdr:row>114</xdr:row>
      <xdr:rowOff>99060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428625</xdr:colOff>
      <xdr:row>80</xdr:row>
      <xdr:rowOff>133350</xdr:rowOff>
    </xdr:from>
    <xdr:to>
      <xdr:col>24</xdr:col>
      <xdr:colOff>129540</xdr:colOff>
      <xdr:row>102</xdr:row>
      <xdr:rowOff>5715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899160</xdr:colOff>
      <xdr:row>25</xdr:row>
      <xdr:rowOff>118110</xdr:rowOff>
    </xdr:from>
    <xdr:to>
      <xdr:col>24</xdr:col>
      <xdr:colOff>53340</xdr:colOff>
      <xdr:row>41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160020</xdr:colOff>
      <xdr:row>55</xdr:row>
      <xdr:rowOff>118110</xdr:rowOff>
    </xdr:from>
    <xdr:to>
      <xdr:col>30</xdr:col>
      <xdr:colOff>60960</xdr:colOff>
      <xdr:row>71</xdr:row>
      <xdr:rowOff>49530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373380</xdr:colOff>
      <xdr:row>24</xdr:row>
      <xdr:rowOff>64770</xdr:rowOff>
    </xdr:from>
    <xdr:to>
      <xdr:col>41</xdr:col>
      <xdr:colOff>38100</xdr:colOff>
      <xdr:row>39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400049</xdr:colOff>
      <xdr:row>42</xdr:row>
      <xdr:rowOff>251460</xdr:rowOff>
    </xdr:from>
    <xdr:to>
      <xdr:col>21</xdr:col>
      <xdr:colOff>590549</xdr:colOff>
      <xdr:row>59</xdr:row>
      <xdr:rowOff>114300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43</xdr:row>
      <xdr:rowOff>34290</xdr:rowOff>
    </xdr:from>
    <xdr:to>
      <xdr:col>20</xdr:col>
      <xdr:colOff>419100</xdr:colOff>
      <xdr:row>46</xdr:row>
      <xdr:rowOff>83820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702040" y="7981950"/>
          <a:ext cx="1485900" cy="57531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30-45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</a:t>
          </a:r>
          <a:r>
            <a:rPr lang="en-US" sz="800"/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352425</xdr:colOff>
      <xdr:row>60</xdr:row>
      <xdr:rowOff>175261</xdr:rowOff>
    </xdr:from>
    <xdr:to>
      <xdr:col>21</xdr:col>
      <xdr:colOff>571500</xdr:colOff>
      <xdr:row>75</xdr:row>
      <xdr:rowOff>114301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601980</xdr:colOff>
      <xdr:row>61</xdr:row>
      <xdr:rowOff>99060</xdr:rowOff>
    </xdr:from>
    <xdr:to>
      <xdr:col>20</xdr:col>
      <xdr:colOff>230506</xdr:colOff>
      <xdr:row>63</xdr:row>
      <xdr:rowOff>198120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542020" y="11285220"/>
          <a:ext cx="1457326" cy="617220"/>
        </a:xfrm>
        <a:prstGeom prst="rect">
          <a:avLst/>
        </a:prstGeom>
        <a:gradFill>
          <a:gsLst>
            <a:gs pos="34000">
              <a:schemeClr val="bg1">
                <a:lumMod val="95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30-45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</a:t>
          </a:r>
          <a:r>
            <a:rPr lang="en-US" sz="800"/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0.61617</cdr:x>
      <cdr:y>0.24597</cdr:y>
    </cdr:from>
    <cdr:to>
      <cdr:x>0.61617</cdr:x>
      <cdr:y>0.24597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6768" y="7505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0.47618</cdr:x>
      <cdr:y>0.52397</cdr:y>
    </cdr:from>
    <cdr:to>
      <cdr:x>0.47618</cdr:x>
      <cdr:y>0.52397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387" y="15952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Mesotropic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0.49607</cdr:x>
      <cdr:y>0.20226</cdr:y>
    </cdr:from>
    <cdr:to>
      <cdr:x>0.49607</cdr:x>
      <cdr:y>0.20226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6100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Eutrophic zone</a:t>
          </a:r>
        </a:p>
      </cdr:txBody>
    </cdr:sp>
  </cdr:relSizeAnchor>
  <cdr:relSizeAnchor xmlns:cdr="http://schemas.openxmlformats.org/drawingml/2006/chartDrawing">
    <cdr:from>
      <cdr:x>0.49607</cdr:x>
      <cdr:y>0.5092</cdr:y>
    </cdr:from>
    <cdr:to>
      <cdr:x>0.49607</cdr:x>
      <cdr:y>0.5092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153096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Mesotrophic zone</a:t>
          </a:r>
        </a:p>
      </cdr:txBody>
    </cdr:sp>
  </cdr:relSizeAnchor>
  <cdr:relSizeAnchor xmlns:cdr="http://schemas.openxmlformats.org/drawingml/2006/chartDrawing">
    <cdr:from>
      <cdr:x>0.48698</cdr:x>
      <cdr:y>0.65976</cdr:y>
    </cdr:from>
    <cdr:to>
      <cdr:x>0.48698</cdr:x>
      <cdr:y>0.65976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7396" y="1982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Oligotropic zone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53</xdr:row>
      <xdr:rowOff>106680</xdr:rowOff>
    </xdr:from>
    <xdr:to>
      <xdr:col>41</xdr:col>
      <xdr:colOff>45720</xdr:colOff>
      <xdr:row>72</xdr:row>
      <xdr:rowOff>85725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33</xdr:row>
      <xdr:rowOff>57150</xdr:rowOff>
    </xdr:from>
    <xdr:to>
      <xdr:col>44</xdr:col>
      <xdr:colOff>409575</xdr:colOff>
      <xdr:row>52</xdr:row>
      <xdr:rowOff>142875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0.32385</cdr:x>
      <cdr:y>0.5757</cdr:y>
    </cdr:from>
    <cdr:to>
      <cdr:x>0.32385</cdr:x>
      <cdr:y>0.5757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0350" y="186209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Mesotrophic/Eutrophic Boundary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sell/Documents/Bear%20Creek%20Association/Watershed%202009/2009%20Bear%20Cree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Trophic"/>
      <sheetName val="Annual Reservoir Trends"/>
      <sheetName val="Nitrate Trends"/>
      <sheetName val="Phosphorus Trends"/>
      <sheetName val="Loading"/>
      <sheetName val="Carlson"/>
      <sheetName val="Walker"/>
      <sheetName val="Monthly Discharge"/>
      <sheetName val="Temperature"/>
      <sheetName val="Conductance"/>
      <sheetName val="pH"/>
      <sheetName val="Oxygen"/>
      <sheetName val="T &amp; Diss Phosphorus"/>
      <sheetName val="Nitrate &amp; T Nitrogen"/>
      <sheetName val="TSS"/>
      <sheetName val="Chlsecchi"/>
      <sheetName val="Phytoplankton"/>
      <sheetName val="Monthly Chemistry"/>
      <sheetName val="1-26-09"/>
      <sheetName val="2-23-09"/>
      <sheetName val="3-16-09"/>
      <sheetName val="4-27-09"/>
      <sheetName val="Aeration Tests"/>
      <sheetName val="5-18-09"/>
      <sheetName val="6-22-09"/>
      <sheetName val="7-6-09"/>
      <sheetName val="7-20-09"/>
      <sheetName val="8-3-09"/>
      <sheetName val="8-17-09"/>
      <sheetName val="9-16-09"/>
      <sheetName val="9-28-09"/>
      <sheetName val="10-19-09"/>
      <sheetName val="11-16-09"/>
      <sheetName val="12-14-09"/>
      <sheetName val="Field Sheet"/>
      <sheetName val="Temp DO Comp"/>
      <sheetName val="Aeartion Log"/>
      <sheetName val="Flow"/>
      <sheetName val="Fishery Data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Turkey Creek Inflow</v>
          </cell>
        </row>
        <row r="5">
          <cell r="A5" t="str">
            <v>Bear Creek Inflow</v>
          </cell>
        </row>
      </sheetData>
      <sheetData sheetId="5"/>
      <sheetData sheetId="6">
        <row r="2">
          <cell r="X2">
            <v>1988</v>
          </cell>
        </row>
      </sheetData>
      <sheetData sheetId="7">
        <row r="23">
          <cell r="B23" t="str">
            <v>Jan</v>
          </cell>
          <cell r="C23" t="str">
            <v>Feb</v>
          </cell>
          <cell r="D23" t="str">
            <v>Mar</v>
          </cell>
          <cell r="E23" t="str">
            <v>Apr</v>
          </cell>
          <cell r="F23" t="str">
            <v>May</v>
          </cell>
          <cell r="G23" t="str">
            <v>Jun</v>
          </cell>
          <cell r="H23" t="str">
            <v>Jul</v>
          </cell>
          <cell r="I23" t="str">
            <v>Aug</v>
          </cell>
          <cell r="J23" t="str">
            <v>Sep</v>
          </cell>
          <cell r="K23" t="str">
            <v>Oct</v>
          </cell>
          <cell r="L23" t="str">
            <v>Nov</v>
          </cell>
          <cell r="M23" t="str">
            <v>Dec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G82"/>
  <sheetViews>
    <sheetView topLeftCell="A64" workbookViewId="0">
      <selection activeCell="A73" sqref="A73:B82"/>
    </sheetView>
  </sheetViews>
  <sheetFormatPr defaultRowHeight="14"/>
  <cols>
    <col min="1" max="1" width="54.81640625" bestFit="1" customWidth="1"/>
    <col min="2" max="2" width="11.1796875" bestFit="1" customWidth="1"/>
  </cols>
  <sheetData>
    <row r="1" spans="1:2">
      <c r="A1" s="1398" t="s">
        <v>1605</v>
      </c>
      <c r="B1" s="1398"/>
    </row>
    <row r="2" spans="1:2">
      <c r="A2" s="1401" t="s">
        <v>330</v>
      </c>
      <c r="B2" s="1401"/>
    </row>
    <row r="3" spans="1:2">
      <c r="A3" s="295" t="s">
        <v>568</v>
      </c>
      <c r="B3" s="296" t="s">
        <v>7</v>
      </c>
    </row>
    <row r="4" spans="1:2">
      <c r="A4" s="1399" t="s">
        <v>540</v>
      </c>
      <c r="B4" s="1399"/>
    </row>
    <row r="5" spans="1:2" ht="14.25" customHeight="1">
      <c r="A5" s="1387" t="s">
        <v>327</v>
      </c>
      <c r="B5" s="1388">
        <v>20.9</v>
      </c>
    </row>
    <row r="6" spans="1:2">
      <c r="A6" s="1387" t="s">
        <v>328</v>
      </c>
      <c r="B6" s="1388">
        <v>13.2</v>
      </c>
    </row>
    <row r="7" spans="1:2">
      <c r="A7" s="943" t="s">
        <v>8</v>
      </c>
      <c r="B7" s="1388">
        <v>45.7</v>
      </c>
    </row>
    <row r="8" spans="1:2">
      <c r="A8" s="1399" t="s">
        <v>126</v>
      </c>
      <c r="B8" s="1399"/>
    </row>
    <row r="9" spans="1:2">
      <c r="A9" s="943" t="s">
        <v>326</v>
      </c>
      <c r="B9" s="1389">
        <v>55.5</v>
      </c>
    </row>
    <row r="10" spans="1:2">
      <c r="A10" s="943" t="s">
        <v>323</v>
      </c>
      <c r="B10" s="1390">
        <v>42</v>
      </c>
    </row>
    <row r="11" spans="1:2">
      <c r="A11" s="943" t="s">
        <v>324</v>
      </c>
      <c r="B11" s="1390">
        <v>68.900000000000006</v>
      </c>
    </row>
    <row r="12" spans="1:2">
      <c r="A12" s="943" t="s">
        <v>325</v>
      </c>
      <c r="B12" s="1390">
        <v>87.8</v>
      </c>
    </row>
    <row r="13" spans="1:2">
      <c r="A13" s="943" t="s">
        <v>321</v>
      </c>
      <c r="B13" s="1390">
        <v>60</v>
      </c>
    </row>
    <row r="14" spans="1:2">
      <c r="A14" s="943" t="s">
        <v>322</v>
      </c>
      <c r="B14" s="1390">
        <v>115.7</v>
      </c>
    </row>
    <row r="15" spans="1:2">
      <c r="A15" s="943" t="s">
        <v>314</v>
      </c>
      <c r="B15" s="1390">
        <v>191</v>
      </c>
    </row>
    <row r="16" spans="1:2">
      <c r="A16" s="943" t="s">
        <v>316</v>
      </c>
      <c r="B16" s="1390">
        <v>12.5</v>
      </c>
    </row>
    <row r="17" spans="1:2">
      <c r="A17" s="943" t="s">
        <v>336</v>
      </c>
      <c r="B17" s="1390">
        <v>13.9</v>
      </c>
    </row>
    <row r="18" spans="1:2">
      <c r="A18" s="943" t="s">
        <v>317</v>
      </c>
      <c r="B18" s="1388">
        <v>47</v>
      </c>
    </row>
    <row r="19" spans="1:2">
      <c r="A19" s="1399" t="s">
        <v>127</v>
      </c>
      <c r="B19" s="1400"/>
    </row>
    <row r="20" spans="1:2">
      <c r="A20" s="943" t="s">
        <v>318</v>
      </c>
      <c r="B20" s="1391">
        <v>352</v>
      </c>
    </row>
    <row r="21" spans="1:2">
      <c r="A21" s="943" t="s">
        <v>331</v>
      </c>
      <c r="B21" s="1391">
        <v>148</v>
      </c>
    </row>
    <row r="22" spans="1:2">
      <c r="A22" s="943" t="s">
        <v>319</v>
      </c>
      <c r="B22" s="1391">
        <v>965</v>
      </c>
    </row>
    <row r="23" spans="1:2">
      <c r="A23" s="943" t="s">
        <v>320</v>
      </c>
      <c r="B23" s="1391">
        <v>927</v>
      </c>
    </row>
    <row r="24" spans="1:2">
      <c r="A24" s="943" t="s">
        <v>312</v>
      </c>
      <c r="B24" s="1391">
        <v>926</v>
      </c>
    </row>
    <row r="25" spans="1:2">
      <c r="A25" s="943" t="s">
        <v>313</v>
      </c>
      <c r="B25" s="1391">
        <v>929</v>
      </c>
    </row>
    <row r="26" spans="1:2">
      <c r="A26" s="943" t="s">
        <v>332</v>
      </c>
      <c r="B26" s="1391">
        <v>799</v>
      </c>
    </row>
    <row r="27" spans="1:2">
      <c r="A27" s="943" t="s">
        <v>333</v>
      </c>
      <c r="B27" s="1391">
        <v>828</v>
      </c>
    </row>
    <row r="28" spans="1:2">
      <c r="A28" s="943" t="s">
        <v>334</v>
      </c>
      <c r="B28" s="1391">
        <v>770</v>
      </c>
    </row>
    <row r="29" spans="1:2">
      <c r="A29" s="1399" t="s">
        <v>541</v>
      </c>
      <c r="B29" s="1400"/>
    </row>
    <row r="30" spans="1:2">
      <c r="A30" s="943" t="s">
        <v>145</v>
      </c>
      <c r="B30" s="1392">
        <v>1.17</v>
      </c>
    </row>
    <row r="31" spans="1:2">
      <c r="A31" s="943" t="s">
        <v>337</v>
      </c>
      <c r="B31" s="1392">
        <v>1.04</v>
      </c>
    </row>
    <row r="32" spans="1:2">
      <c r="A32" s="1399" t="s">
        <v>128</v>
      </c>
      <c r="B32" s="1400"/>
    </row>
    <row r="33" spans="1:2">
      <c r="A33" s="943" t="s">
        <v>124</v>
      </c>
      <c r="B33" s="1388">
        <v>12.5</v>
      </c>
    </row>
    <row r="34" spans="1:2">
      <c r="A34" s="943" t="s">
        <v>335</v>
      </c>
      <c r="B34" s="1388">
        <v>20.6</v>
      </c>
    </row>
    <row r="35" spans="1:2">
      <c r="A35" s="943" t="s">
        <v>125</v>
      </c>
      <c r="B35" s="1390">
        <v>81.3</v>
      </c>
    </row>
    <row r="36" spans="1:2">
      <c r="A36" s="1399" t="s">
        <v>542</v>
      </c>
      <c r="B36" s="1399"/>
    </row>
    <row r="37" spans="1:2">
      <c r="A37" s="944" t="s">
        <v>543</v>
      </c>
      <c r="B37" s="1393">
        <v>10.119999999999999</v>
      </c>
    </row>
    <row r="38" spans="1:2">
      <c r="A38" s="944" t="s">
        <v>544</v>
      </c>
      <c r="B38" s="1393">
        <v>5.41</v>
      </c>
    </row>
    <row r="39" spans="1:2">
      <c r="A39" s="944" t="s">
        <v>546</v>
      </c>
      <c r="B39" s="1393">
        <v>8.1300000000000008</v>
      </c>
    </row>
    <row r="40" spans="1:2">
      <c r="A40" s="944" t="s">
        <v>545</v>
      </c>
      <c r="B40" s="1393">
        <v>5.41</v>
      </c>
    </row>
    <row r="41" spans="1:2">
      <c r="A41" s="1399" t="s">
        <v>150</v>
      </c>
      <c r="B41" s="1399"/>
    </row>
    <row r="42" spans="1:2">
      <c r="A42" s="944" t="s">
        <v>543</v>
      </c>
      <c r="B42" s="1392">
        <v>8.2200000000000006</v>
      </c>
    </row>
    <row r="43" spans="1:2">
      <c r="A43" s="944" t="s">
        <v>914</v>
      </c>
      <c r="B43" s="1392">
        <v>8.64</v>
      </c>
    </row>
    <row r="44" spans="1:2">
      <c r="A44" s="944" t="s">
        <v>546</v>
      </c>
      <c r="B44" s="1392">
        <v>8.18</v>
      </c>
    </row>
    <row r="45" spans="1:2">
      <c r="A45" s="944" t="s">
        <v>915</v>
      </c>
      <c r="B45" s="1392">
        <v>8.9700000000000006</v>
      </c>
    </row>
    <row r="46" spans="1:2">
      <c r="A46" s="1402" t="s">
        <v>547</v>
      </c>
      <c r="B46" s="1403"/>
    </row>
    <row r="47" spans="1:2">
      <c r="A47" s="944" t="s">
        <v>548</v>
      </c>
      <c r="B47" s="1391">
        <v>418</v>
      </c>
    </row>
    <row r="48" spans="1:2">
      <c r="A48" s="944" t="s">
        <v>549</v>
      </c>
      <c r="B48" s="1391">
        <v>635</v>
      </c>
    </row>
    <row r="49" spans="1:7">
      <c r="A49" s="944" t="s">
        <v>550</v>
      </c>
      <c r="B49" s="1391">
        <v>343</v>
      </c>
    </row>
    <row r="50" spans="1:7">
      <c r="A50" s="944" t="s">
        <v>551</v>
      </c>
      <c r="B50" s="1391">
        <v>440</v>
      </c>
    </row>
    <row r="51" spans="1:7">
      <c r="A51" s="1399" t="s">
        <v>1766</v>
      </c>
      <c r="B51" s="1399"/>
      <c r="D51" s="51"/>
      <c r="E51" s="51"/>
      <c r="F51" s="51"/>
      <c r="G51" s="51"/>
    </row>
    <row r="52" spans="1:7" ht="13.75" customHeight="1">
      <c r="A52" s="1394" t="s">
        <v>1750</v>
      </c>
      <c r="B52" s="1404" t="s">
        <v>1767</v>
      </c>
      <c r="D52" s="51"/>
      <c r="E52" s="51"/>
      <c r="F52" s="519"/>
      <c r="G52" s="51"/>
    </row>
    <row r="53" spans="1:7">
      <c r="A53" s="1394" t="s">
        <v>194</v>
      </c>
      <c r="B53" s="1405"/>
      <c r="D53" s="51"/>
      <c r="E53" s="51"/>
      <c r="F53" s="519"/>
      <c r="G53" s="51"/>
    </row>
    <row r="54" spans="1:7">
      <c r="A54" s="1394" t="s">
        <v>1752</v>
      </c>
      <c r="B54" s="1212" t="s">
        <v>1768</v>
      </c>
      <c r="D54" s="51"/>
      <c r="E54" s="51"/>
      <c r="F54" s="51"/>
      <c r="G54" s="51"/>
    </row>
    <row r="55" spans="1:7">
      <c r="A55" s="1394" t="s">
        <v>1748</v>
      </c>
      <c r="B55" s="1406" t="s">
        <v>1769</v>
      </c>
      <c r="D55" s="51"/>
      <c r="E55" s="51"/>
      <c r="F55" s="51"/>
      <c r="G55" s="51"/>
    </row>
    <row r="56" spans="1:7">
      <c r="A56" s="1394" t="s">
        <v>1753</v>
      </c>
      <c r="B56" s="1407"/>
      <c r="D56" s="51"/>
      <c r="E56" s="51"/>
      <c r="F56" s="51"/>
      <c r="G56" s="51"/>
    </row>
    <row r="57" spans="1:7">
      <c r="A57" s="1394" t="s">
        <v>1754</v>
      </c>
      <c r="B57" s="1408" t="s">
        <v>1770</v>
      </c>
      <c r="D57" s="51"/>
      <c r="E57" s="51"/>
      <c r="F57" s="51"/>
      <c r="G57" s="51"/>
    </row>
    <row r="58" spans="1:7">
      <c r="A58" s="1394" t="s">
        <v>1755</v>
      </c>
      <c r="B58" s="1409"/>
      <c r="D58" s="51"/>
      <c r="E58" s="51"/>
      <c r="F58" s="51"/>
      <c r="G58" s="51"/>
    </row>
    <row r="59" spans="1:7">
      <c r="A59" s="1394" t="s">
        <v>1756</v>
      </c>
      <c r="B59" s="1409"/>
      <c r="D59" s="51"/>
      <c r="E59" s="51"/>
      <c r="F59" s="51"/>
      <c r="G59" s="51"/>
    </row>
    <row r="60" spans="1:7">
      <c r="A60" s="1394" t="s">
        <v>1757</v>
      </c>
      <c r="B60" s="1409"/>
      <c r="D60" s="51"/>
      <c r="E60" s="51"/>
      <c r="F60" s="51"/>
      <c r="G60" s="51"/>
    </row>
    <row r="61" spans="1:7">
      <c r="A61" s="1394" t="s">
        <v>1758</v>
      </c>
      <c r="B61" s="1410"/>
      <c r="D61" s="51"/>
      <c r="E61" s="51"/>
      <c r="F61" s="51"/>
      <c r="G61" s="51"/>
    </row>
    <row r="62" spans="1:7">
      <c r="A62" s="1394" t="s">
        <v>1759</v>
      </c>
      <c r="B62" s="1406" t="s">
        <v>1771</v>
      </c>
      <c r="D62" s="51"/>
      <c r="E62" s="51"/>
      <c r="F62" s="51"/>
      <c r="G62" s="51"/>
    </row>
    <row r="63" spans="1:7">
      <c r="A63" s="1394" t="s">
        <v>1760</v>
      </c>
      <c r="B63" s="1411"/>
      <c r="D63" s="51"/>
      <c r="E63" s="51"/>
      <c r="F63" s="51"/>
      <c r="G63" s="51"/>
    </row>
    <row r="64" spans="1:7">
      <c r="A64" s="1394" t="s">
        <v>1761</v>
      </c>
      <c r="B64" s="1411"/>
      <c r="D64" s="51"/>
      <c r="E64" s="51"/>
      <c r="F64" s="51"/>
      <c r="G64" s="51"/>
    </row>
    <row r="65" spans="1:7" s="710" customFormat="1">
      <c r="A65" s="1394" t="s">
        <v>1762</v>
      </c>
      <c r="B65" s="1411"/>
      <c r="D65" s="51"/>
      <c r="E65" s="1218"/>
      <c r="F65" s="51"/>
      <c r="G65" s="51"/>
    </row>
    <row r="66" spans="1:7" s="710" customFormat="1">
      <c r="A66" s="1394" t="s">
        <v>1751</v>
      </c>
      <c r="B66" s="1411"/>
      <c r="D66" s="51"/>
      <c r="E66" s="1218"/>
      <c r="F66" s="51"/>
      <c r="G66" s="51"/>
    </row>
    <row r="67" spans="1:7">
      <c r="A67" s="1394" t="s">
        <v>1763</v>
      </c>
      <c r="B67" s="1411" t="s">
        <v>1764</v>
      </c>
      <c r="D67" s="51"/>
      <c r="E67" s="51"/>
      <c r="F67" s="51"/>
      <c r="G67" s="51"/>
    </row>
    <row r="68" spans="1:7">
      <c r="A68" s="1394" t="s">
        <v>1765</v>
      </c>
      <c r="B68" s="1407"/>
      <c r="D68" s="51"/>
      <c r="E68" s="51"/>
      <c r="F68" s="51"/>
      <c r="G68" s="51"/>
    </row>
    <row r="69" spans="1:7">
      <c r="A69" s="1399" t="s">
        <v>1749</v>
      </c>
      <c r="B69" s="1399"/>
      <c r="D69" s="51"/>
      <c r="E69" s="51"/>
      <c r="F69" s="519"/>
      <c r="G69" s="51"/>
    </row>
    <row r="70" spans="1:7">
      <c r="A70" s="1394" t="s">
        <v>1748</v>
      </c>
      <c r="B70" s="1395">
        <v>3745805.555555556</v>
      </c>
      <c r="D70" s="51"/>
      <c r="E70" s="51"/>
      <c r="F70" s="519"/>
      <c r="G70" s="51"/>
    </row>
    <row r="71" spans="1:7" s="710" customFormat="1">
      <c r="A71" s="1394" t="s">
        <v>1750</v>
      </c>
      <c r="B71" s="1395">
        <v>2019886.5789473683</v>
      </c>
      <c r="D71" s="1216"/>
      <c r="E71" s="1217"/>
    </row>
    <row r="72" spans="1:7">
      <c r="A72" s="1394" t="s">
        <v>1751</v>
      </c>
      <c r="B72" s="1395">
        <v>1808797.8723404254</v>
      </c>
      <c r="D72" s="1216"/>
      <c r="E72" s="54"/>
    </row>
    <row r="73" spans="1:7">
      <c r="A73" s="1402" t="s">
        <v>1772</v>
      </c>
      <c r="B73" s="1403"/>
    </row>
    <row r="74" spans="1:7">
      <c r="A74" s="1396" t="s">
        <v>559</v>
      </c>
      <c r="B74" s="1397">
        <v>166700</v>
      </c>
    </row>
    <row r="75" spans="1:7">
      <c r="A75" s="1396" t="s">
        <v>560</v>
      </c>
      <c r="B75" s="1397">
        <v>159080</v>
      </c>
    </row>
    <row r="76" spans="1:7">
      <c r="A76" s="1396" t="s">
        <v>561</v>
      </c>
      <c r="B76" s="1397">
        <v>-5410</v>
      </c>
    </row>
    <row r="77" spans="1:7">
      <c r="A77" s="1396" t="s">
        <v>562</v>
      </c>
      <c r="B77" s="1397">
        <v>29186</v>
      </c>
    </row>
    <row r="78" spans="1:7">
      <c r="A78" s="1396" t="s">
        <v>563</v>
      </c>
      <c r="B78" s="1397">
        <v>14516</v>
      </c>
    </row>
    <row r="79" spans="1:7">
      <c r="A79" s="1396" t="s">
        <v>564</v>
      </c>
      <c r="B79" s="1397">
        <v>18867</v>
      </c>
    </row>
    <row r="80" spans="1:7">
      <c r="A80" s="1396" t="s">
        <v>565</v>
      </c>
      <c r="B80" s="1397">
        <v>16025800</v>
      </c>
    </row>
    <row r="81" spans="1:2">
      <c r="A81" s="1396" t="s">
        <v>566</v>
      </c>
      <c r="B81" s="1397">
        <v>6734600</v>
      </c>
    </row>
    <row r="82" spans="1:2">
      <c r="A82" s="1396" t="s">
        <v>567</v>
      </c>
      <c r="B82" s="1397">
        <v>14355700</v>
      </c>
    </row>
  </sheetData>
  <mergeCells count="18">
    <mergeCell ref="A73:B73"/>
    <mergeCell ref="A69:B69"/>
    <mergeCell ref="A29:B29"/>
    <mergeCell ref="A32:B32"/>
    <mergeCell ref="A51:B51"/>
    <mergeCell ref="B52:B53"/>
    <mergeCell ref="B55:B56"/>
    <mergeCell ref="B57:B61"/>
    <mergeCell ref="B62:B66"/>
    <mergeCell ref="B67:B68"/>
    <mergeCell ref="A36:B36"/>
    <mergeCell ref="A41:B41"/>
    <mergeCell ref="A46:B46"/>
    <mergeCell ref="A1:B1"/>
    <mergeCell ref="A4:B4"/>
    <mergeCell ref="A8:B8"/>
    <mergeCell ref="A19:B19"/>
    <mergeCell ref="A2:B2"/>
  </mergeCells>
  <phoneticPr fontId="7" type="noConversion"/>
  <pageMargins left="0.5" right="0.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theme="5" tint="0.59999389629810485"/>
    <pageSetUpPr fitToPage="1"/>
  </sheetPr>
  <dimension ref="A1:S79"/>
  <sheetViews>
    <sheetView topLeftCell="M1" zoomScale="75" zoomScaleNormal="75" workbookViewId="0">
      <selection activeCell="B5" sqref="B5:P5"/>
    </sheetView>
  </sheetViews>
  <sheetFormatPr defaultColWidth="14.08984375" defaultRowHeight="14"/>
  <cols>
    <col min="1" max="1" width="31.6328125" style="1" customWidth="1"/>
    <col min="2" max="2" width="9.453125" customWidth="1"/>
    <col min="3" max="3" width="9.36328125" customWidth="1"/>
    <col min="4" max="4" width="10" customWidth="1"/>
    <col min="5" max="5" width="9.453125" customWidth="1"/>
    <col min="6" max="6" width="9.90625" customWidth="1"/>
    <col min="7" max="7" width="9.453125" customWidth="1"/>
    <col min="8" max="10" width="9.54296875" customWidth="1"/>
    <col min="11" max="11" width="9.90625" customWidth="1"/>
    <col min="12" max="12" width="9.453125" customWidth="1"/>
    <col min="13" max="13" width="9.90625" customWidth="1"/>
    <col min="14" max="14" width="9.453125" customWidth="1"/>
    <col min="15" max="16" width="9.54296875" customWidth="1"/>
    <col min="17" max="17" width="10.08984375" customWidth="1"/>
    <col min="18" max="18" width="11.54296875" customWidth="1"/>
  </cols>
  <sheetData>
    <row r="1" spans="1:19" ht="15.5">
      <c r="A1" s="1428" t="s">
        <v>1619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</row>
    <row r="2" spans="1:19" ht="26">
      <c r="A2" s="69"/>
      <c r="B2" s="652">
        <v>42009</v>
      </c>
      <c r="C2" s="652">
        <v>42052</v>
      </c>
      <c r="D2" s="652">
        <v>42086</v>
      </c>
      <c r="E2" s="652">
        <v>42114</v>
      </c>
      <c r="F2" s="652">
        <v>42142</v>
      </c>
      <c r="G2" s="652">
        <v>42170</v>
      </c>
      <c r="H2" s="366">
        <v>42191</v>
      </c>
      <c r="I2" s="366">
        <v>42205</v>
      </c>
      <c r="J2" s="366">
        <v>42227</v>
      </c>
      <c r="K2" s="652">
        <v>42241</v>
      </c>
      <c r="L2" s="652">
        <v>42261</v>
      </c>
      <c r="M2" s="366">
        <v>42275</v>
      </c>
      <c r="N2" s="366">
        <v>42296</v>
      </c>
      <c r="O2" s="366">
        <v>42324</v>
      </c>
      <c r="P2" s="1142">
        <v>42345</v>
      </c>
      <c r="Q2" s="70" t="s">
        <v>90</v>
      </c>
      <c r="R2" s="71" t="s">
        <v>82</v>
      </c>
      <c r="S2" s="71" t="s">
        <v>108</v>
      </c>
    </row>
    <row r="3" spans="1:19">
      <c r="A3" s="72" t="s">
        <v>357</v>
      </c>
      <c r="B3" s="1136">
        <v>1193</v>
      </c>
      <c r="C3" s="1136">
        <v>1400</v>
      </c>
      <c r="D3" s="1136">
        <v>1256</v>
      </c>
      <c r="E3" s="1136">
        <v>785</v>
      </c>
      <c r="F3" s="1136">
        <v>334</v>
      </c>
      <c r="G3" s="1136">
        <v>416</v>
      </c>
      <c r="H3" s="1136">
        <v>695</v>
      </c>
      <c r="I3" s="1136">
        <v>707</v>
      </c>
      <c r="J3" s="1127">
        <v>248</v>
      </c>
      <c r="K3" s="1136">
        <v>1600</v>
      </c>
      <c r="L3" s="1136">
        <v>1950</v>
      </c>
      <c r="M3" s="1136">
        <v>2114</v>
      </c>
      <c r="N3" s="1136">
        <v>1600</v>
      </c>
      <c r="O3" s="1136">
        <v>1850</v>
      </c>
      <c r="P3" s="1136">
        <v>1110</v>
      </c>
      <c r="Q3" s="664">
        <f>AVERAGE(B3:P3)</f>
        <v>1150.5333333333333</v>
      </c>
      <c r="R3" s="665">
        <f>MAX(B3:P3)</f>
        <v>2114</v>
      </c>
      <c r="S3" s="665">
        <f>AVERAGE(H3:M3)</f>
        <v>1219</v>
      </c>
    </row>
    <row r="4" spans="1:19" s="7" customFormat="1">
      <c r="A4" s="73" t="s">
        <v>358</v>
      </c>
      <c r="B4" s="1136">
        <v>309</v>
      </c>
      <c r="C4" s="1136">
        <v>420</v>
      </c>
      <c r="D4" s="1136">
        <v>301</v>
      </c>
      <c r="E4" s="1136">
        <v>424</v>
      </c>
      <c r="F4" s="1136">
        <v>230</v>
      </c>
      <c r="G4" s="1136">
        <v>155</v>
      </c>
      <c r="H4" s="1136">
        <v>198</v>
      </c>
      <c r="I4" s="1136">
        <v>186</v>
      </c>
      <c r="J4" s="1127">
        <v>208</v>
      </c>
      <c r="K4" s="1136">
        <v>268</v>
      </c>
      <c r="L4" s="1136">
        <v>306</v>
      </c>
      <c r="M4" s="1136">
        <v>373</v>
      </c>
      <c r="N4" s="1136">
        <v>367</v>
      </c>
      <c r="O4" s="1136">
        <v>411</v>
      </c>
      <c r="P4" s="1136">
        <v>425</v>
      </c>
      <c r="Q4" s="664">
        <f>AVERAGE(B4:P4)</f>
        <v>305.39999999999998</v>
      </c>
      <c r="R4" s="665">
        <f>MAX(E4:Q4)</f>
        <v>425</v>
      </c>
      <c r="S4" s="665">
        <f t="shared" ref="S4:S70" si="0">AVERAGE(H4:M4)</f>
        <v>256.5</v>
      </c>
    </row>
    <row r="5" spans="1:19">
      <c r="A5" s="73" t="s">
        <v>359</v>
      </c>
      <c r="B5" s="1136">
        <v>420</v>
      </c>
      <c r="C5" s="1136">
        <v>494</v>
      </c>
      <c r="D5" s="1136">
        <v>575</v>
      </c>
      <c r="E5" s="1136">
        <v>571</v>
      </c>
      <c r="F5" s="1136">
        <v>258</v>
      </c>
      <c r="G5" s="1136">
        <v>218</v>
      </c>
      <c r="H5" s="1136">
        <v>265</v>
      </c>
      <c r="I5" s="1136">
        <v>258</v>
      </c>
      <c r="J5" s="1127">
        <v>312</v>
      </c>
      <c r="K5" s="1136">
        <v>359</v>
      </c>
      <c r="L5" s="1136">
        <v>416</v>
      </c>
      <c r="M5" s="1136">
        <v>446</v>
      </c>
      <c r="N5" s="1136">
        <v>491</v>
      </c>
      <c r="O5" s="1136">
        <v>724</v>
      </c>
      <c r="P5" s="1136">
        <v>577</v>
      </c>
      <c r="Q5" s="664">
        <f>AVERAGE(B5:P5)</f>
        <v>425.6</v>
      </c>
      <c r="R5" s="665">
        <f>MAX(E5:Q5)</f>
        <v>724</v>
      </c>
      <c r="S5" s="665">
        <f t="shared" si="0"/>
        <v>342.66666666666669</v>
      </c>
    </row>
    <row r="6" spans="1:19" ht="15.5">
      <c r="A6" s="1456" t="s">
        <v>349</v>
      </c>
      <c r="B6" s="1457"/>
      <c r="C6" s="1457"/>
      <c r="D6" s="1457"/>
      <c r="E6" s="1457"/>
      <c r="F6" s="1457"/>
      <c r="G6" s="1457"/>
      <c r="H6" s="1457"/>
      <c r="I6" s="1457"/>
      <c r="J6" s="1457"/>
      <c r="K6" s="1457"/>
      <c r="L6" s="1457"/>
      <c r="M6" s="1457"/>
      <c r="N6" s="1457"/>
      <c r="O6" s="1457"/>
      <c r="P6" s="1457"/>
      <c r="Q6" s="1457"/>
      <c r="R6" s="1457"/>
      <c r="S6" s="1458"/>
    </row>
    <row r="7" spans="1:19">
      <c r="A7" s="262" t="s">
        <v>270</v>
      </c>
      <c r="B7" s="1136">
        <v>383</v>
      </c>
      <c r="C7" s="1136">
        <v>487</v>
      </c>
      <c r="D7" s="1136">
        <v>564</v>
      </c>
      <c r="E7" s="1136">
        <v>569</v>
      </c>
      <c r="F7" s="1136">
        <v>260</v>
      </c>
      <c r="G7" s="1058">
        <v>278</v>
      </c>
      <c r="H7" s="1058">
        <v>288</v>
      </c>
      <c r="I7" s="1058">
        <v>267</v>
      </c>
      <c r="J7" s="1128">
        <v>309</v>
      </c>
      <c r="K7" s="1058">
        <v>349</v>
      </c>
      <c r="L7" s="1058">
        <v>409</v>
      </c>
      <c r="M7" s="1058">
        <v>435</v>
      </c>
      <c r="N7" s="1058">
        <v>483</v>
      </c>
      <c r="O7" s="1058">
        <v>635</v>
      </c>
      <c r="P7" s="1058">
        <v>527</v>
      </c>
      <c r="Q7" s="664">
        <f t="shared" ref="Q7:Q21" si="1">AVERAGE(B7:P7)</f>
        <v>416.2</v>
      </c>
      <c r="R7" s="665">
        <f t="shared" ref="R7:R21" si="2">MAX(B7:P7)</f>
        <v>635</v>
      </c>
      <c r="S7" s="665">
        <f t="shared" si="0"/>
        <v>342.83333333333331</v>
      </c>
    </row>
    <row r="8" spans="1:19">
      <c r="A8" s="262" t="s">
        <v>151</v>
      </c>
      <c r="B8" s="1136">
        <v>418</v>
      </c>
      <c r="C8" s="1136">
        <v>431</v>
      </c>
      <c r="D8" s="1136">
        <v>567</v>
      </c>
      <c r="E8" s="1136">
        <v>567</v>
      </c>
      <c r="F8" s="1136">
        <v>260</v>
      </c>
      <c r="G8" s="1058">
        <v>277</v>
      </c>
      <c r="H8" s="1058">
        <v>288</v>
      </c>
      <c r="I8" s="1058">
        <v>266</v>
      </c>
      <c r="J8" s="1128">
        <v>309</v>
      </c>
      <c r="K8" s="1058">
        <v>351</v>
      </c>
      <c r="L8" s="1058">
        <v>409</v>
      </c>
      <c r="M8" s="1058">
        <v>436</v>
      </c>
      <c r="N8" s="1058">
        <v>483</v>
      </c>
      <c r="O8" s="1058">
        <v>635</v>
      </c>
      <c r="P8" s="1058">
        <v>521</v>
      </c>
      <c r="Q8" s="664">
        <f t="shared" si="1"/>
        <v>414.53333333333336</v>
      </c>
      <c r="R8" s="665">
        <f t="shared" si="2"/>
        <v>635</v>
      </c>
      <c r="S8" s="665">
        <f t="shared" si="0"/>
        <v>343.16666666666669</v>
      </c>
    </row>
    <row r="9" spans="1:19">
      <c r="A9" s="262" t="s">
        <v>271</v>
      </c>
      <c r="B9" s="1136">
        <v>444</v>
      </c>
      <c r="C9" s="1136">
        <v>438</v>
      </c>
      <c r="D9" s="1136">
        <v>567</v>
      </c>
      <c r="E9" s="1136">
        <v>567</v>
      </c>
      <c r="F9" s="1136">
        <v>260</v>
      </c>
      <c r="G9" s="1058">
        <v>276</v>
      </c>
      <c r="H9" s="1058">
        <v>289</v>
      </c>
      <c r="I9" s="1058">
        <v>266</v>
      </c>
      <c r="J9" s="1128">
        <v>311</v>
      </c>
      <c r="K9" s="1058">
        <v>349</v>
      </c>
      <c r="L9" s="1058">
        <v>409</v>
      </c>
      <c r="M9" s="1058">
        <v>436</v>
      </c>
      <c r="N9" s="1058">
        <v>483</v>
      </c>
      <c r="O9" s="1058">
        <v>635</v>
      </c>
      <c r="P9" s="1058">
        <v>534</v>
      </c>
      <c r="Q9" s="664">
        <f t="shared" si="1"/>
        <v>417.6</v>
      </c>
      <c r="R9" s="665">
        <f t="shared" si="2"/>
        <v>635</v>
      </c>
      <c r="S9" s="665">
        <f t="shared" si="0"/>
        <v>343.33333333333331</v>
      </c>
    </row>
    <row r="10" spans="1:19">
      <c r="A10" s="262" t="s">
        <v>152</v>
      </c>
      <c r="B10" s="1136">
        <v>463</v>
      </c>
      <c r="C10" s="1136">
        <v>437</v>
      </c>
      <c r="D10" s="1136">
        <v>569</v>
      </c>
      <c r="E10" s="1136">
        <v>569</v>
      </c>
      <c r="F10" s="1136">
        <v>260</v>
      </c>
      <c r="G10" s="1058">
        <v>275</v>
      </c>
      <c r="H10" s="1058">
        <v>288</v>
      </c>
      <c r="I10" s="1058">
        <v>265</v>
      </c>
      <c r="J10" s="1128">
        <v>311</v>
      </c>
      <c r="K10" s="1058">
        <v>345</v>
      </c>
      <c r="L10" s="1058">
        <v>409</v>
      </c>
      <c r="M10" s="1058">
        <v>437</v>
      </c>
      <c r="N10" s="1058">
        <v>483</v>
      </c>
      <c r="O10" s="1058">
        <v>635</v>
      </c>
      <c r="P10" s="1058">
        <v>628</v>
      </c>
      <c r="Q10" s="664">
        <f t="shared" si="1"/>
        <v>424.93333333333334</v>
      </c>
      <c r="R10" s="665">
        <f t="shared" si="2"/>
        <v>635</v>
      </c>
      <c r="S10" s="665">
        <f t="shared" si="0"/>
        <v>342.5</v>
      </c>
    </row>
    <row r="11" spans="1:19">
      <c r="A11" s="262" t="s">
        <v>272</v>
      </c>
      <c r="B11" s="1136">
        <v>490</v>
      </c>
      <c r="C11" s="1136">
        <v>457</v>
      </c>
      <c r="D11" s="1136">
        <v>567</v>
      </c>
      <c r="E11" s="1136">
        <v>571</v>
      </c>
      <c r="F11" s="1136">
        <v>259</v>
      </c>
      <c r="G11" s="1058">
        <v>242</v>
      </c>
      <c r="H11" s="1058">
        <v>284</v>
      </c>
      <c r="I11" s="1058">
        <v>267</v>
      </c>
      <c r="J11" s="1128">
        <v>310</v>
      </c>
      <c r="K11" s="1058">
        <v>344</v>
      </c>
      <c r="L11" s="1058">
        <v>409</v>
      </c>
      <c r="M11" s="1058">
        <v>437</v>
      </c>
      <c r="N11" s="1058">
        <v>483</v>
      </c>
      <c r="O11" s="1058">
        <v>635</v>
      </c>
      <c r="P11" s="1058">
        <v>690</v>
      </c>
      <c r="Q11" s="664">
        <f t="shared" si="1"/>
        <v>429.66666666666669</v>
      </c>
      <c r="R11" s="665">
        <f t="shared" si="2"/>
        <v>690</v>
      </c>
      <c r="S11" s="665">
        <f t="shared" si="0"/>
        <v>341.83333333333331</v>
      </c>
    </row>
    <row r="12" spans="1:19">
      <c r="A12" s="262" t="s">
        <v>153</v>
      </c>
      <c r="B12" s="1136">
        <v>506</v>
      </c>
      <c r="C12" s="1136">
        <v>490</v>
      </c>
      <c r="D12" s="1136">
        <v>570</v>
      </c>
      <c r="E12" s="1136">
        <v>574</v>
      </c>
      <c r="F12" s="1136">
        <v>255</v>
      </c>
      <c r="G12" s="1058">
        <v>229</v>
      </c>
      <c r="H12" s="1058">
        <v>249</v>
      </c>
      <c r="I12" s="1058">
        <v>265</v>
      </c>
      <c r="J12" s="1128">
        <v>307</v>
      </c>
      <c r="K12" s="1058">
        <v>344</v>
      </c>
      <c r="L12" s="1058">
        <v>409</v>
      </c>
      <c r="M12" s="1058">
        <v>437</v>
      </c>
      <c r="N12" s="1058">
        <v>483</v>
      </c>
      <c r="O12" s="1058">
        <v>635</v>
      </c>
      <c r="P12" s="1058">
        <v>707</v>
      </c>
      <c r="Q12" s="664">
        <f t="shared" si="1"/>
        <v>430.66666666666669</v>
      </c>
      <c r="R12" s="665">
        <f t="shared" si="2"/>
        <v>707</v>
      </c>
      <c r="S12" s="665">
        <f t="shared" si="0"/>
        <v>335.16666666666669</v>
      </c>
    </row>
    <row r="13" spans="1:19">
      <c r="A13" s="262" t="s">
        <v>273</v>
      </c>
      <c r="B13" s="1136">
        <v>521</v>
      </c>
      <c r="C13" s="1136">
        <v>521</v>
      </c>
      <c r="D13" s="1136">
        <v>620</v>
      </c>
      <c r="E13" s="1136">
        <v>580</v>
      </c>
      <c r="F13" s="1136">
        <v>248</v>
      </c>
      <c r="G13" s="1058">
        <v>224</v>
      </c>
      <c r="H13" s="1058">
        <v>237</v>
      </c>
      <c r="I13" s="1058">
        <v>256</v>
      </c>
      <c r="J13" s="1128">
        <v>308</v>
      </c>
      <c r="K13" s="1058">
        <v>344</v>
      </c>
      <c r="L13" s="1058">
        <v>410</v>
      </c>
      <c r="M13" s="1058">
        <v>437</v>
      </c>
      <c r="N13" s="1058">
        <v>483</v>
      </c>
      <c r="O13" s="1058">
        <v>636</v>
      </c>
      <c r="P13" s="1058">
        <v>730</v>
      </c>
      <c r="Q13" s="664">
        <f t="shared" si="1"/>
        <v>437</v>
      </c>
      <c r="R13" s="665">
        <f t="shared" si="2"/>
        <v>730</v>
      </c>
      <c r="S13" s="665">
        <f t="shared" si="0"/>
        <v>332</v>
      </c>
    </row>
    <row r="14" spans="1:19">
      <c r="A14" s="262" t="s">
        <v>154</v>
      </c>
      <c r="B14" s="1136">
        <v>528</v>
      </c>
      <c r="C14" s="1136">
        <v>576</v>
      </c>
      <c r="D14" s="1136">
        <v>625</v>
      </c>
      <c r="E14" s="1136">
        <v>572</v>
      </c>
      <c r="F14" s="1136">
        <v>247</v>
      </c>
      <c r="G14" s="1058">
        <v>216</v>
      </c>
      <c r="H14" s="1058">
        <v>242</v>
      </c>
      <c r="I14" s="1058">
        <v>231</v>
      </c>
      <c r="J14" s="1128">
        <v>294</v>
      </c>
      <c r="K14" s="1058">
        <v>345</v>
      </c>
      <c r="L14" s="1058">
        <v>410</v>
      </c>
      <c r="M14" s="1058">
        <v>438</v>
      </c>
      <c r="N14" s="1058">
        <v>483</v>
      </c>
      <c r="O14" s="1058">
        <v>636</v>
      </c>
      <c r="P14" s="1058">
        <v>742</v>
      </c>
      <c r="Q14" s="664">
        <f t="shared" si="1"/>
        <v>439</v>
      </c>
      <c r="R14" s="665">
        <f t="shared" si="2"/>
        <v>742</v>
      </c>
      <c r="S14" s="665">
        <f t="shared" si="0"/>
        <v>326.66666666666669</v>
      </c>
    </row>
    <row r="15" spans="1:19">
      <c r="A15" s="262" t="s">
        <v>155</v>
      </c>
      <c r="B15" s="1136">
        <v>559</v>
      </c>
      <c r="C15" s="1136">
        <v>646</v>
      </c>
      <c r="D15" s="1136">
        <v>667</v>
      </c>
      <c r="E15" s="1136">
        <v>586</v>
      </c>
      <c r="F15" s="1136">
        <v>242</v>
      </c>
      <c r="G15" s="1058">
        <v>223</v>
      </c>
      <c r="H15" s="1058">
        <v>217</v>
      </c>
      <c r="I15" s="1058">
        <v>256</v>
      </c>
      <c r="J15" s="1128">
        <v>290</v>
      </c>
      <c r="K15" s="1058">
        <v>350</v>
      </c>
      <c r="L15" s="1058">
        <v>411</v>
      </c>
      <c r="M15" s="1058">
        <v>438</v>
      </c>
      <c r="N15" s="1058">
        <v>483</v>
      </c>
      <c r="O15" s="1058">
        <v>636</v>
      </c>
      <c r="P15" s="1058">
        <v>780</v>
      </c>
      <c r="Q15" s="664">
        <f t="shared" si="1"/>
        <v>452.26666666666665</v>
      </c>
      <c r="R15" s="665">
        <f t="shared" si="2"/>
        <v>780</v>
      </c>
      <c r="S15" s="665">
        <f t="shared" si="0"/>
        <v>327</v>
      </c>
    </row>
    <row r="16" spans="1:19">
      <c r="A16" s="262" t="s">
        <v>156</v>
      </c>
      <c r="B16" s="1136">
        <v>593</v>
      </c>
      <c r="C16" s="1136">
        <v>663</v>
      </c>
      <c r="D16" s="1136">
        <v>699</v>
      </c>
      <c r="E16" s="1136">
        <v>597</v>
      </c>
      <c r="F16" s="1136">
        <v>236</v>
      </c>
      <c r="G16" s="1058">
        <v>232</v>
      </c>
      <c r="H16" s="1058">
        <v>225</v>
      </c>
      <c r="I16" s="1058">
        <v>257</v>
      </c>
      <c r="J16" s="1128">
        <v>297</v>
      </c>
      <c r="K16" s="1143">
        <v>351</v>
      </c>
      <c r="L16" s="1058">
        <v>409</v>
      </c>
      <c r="M16" s="1058">
        <v>438</v>
      </c>
      <c r="N16" s="1058">
        <v>483</v>
      </c>
      <c r="O16" s="1058">
        <v>636</v>
      </c>
      <c r="P16" s="1058">
        <v>829</v>
      </c>
      <c r="Q16" s="664">
        <f t="shared" si="1"/>
        <v>463</v>
      </c>
      <c r="R16" s="665">
        <f t="shared" si="2"/>
        <v>829</v>
      </c>
      <c r="S16" s="665">
        <f t="shared" si="0"/>
        <v>329.5</v>
      </c>
    </row>
    <row r="17" spans="1:19">
      <c r="A17" s="262" t="s">
        <v>157</v>
      </c>
      <c r="B17" s="1136">
        <v>633</v>
      </c>
      <c r="C17" s="1144">
        <v>702</v>
      </c>
      <c r="D17" s="1136">
        <v>733</v>
      </c>
      <c r="E17" s="1136">
        <v>580</v>
      </c>
      <c r="F17" s="1136">
        <v>243</v>
      </c>
      <c r="G17" s="1058">
        <v>231</v>
      </c>
      <c r="H17" s="1058">
        <v>293</v>
      </c>
      <c r="I17" s="1058">
        <v>276</v>
      </c>
      <c r="J17" s="1128">
        <v>308</v>
      </c>
      <c r="K17" s="1058">
        <v>354</v>
      </c>
      <c r="L17" s="1058">
        <v>409</v>
      </c>
      <c r="M17" s="1058">
        <v>439</v>
      </c>
      <c r="N17" s="1058">
        <v>483</v>
      </c>
      <c r="O17" s="1058">
        <v>637</v>
      </c>
      <c r="P17" s="1058">
        <v>901</v>
      </c>
      <c r="Q17" s="664">
        <f t="shared" si="1"/>
        <v>481.46666666666664</v>
      </c>
      <c r="R17" s="665">
        <f t="shared" si="2"/>
        <v>901</v>
      </c>
      <c r="S17" s="665">
        <f t="shared" si="0"/>
        <v>346.5</v>
      </c>
    </row>
    <row r="18" spans="1:19">
      <c r="A18" s="262" t="s">
        <v>158</v>
      </c>
      <c r="B18" s="1136">
        <v>671</v>
      </c>
      <c r="C18" s="1136">
        <v>722</v>
      </c>
      <c r="D18" s="1136">
        <v>743</v>
      </c>
      <c r="E18" s="1136">
        <v>604</v>
      </c>
      <c r="F18" s="1136">
        <v>239</v>
      </c>
      <c r="G18" s="1058">
        <v>206</v>
      </c>
      <c r="H18" s="1058">
        <v>306</v>
      </c>
      <c r="I18" s="1058">
        <v>248</v>
      </c>
      <c r="J18" s="1128">
        <v>305</v>
      </c>
      <c r="K18" s="1058">
        <v>353</v>
      </c>
      <c r="L18" s="1058">
        <v>411</v>
      </c>
      <c r="M18" s="1058">
        <v>439</v>
      </c>
      <c r="N18" s="1058">
        <v>483</v>
      </c>
      <c r="O18" s="1058">
        <v>636</v>
      </c>
      <c r="P18" s="1058">
        <v>967</v>
      </c>
      <c r="Q18" s="664">
        <f t="shared" si="1"/>
        <v>488.86666666666667</v>
      </c>
      <c r="R18" s="665">
        <f t="shared" si="2"/>
        <v>967</v>
      </c>
      <c r="S18" s="665">
        <f t="shared" si="0"/>
        <v>343.66666666666669</v>
      </c>
    </row>
    <row r="19" spans="1:19">
      <c r="A19" s="262" t="s">
        <v>159</v>
      </c>
      <c r="B19" s="1136">
        <v>720</v>
      </c>
      <c r="C19" s="1136">
        <v>752</v>
      </c>
      <c r="D19" s="1136">
        <v>753</v>
      </c>
      <c r="E19" s="1136">
        <v>617</v>
      </c>
      <c r="F19" s="1136">
        <v>236</v>
      </c>
      <c r="G19" s="1058">
        <v>196</v>
      </c>
      <c r="H19" s="1058">
        <v>302</v>
      </c>
      <c r="I19" s="1058">
        <v>250</v>
      </c>
      <c r="J19" s="1128">
        <v>303</v>
      </c>
      <c r="K19" s="1058">
        <v>357</v>
      </c>
      <c r="L19" s="1058">
        <v>412</v>
      </c>
      <c r="M19" s="1058">
        <v>440</v>
      </c>
      <c r="N19" s="1058">
        <v>484</v>
      </c>
      <c r="O19" s="1058">
        <v>637</v>
      </c>
      <c r="P19" s="1058">
        <v>1010</v>
      </c>
      <c r="Q19" s="664">
        <f t="shared" si="1"/>
        <v>497.93333333333334</v>
      </c>
      <c r="R19" s="665">
        <f t="shared" si="2"/>
        <v>1010</v>
      </c>
      <c r="S19" s="665">
        <f t="shared" si="0"/>
        <v>344</v>
      </c>
    </row>
    <row r="20" spans="1:19">
      <c r="A20" s="262" t="s">
        <v>179</v>
      </c>
      <c r="B20" s="1136">
        <v>797</v>
      </c>
      <c r="C20" s="1136">
        <v>792</v>
      </c>
      <c r="D20" s="1136">
        <v>775</v>
      </c>
      <c r="E20" s="1136">
        <v>624</v>
      </c>
      <c r="F20" s="1136">
        <v>241</v>
      </c>
      <c r="G20" s="1058">
        <v>233</v>
      </c>
      <c r="H20" s="1058">
        <v>279</v>
      </c>
      <c r="I20" s="1058">
        <v>253</v>
      </c>
      <c r="J20" s="1128">
        <v>301</v>
      </c>
      <c r="K20" s="1058">
        <v>354</v>
      </c>
      <c r="L20" s="1058">
        <v>412</v>
      </c>
      <c r="M20" s="1058">
        <v>440</v>
      </c>
      <c r="N20" s="1058">
        <v>479</v>
      </c>
      <c r="O20" s="1058">
        <v>639</v>
      </c>
      <c r="P20" s="1058">
        <v>1070</v>
      </c>
      <c r="Q20" s="664">
        <f t="shared" si="1"/>
        <v>512.6</v>
      </c>
      <c r="R20" s="665">
        <f t="shared" si="2"/>
        <v>1070</v>
      </c>
      <c r="S20" s="665">
        <f t="shared" si="0"/>
        <v>339.83333333333331</v>
      </c>
    </row>
    <row r="21" spans="1:19">
      <c r="A21" s="262" t="s">
        <v>180</v>
      </c>
      <c r="B21" s="1058">
        <v>842</v>
      </c>
      <c r="C21" s="1136">
        <v>819</v>
      </c>
      <c r="D21" s="1136">
        <v>776</v>
      </c>
      <c r="E21" s="1136">
        <v>628</v>
      </c>
      <c r="F21" s="1136">
        <v>246</v>
      </c>
      <c r="G21" s="1058">
        <v>213</v>
      </c>
      <c r="H21" s="1058">
        <v>266</v>
      </c>
      <c r="I21" s="1058">
        <v>255</v>
      </c>
      <c r="J21" s="1128">
        <v>304</v>
      </c>
      <c r="K21" s="1058"/>
      <c r="L21" s="1058"/>
      <c r="M21" s="1058"/>
      <c r="N21" s="1058"/>
      <c r="O21" s="1058"/>
      <c r="P21" s="1058"/>
      <c r="Q21" s="664">
        <f t="shared" si="1"/>
        <v>483.22222222222223</v>
      </c>
      <c r="R21" s="665">
        <f t="shared" si="2"/>
        <v>842</v>
      </c>
      <c r="S21" s="665">
        <f t="shared" si="0"/>
        <v>275</v>
      </c>
    </row>
    <row r="22" spans="1:19">
      <c r="A22" s="262" t="s">
        <v>361</v>
      </c>
      <c r="B22" s="1136">
        <f>AVERAGE(B7:B10)</f>
        <v>427</v>
      </c>
      <c r="C22" s="1136">
        <f t="shared" ref="C22:K22" si="3">AVERAGE(C7:C10)</f>
        <v>448.25</v>
      </c>
      <c r="D22" s="1136">
        <f t="shared" si="3"/>
        <v>566.75</v>
      </c>
      <c r="E22" s="1136">
        <f t="shared" si="3"/>
        <v>568</v>
      </c>
      <c r="F22" s="1136">
        <f t="shared" si="3"/>
        <v>260</v>
      </c>
      <c r="G22" s="1136">
        <f t="shared" si="3"/>
        <v>276.5</v>
      </c>
      <c r="H22" s="1136">
        <f t="shared" si="3"/>
        <v>288.25</v>
      </c>
      <c r="I22" s="1136">
        <f t="shared" si="3"/>
        <v>266</v>
      </c>
      <c r="J22" s="1136">
        <f t="shared" si="3"/>
        <v>310</v>
      </c>
      <c r="K22" s="1136">
        <f t="shared" si="3"/>
        <v>348.5</v>
      </c>
      <c r="L22" s="1136">
        <f t="shared" ref="L22:P22" si="4">AVERAGE(L7:L10)</f>
        <v>409</v>
      </c>
      <c r="M22" s="1136">
        <f t="shared" si="4"/>
        <v>436</v>
      </c>
      <c r="N22" s="1136">
        <f t="shared" si="4"/>
        <v>483</v>
      </c>
      <c r="O22" s="1136">
        <f t="shared" si="4"/>
        <v>635</v>
      </c>
      <c r="P22" s="1136">
        <f t="shared" si="4"/>
        <v>552.5</v>
      </c>
      <c r="Q22" s="1136">
        <f>AVERAGE(Q7:Q10)</f>
        <v>418.31666666666672</v>
      </c>
      <c r="R22" s="1136">
        <f>AVERAGE(R7:R10)</f>
        <v>635</v>
      </c>
      <c r="S22" s="1136">
        <f>AVERAGE(S7:S10)</f>
        <v>342.95833333333331</v>
      </c>
    </row>
    <row r="23" spans="1:19">
      <c r="A23" s="269" t="s">
        <v>365</v>
      </c>
      <c r="B23" s="1136">
        <f t="shared" ref="B23:S23" si="5">AVERAGE(B7:B21)</f>
        <v>571.20000000000005</v>
      </c>
      <c r="C23" s="1136">
        <f t="shared" si="5"/>
        <v>595.5333333333333</v>
      </c>
      <c r="D23" s="1136">
        <f t="shared" si="5"/>
        <v>653</v>
      </c>
      <c r="E23" s="1136">
        <f t="shared" si="5"/>
        <v>587</v>
      </c>
      <c r="F23" s="1136">
        <f t="shared" si="5"/>
        <v>248.8</v>
      </c>
      <c r="G23" s="1136">
        <f t="shared" si="5"/>
        <v>236.73333333333332</v>
      </c>
      <c r="H23" s="1136">
        <f t="shared" si="5"/>
        <v>270.2</v>
      </c>
      <c r="I23" s="1136">
        <f t="shared" si="5"/>
        <v>258.53333333333336</v>
      </c>
      <c r="J23" s="1136">
        <f t="shared" si="5"/>
        <v>304.46666666666664</v>
      </c>
      <c r="K23" s="1136">
        <f t="shared" si="5"/>
        <v>349.28571428571428</v>
      </c>
      <c r="L23" s="1136">
        <f t="shared" si="5"/>
        <v>409.85714285714283</v>
      </c>
      <c r="M23" s="1136">
        <f t="shared" si="5"/>
        <v>437.64285714285717</v>
      </c>
      <c r="N23" s="1136">
        <f t="shared" si="5"/>
        <v>482.78571428571428</v>
      </c>
      <c r="O23" s="1136">
        <f t="shared" si="5"/>
        <v>635.92857142857144</v>
      </c>
      <c r="P23" s="1136">
        <f t="shared" si="5"/>
        <v>759.71428571428567</v>
      </c>
      <c r="Q23" s="1136">
        <f t="shared" si="5"/>
        <v>452.59703703703707</v>
      </c>
      <c r="R23" s="1136">
        <f t="shared" si="5"/>
        <v>787.2</v>
      </c>
      <c r="S23" s="1136">
        <f t="shared" si="5"/>
        <v>334.19999999999993</v>
      </c>
    </row>
    <row r="24" spans="1:19" ht="15.5">
      <c r="A24" s="1450" t="s">
        <v>350</v>
      </c>
      <c r="B24" s="1451"/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2"/>
    </row>
    <row r="25" spans="1:19">
      <c r="A25" s="262" t="s">
        <v>270</v>
      </c>
      <c r="B25" s="1136">
        <v>402</v>
      </c>
      <c r="C25" s="1136"/>
      <c r="D25" s="1136">
        <v>566</v>
      </c>
      <c r="E25" s="1058">
        <v>566</v>
      </c>
      <c r="F25" s="1058">
        <v>260</v>
      </c>
      <c r="G25" s="1058">
        <v>276</v>
      </c>
      <c r="H25" s="1058">
        <v>290</v>
      </c>
      <c r="I25" s="1058">
        <v>267</v>
      </c>
      <c r="J25" s="1058">
        <v>308</v>
      </c>
      <c r="K25" s="1058">
        <v>356</v>
      </c>
      <c r="L25" s="1058">
        <v>410</v>
      </c>
      <c r="M25" s="1058">
        <v>434</v>
      </c>
      <c r="N25" s="1058">
        <v>482</v>
      </c>
      <c r="O25" s="1058">
        <v>633</v>
      </c>
      <c r="P25" s="1058">
        <v>510</v>
      </c>
      <c r="Q25" s="664">
        <f t="shared" ref="Q25:Q36" si="6">AVERAGE(B25:P25)</f>
        <v>411.42857142857144</v>
      </c>
      <c r="R25" s="665">
        <f t="shared" ref="R25:R36" si="7">MAX(B25:P25)</f>
        <v>633</v>
      </c>
      <c r="S25" s="665">
        <f t="shared" si="0"/>
        <v>344.16666666666669</v>
      </c>
    </row>
    <row r="26" spans="1:19">
      <c r="A26" s="262" t="s">
        <v>151</v>
      </c>
      <c r="B26" s="1136">
        <v>419</v>
      </c>
      <c r="C26" s="1136"/>
      <c r="D26" s="1136">
        <v>566</v>
      </c>
      <c r="E26" s="1058">
        <v>566</v>
      </c>
      <c r="F26" s="1058">
        <v>260</v>
      </c>
      <c r="G26" s="1058">
        <v>276</v>
      </c>
      <c r="H26" s="1058">
        <v>290</v>
      </c>
      <c r="I26" s="1058">
        <v>268</v>
      </c>
      <c r="J26" s="1058">
        <v>311</v>
      </c>
      <c r="K26" s="1058">
        <v>356</v>
      </c>
      <c r="L26" s="1058">
        <v>409</v>
      </c>
      <c r="M26" s="1058">
        <v>435</v>
      </c>
      <c r="N26" s="1058">
        <v>482</v>
      </c>
      <c r="O26" s="1058">
        <v>633</v>
      </c>
      <c r="P26" s="1058">
        <v>518</v>
      </c>
      <c r="Q26" s="664">
        <f t="shared" si="6"/>
        <v>413.5</v>
      </c>
      <c r="R26" s="665">
        <f t="shared" si="7"/>
        <v>633</v>
      </c>
      <c r="S26" s="665">
        <f t="shared" si="0"/>
        <v>344.83333333333331</v>
      </c>
    </row>
    <row r="27" spans="1:19">
      <c r="A27" s="262" t="s">
        <v>271</v>
      </c>
      <c r="B27" s="1136">
        <v>433</v>
      </c>
      <c r="C27" s="1136"/>
      <c r="D27" s="1136">
        <v>566</v>
      </c>
      <c r="E27" s="1058">
        <v>567</v>
      </c>
      <c r="F27" s="1058">
        <v>260</v>
      </c>
      <c r="G27" s="1058">
        <v>275</v>
      </c>
      <c r="H27" s="1058">
        <v>290</v>
      </c>
      <c r="I27" s="1058">
        <v>267</v>
      </c>
      <c r="J27" s="1058">
        <v>311</v>
      </c>
      <c r="K27" s="1058">
        <v>354</v>
      </c>
      <c r="L27" s="1058">
        <v>409</v>
      </c>
      <c r="M27" s="1058">
        <v>438</v>
      </c>
      <c r="N27" s="1058">
        <v>482</v>
      </c>
      <c r="O27" s="1058">
        <v>633</v>
      </c>
      <c r="P27" s="1058">
        <v>514</v>
      </c>
      <c r="Q27" s="664">
        <f t="shared" si="6"/>
        <v>414.21428571428572</v>
      </c>
      <c r="R27" s="665">
        <f t="shared" si="7"/>
        <v>633</v>
      </c>
      <c r="S27" s="665">
        <f t="shared" si="0"/>
        <v>344.83333333333331</v>
      </c>
    </row>
    <row r="28" spans="1:19">
      <c r="A28" s="262" t="s">
        <v>152</v>
      </c>
      <c r="B28" s="1136">
        <v>441</v>
      </c>
      <c r="C28" s="1136"/>
      <c r="D28" s="1136">
        <v>567</v>
      </c>
      <c r="E28" s="1058">
        <v>569</v>
      </c>
      <c r="F28" s="1058">
        <v>260</v>
      </c>
      <c r="G28" s="1058">
        <v>266</v>
      </c>
      <c r="H28" s="1058">
        <v>273</v>
      </c>
      <c r="I28" s="1058">
        <v>265</v>
      </c>
      <c r="J28" s="1058">
        <v>312</v>
      </c>
      <c r="K28" s="1058">
        <v>353</v>
      </c>
      <c r="L28" s="1058">
        <v>410</v>
      </c>
      <c r="M28" s="1058">
        <v>437</v>
      </c>
      <c r="N28" s="1058">
        <v>482</v>
      </c>
      <c r="O28" s="1058">
        <v>633</v>
      </c>
      <c r="P28" s="1058">
        <v>629</v>
      </c>
      <c r="Q28" s="664">
        <f t="shared" si="6"/>
        <v>421.21428571428572</v>
      </c>
      <c r="R28" s="665">
        <f t="shared" si="7"/>
        <v>633</v>
      </c>
      <c r="S28" s="665">
        <f t="shared" si="0"/>
        <v>341.66666666666669</v>
      </c>
    </row>
    <row r="29" spans="1:19">
      <c r="A29" s="262" t="s">
        <v>272</v>
      </c>
      <c r="B29" s="1136">
        <v>457</v>
      </c>
      <c r="C29" s="1136"/>
      <c r="D29" s="1136">
        <v>568</v>
      </c>
      <c r="E29" s="1058">
        <v>568</v>
      </c>
      <c r="F29" s="1058">
        <v>259</v>
      </c>
      <c r="G29" s="1058">
        <v>231</v>
      </c>
      <c r="H29" s="1058">
        <v>262</v>
      </c>
      <c r="I29" s="1058">
        <v>166</v>
      </c>
      <c r="J29" s="1058">
        <v>311</v>
      </c>
      <c r="K29" s="1058">
        <v>354</v>
      </c>
      <c r="L29" s="1058">
        <v>410</v>
      </c>
      <c r="M29" s="1058">
        <v>438</v>
      </c>
      <c r="N29" s="1058">
        <v>482</v>
      </c>
      <c r="O29" s="1058">
        <v>633</v>
      </c>
      <c r="P29" s="1058">
        <v>688</v>
      </c>
      <c r="Q29" s="664">
        <f t="shared" si="6"/>
        <v>416.21428571428572</v>
      </c>
      <c r="R29" s="665">
        <f t="shared" si="7"/>
        <v>688</v>
      </c>
      <c r="S29" s="665">
        <f t="shared" si="0"/>
        <v>323.5</v>
      </c>
    </row>
    <row r="30" spans="1:19">
      <c r="A30" s="262" t="s">
        <v>153</v>
      </c>
      <c r="B30" s="1136">
        <v>470</v>
      </c>
      <c r="C30" s="1136"/>
      <c r="D30" s="1136">
        <v>568</v>
      </c>
      <c r="E30" s="1058">
        <v>567</v>
      </c>
      <c r="F30" s="1058">
        <v>256</v>
      </c>
      <c r="G30" s="1058">
        <v>225</v>
      </c>
      <c r="H30" s="1058">
        <v>249</v>
      </c>
      <c r="I30" s="1058">
        <v>162</v>
      </c>
      <c r="J30" s="1058">
        <v>310</v>
      </c>
      <c r="K30" s="1058">
        <v>353</v>
      </c>
      <c r="L30" s="1058">
        <v>410</v>
      </c>
      <c r="M30" s="1058">
        <v>438</v>
      </c>
      <c r="N30" s="1058">
        <v>482</v>
      </c>
      <c r="O30" s="1058">
        <v>633</v>
      </c>
      <c r="P30" s="1058">
        <v>715</v>
      </c>
      <c r="Q30" s="664">
        <f t="shared" si="6"/>
        <v>417</v>
      </c>
      <c r="R30" s="665">
        <f t="shared" si="7"/>
        <v>715</v>
      </c>
      <c r="S30" s="665">
        <f t="shared" si="0"/>
        <v>320.33333333333331</v>
      </c>
    </row>
    <row r="31" spans="1:19">
      <c r="A31" s="262" t="s">
        <v>273</v>
      </c>
      <c r="B31" s="1136">
        <v>503</v>
      </c>
      <c r="C31" s="1136"/>
      <c r="D31" s="1136">
        <v>568</v>
      </c>
      <c r="E31" s="1058">
        <v>566</v>
      </c>
      <c r="F31" s="1058">
        <v>244</v>
      </c>
      <c r="G31" s="1058">
        <v>238</v>
      </c>
      <c r="H31" s="1058">
        <v>241</v>
      </c>
      <c r="I31" s="1058">
        <v>259</v>
      </c>
      <c r="J31" s="1058">
        <v>311</v>
      </c>
      <c r="K31" s="1058">
        <v>354</v>
      </c>
      <c r="L31" s="1058">
        <v>409</v>
      </c>
      <c r="M31" s="1058">
        <v>437</v>
      </c>
      <c r="N31" s="1058">
        <v>482</v>
      </c>
      <c r="O31" s="1058">
        <v>633</v>
      </c>
      <c r="P31" s="1058">
        <v>727</v>
      </c>
      <c r="Q31" s="664">
        <f t="shared" si="6"/>
        <v>426.57142857142856</v>
      </c>
      <c r="R31" s="665">
        <f t="shared" si="7"/>
        <v>727</v>
      </c>
      <c r="S31" s="665">
        <f t="shared" si="0"/>
        <v>335.16666666666669</v>
      </c>
    </row>
    <row r="32" spans="1:19">
      <c r="A32" s="262" t="s">
        <v>154</v>
      </c>
      <c r="B32" s="1136">
        <v>528</v>
      </c>
      <c r="C32" s="1136"/>
      <c r="D32" s="1136">
        <v>569</v>
      </c>
      <c r="E32" s="1058">
        <v>578</v>
      </c>
      <c r="F32" s="1058">
        <v>245</v>
      </c>
      <c r="G32" s="1058">
        <v>239</v>
      </c>
      <c r="H32" s="1058">
        <v>235</v>
      </c>
      <c r="I32" s="1058">
        <v>251</v>
      </c>
      <c r="J32" s="1058">
        <v>312</v>
      </c>
      <c r="K32" s="1058">
        <v>352</v>
      </c>
      <c r="L32" s="1058">
        <v>409</v>
      </c>
      <c r="M32" s="1058">
        <v>438</v>
      </c>
      <c r="N32" s="1058">
        <v>482</v>
      </c>
      <c r="O32" s="1058">
        <v>633</v>
      </c>
      <c r="P32" s="1058">
        <v>745</v>
      </c>
      <c r="Q32" s="664">
        <f t="shared" si="6"/>
        <v>429.71428571428572</v>
      </c>
      <c r="R32" s="665">
        <f t="shared" si="7"/>
        <v>745</v>
      </c>
      <c r="S32" s="665">
        <f t="shared" si="0"/>
        <v>332.83333333333331</v>
      </c>
    </row>
    <row r="33" spans="1:19">
      <c r="A33" s="262" t="s">
        <v>155</v>
      </c>
      <c r="B33" s="1136">
        <v>553</v>
      </c>
      <c r="C33" s="1136"/>
      <c r="D33" s="1136">
        <v>666</v>
      </c>
      <c r="E33" s="1058">
        <v>587</v>
      </c>
      <c r="F33" s="1058">
        <v>239</v>
      </c>
      <c r="G33" s="1058">
        <v>224</v>
      </c>
      <c r="H33" s="1058">
        <v>256</v>
      </c>
      <c r="I33" s="1058">
        <v>256</v>
      </c>
      <c r="J33" s="1058">
        <v>313</v>
      </c>
      <c r="K33" s="1058">
        <v>252</v>
      </c>
      <c r="L33" s="1058">
        <v>409</v>
      </c>
      <c r="M33" s="1058">
        <v>439</v>
      </c>
      <c r="N33" s="1058">
        <v>482</v>
      </c>
      <c r="O33" s="1058">
        <v>633</v>
      </c>
      <c r="P33" s="1058">
        <v>783</v>
      </c>
      <c r="Q33" s="664">
        <f t="shared" si="6"/>
        <v>435.14285714285717</v>
      </c>
      <c r="R33" s="665">
        <f t="shared" si="7"/>
        <v>783</v>
      </c>
      <c r="S33" s="665">
        <f t="shared" si="0"/>
        <v>320.83333333333331</v>
      </c>
    </row>
    <row r="34" spans="1:19">
      <c r="A34" s="262" t="s">
        <v>156</v>
      </c>
      <c r="B34" s="1136">
        <v>587</v>
      </c>
      <c r="C34" s="1136"/>
      <c r="D34" s="1136">
        <v>709</v>
      </c>
      <c r="E34" s="1058">
        <v>605</v>
      </c>
      <c r="F34" s="1058">
        <v>237</v>
      </c>
      <c r="G34" s="1058">
        <v>224</v>
      </c>
      <c r="H34" s="1058">
        <v>247</v>
      </c>
      <c r="I34" s="1058">
        <v>270</v>
      </c>
      <c r="J34" s="1058">
        <v>315</v>
      </c>
      <c r="K34" s="1058">
        <v>354</v>
      </c>
      <c r="L34" s="1058">
        <v>409</v>
      </c>
      <c r="M34" s="1058">
        <v>439</v>
      </c>
      <c r="N34" s="1058">
        <v>482</v>
      </c>
      <c r="O34" s="1058"/>
      <c r="P34" s="1058">
        <v>832</v>
      </c>
      <c r="Q34" s="664">
        <f t="shared" si="6"/>
        <v>439.23076923076923</v>
      </c>
      <c r="R34" s="665">
        <f t="shared" si="7"/>
        <v>832</v>
      </c>
      <c r="S34" s="665">
        <f t="shared" si="0"/>
        <v>339</v>
      </c>
    </row>
    <row r="35" spans="1:19">
      <c r="A35" s="262" t="s">
        <v>157</v>
      </c>
      <c r="B35" s="1136">
        <v>611</v>
      </c>
      <c r="C35" s="1136"/>
      <c r="D35" s="1136">
        <v>732</v>
      </c>
      <c r="E35" s="1058"/>
      <c r="F35" s="1058">
        <v>239</v>
      </c>
      <c r="G35" s="1058">
        <v>224</v>
      </c>
      <c r="H35" s="1058">
        <v>287</v>
      </c>
      <c r="I35" s="1058">
        <v>247</v>
      </c>
      <c r="J35" s="1058">
        <v>309</v>
      </c>
      <c r="K35" s="1058">
        <v>353</v>
      </c>
      <c r="L35" s="1058"/>
      <c r="M35" s="1058">
        <v>438</v>
      </c>
      <c r="N35" s="1058">
        <v>482</v>
      </c>
      <c r="O35" s="1058"/>
      <c r="P35" s="1058">
        <v>871</v>
      </c>
      <c r="Q35" s="664">
        <f t="shared" si="6"/>
        <v>435.72727272727275</v>
      </c>
      <c r="R35" s="665">
        <f t="shared" si="7"/>
        <v>871</v>
      </c>
      <c r="S35" s="665">
        <f t="shared" si="0"/>
        <v>326.8</v>
      </c>
    </row>
    <row r="36" spans="1:19">
      <c r="A36" s="262" t="s">
        <v>158</v>
      </c>
      <c r="B36" s="1136">
        <v>662</v>
      </c>
      <c r="C36" s="1136"/>
      <c r="D36" s="1136">
        <v>741</v>
      </c>
      <c r="E36" s="1058"/>
      <c r="F36" s="1058">
        <v>240</v>
      </c>
      <c r="G36" s="1058">
        <v>224</v>
      </c>
      <c r="H36" s="1058">
        <v>313</v>
      </c>
      <c r="I36" s="1058">
        <v>246</v>
      </c>
      <c r="J36" s="1058"/>
      <c r="K36" s="1058">
        <v>355</v>
      </c>
      <c r="L36" s="1058"/>
      <c r="M36" s="1058"/>
      <c r="N36" s="1058">
        <v>483</v>
      </c>
      <c r="O36" s="1058"/>
      <c r="P36" s="1058">
        <v>943</v>
      </c>
      <c r="Q36" s="664">
        <f t="shared" si="6"/>
        <v>467.44444444444446</v>
      </c>
      <c r="R36" s="665">
        <f t="shared" si="7"/>
        <v>943</v>
      </c>
      <c r="S36" s="665">
        <f t="shared" si="0"/>
        <v>304.66666666666669</v>
      </c>
    </row>
    <row r="37" spans="1:19">
      <c r="A37" s="262" t="s">
        <v>361</v>
      </c>
      <c r="B37" s="1136">
        <f>AVERAGE(B25:B29)</f>
        <v>430.4</v>
      </c>
      <c r="C37" s="1136"/>
      <c r="D37" s="1136">
        <f>AVERAGE(D25:D28)</f>
        <v>566.25</v>
      </c>
      <c r="E37" s="1136">
        <f t="shared" ref="E37:M37" si="8">AVERAGE(E25:E28)</f>
        <v>567</v>
      </c>
      <c r="F37" s="1136">
        <f t="shared" si="8"/>
        <v>260</v>
      </c>
      <c r="G37" s="1136">
        <f t="shared" si="8"/>
        <v>273.25</v>
      </c>
      <c r="H37" s="1136">
        <f t="shared" si="8"/>
        <v>285.75</v>
      </c>
      <c r="I37" s="1136">
        <f t="shared" si="8"/>
        <v>266.75</v>
      </c>
      <c r="J37" s="1136">
        <f t="shared" si="8"/>
        <v>310.5</v>
      </c>
      <c r="K37" s="1136">
        <f t="shared" si="8"/>
        <v>354.75</v>
      </c>
      <c r="L37" s="1136">
        <f t="shared" si="8"/>
        <v>409.5</v>
      </c>
      <c r="M37" s="1136">
        <f t="shared" si="8"/>
        <v>436</v>
      </c>
      <c r="N37" s="1136">
        <f t="shared" ref="N37:P37" si="9">AVERAGE(N25:N29)</f>
        <v>482</v>
      </c>
      <c r="O37" s="1136">
        <f t="shared" si="9"/>
        <v>633</v>
      </c>
      <c r="P37" s="1136">
        <f t="shared" si="9"/>
        <v>571.79999999999995</v>
      </c>
      <c r="Q37" s="1136">
        <f>AVERAGE(Q25:Q28)</f>
        <v>415.08928571428572</v>
      </c>
      <c r="R37" s="1136">
        <f>AVERAGE(R25:R28)</f>
        <v>633</v>
      </c>
      <c r="S37" s="1136">
        <f>AVERAGE(S25:S28)</f>
        <v>343.875</v>
      </c>
    </row>
    <row r="38" spans="1:19">
      <c r="A38" s="262" t="s">
        <v>362</v>
      </c>
      <c r="B38" s="1136">
        <f t="shared" ref="B38:P38" si="10">AVERAGE(B25:B36)</f>
        <v>505.5</v>
      </c>
      <c r="C38" s="1136"/>
      <c r="D38" s="1136">
        <f>AVERAGE(D25:D36)</f>
        <v>615.5</v>
      </c>
      <c r="E38" s="1136">
        <f t="shared" si="10"/>
        <v>573.9</v>
      </c>
      <c r="F38" s="1136">
        <f t="shared" si="10"/>
        <v>249.91666666666666</v>
      </c>
      <c r="G38" s="1136">
        <f t="shared" si="10"/>
        <v>243.5</v>
      </c>
      <c r="H38" s="1136">
        <f t="shared" si="10"/>
        <v>269.41666666666669</v>
      </c>
      <c r="I38" s="1136">
        <f t="shared" si="10"/>
        <v>243.66666666666666</v>
      </c>
      <c r="J38" s="1136">
        <f t="shared" si="10"/>
        <v>311.18181818181819</v>
      </c>
      <c r="K38" s="1136">
        <f t="shared" si="10"/>
        <v>345.5</v>
      </c>
      <c r="L38" s="1136">
        <f t="shared" si="10"/>
        <v>409.4</v>
      </c>
      <c r="M38" s="1136">
        <f t="shared" si="10"/>
        <v>437.36363636363637</v>
      </c>
      <c r="N38" s="1136">
        <f t="shared" si="10"/>
        <v>482.08333333333331</v>
      </c>
      <c r="O38" s="1136">
        <f t="shared" si="10"/>
        <v>633</v>
      </c>
      <c r="P38" s="1136">
        <f t="shared" si="10"/>
        <v>706.25</v>
      </c>
      <c r="Q38" s="1136">
        <f>AVERAGE(Q25:Q36)</f>
        <v>427.28354053354059</v>
      </c>
      <c r="R38" s="1136">
        <f>AVERAGE(R25:R36)</f>
        <v>736.33333333333337</v>
      </c>
      <c r="S38" s="1136">
        <f>AVERAGE(S25:S36)</f>
        <v>331.55277777777781</v>
      </c>
    </row>
    <row r="39" spans="1:19" ht="15.5">
      <c r="A39" s="1450" t="s">
        <v>351</v>
      </c>
      <c r="B39" s="1451"/>
      <c r="C39" s="1451"/>
      <c r="D39" s="1451"/>
      <c r="E39" s="1451"/>
      <c r="F39" s="1451"/>
      <c r="G39" s="1451"/>
      <c r="H39" s="1451"/>
      <c r="I39" s="1451"/>
      <c r="J39" s="1451"/>
      <c r="K39" s="1451"/>
      <c r="L39" s="1451"/>
      <c r="M39" s="1451"/>
      <c r="N39" s="1451"/>
      <c r="O39" s="1451"/>
      <c r="P39" s="1451"/>
      <c r="Q39" s="1451"/>
      <c r="R39" s="1451"/>
      <c r="S39" s="1452"/>
    </row>
    <row r="40" spans="1:19">
      <c r="A40" s="262" t="s">
        <v>270</v>
      </c>
      <c r="B40" s="1136">
        <v>419</v>
      </c>
      <c r="C40" s="1136"/>
      <c r="D40" s="1136">
        <v>566</v>
      </c>
      <c r="E40" s="1075">
        <v>571</v>
      </c>
      <c r="F40" s="1058">
        <v>260</v>
      </c>
      <c r="G40" s="1058">
        <v>279</v>
      </c>
      <c r="H40" s="1058">
        <v>287</v>
      </c>
      <c r="I40" s="1058">
        <v>270</v>
      </c>
      <c r="J40" s="1058">
        <v>312</v>
      </c>
      <c r="K40" s="1058">
        <v>357</v>
      </c>
      <c r="L40" s="1058">
        <v>411</v>
      </c>
      <c r="M40" s="1058">
        <v>435</v>
      </c>
      <c r="N40" s="1058">
        <v>483</v>
      </c>
      <c r="O40" s="1058">
        <v>630</v>
      </c>
      <c r="P40" s="1058">
        <v>502</v>
      </c>
      <c r="Q40" s="664">
        <f t="shared" ref="Q40:Q51" si="11">AVERAGE(B40:P40)</f>
        <v>413</v>
      </c>
      <c r="R40" s="665">
        <f t="shared" ref="R40:R51" si="12">MAX(B40:P40)</f>
        <v>630</v>
      </c>
      <c r="S40" s="665">
        <f t="shared" si="0"/>
        <v>345.33333333333331</v>
      </c>
    </row>
    <row r="41" spans="1:19">
      <c r="A41" s="262" t="s">
        <v>151</v>
      </c>
      <c r="B41" s="1136">
        <v>438</v>
      </c>
      <c r="C41" s="1136"/>
      <c r="D41" s="1136">
        <v>566</v>
      </c>
      <c r="E41" s="1075">
        <v>570</v>
      </c>
      <c r="F41" s="1058">
        <v>260</v>
      </c>
      <c r="G41" s="1058">
        <v>279</v>
      </c>
      <c r="H41" s="1058">
        <v>287</v>
      </c>
      <c r="I41" s="1058">
        <v>264</v>
      </c>
      <c r="J41" s="1058">
        <v>310</v>
      </c>
      <c r="K41" s="1058">
        <v>357</v>
      </c>
      <c r="L41" s="1058">
        <v>412</v>
      </c>
      <c r="M41" s="1058">
        <v>437</v>
      </c>
      <c r="N41" s="1058">
        <v>483</v>
      </c>
      <c r="O41" s="1058">
        <v>630</v>
      </c>
      <c r="P41" s="1058">
        <v>513</v>
      </c>
      <c r="Q41" s="664">
        <f t="shared" si="11"/>
        <v>414.71428571428572</v>
      </c>
      <c r="R41" s="665">
        <f t="shared" si="12"/>
        <v>630</v>
      </c>
      <c r="S41" s="665">
        <f t="shared" si="0"/>
        <v>344.5</v>
      </c>
    </row>
    <row r="42" spans="1:19">
      <c r="A42" s="262" t="s">
        <v>271</v>
      </c>
      <c r="B42" s="1136">
        <v>488</v>
      </c>
      <c r="C42" s="1136"/>
      <c r="D42" s="1136">
        <v>566</v>
      </c>
      <c r="E42" s="1075">
        <v>569</v>
      </c>
      <c r="F42" s="1058">
        <v>261</v>
      </c>
      <c r="G42" s="1058">
        <v>278</v>
      </c>
      <c r="H42" s="1058">
        <v>287</v>
      </c>
      <c r="I42" s="1058">
        <v>263</v>
      </c>
      <c r="J42" s="1058">
        <v>312</v>
      </c>
      <c r="K42" s="1058">
        <v>356</v>
      </c>
      <c r="L42" s="1058">
        <v>411</v>
      </c>
      <c r="M42" s="1058">
        <v>436</v>
      </c>
      <c r="N42" s="1058">
        <v>483</v>
      </c>
      <c r="O42" s="1058">
        <v>630</v>
      </c>
      <c r="P42" s="1058">
        <v>516</v>
      </c>
      <c r="Q42" s="664">
        <f t="shared" si="11"/>
        <v>418.28571428571428</v>
      </c>
      <c r="R42" s="665">
        <f t="shared" si="12"/>
        <v>630</v>
      </c>
      <c r="S42" s="665">
        <f t="shared" si="0"/>
        <v>344.16666666666669</v>
      </c>
    </row>
    <row r="43" spans="1:19">
      <c r="A43" s="262" t="s">
        <v>152</v>
      </c>
      <c r="B43" s="1136">
        <v>470</v>
      </c>
      <c r="C43" s="1136"/>
      <c r="D43" s="1136">
        <v>566</v>
      </c>
      <c r="E43" s="1075">
        <v>570</v>
      </c>
      <c r="F43" s="1058">
        <v>261</v>
      </c>
      <c r="G43" s="1058">
        <v>270</v>
      </c>
      <c r="H43" s="1058">
        <v>287</v>
      </c>
      <c r="I43" s="1058">
        <v>262</v>
      </c>
      <c r="J43" s="1058">
        <v>312</v>
      </c>
      <c r="K43" s="1058">
        <v>355</v>
      </c>
      <c r="L43" s="1058">
        <v>410</v>
      </c>
      <c r="M43" s="1058">
        <v>437</v>
      </c>
      <c r="N43" s="1058">
        <v>483</v>
      </c>
      <c r="O43" s="1058">
        <v>630</v>
      </c>
      <c r="P43" s="1058">
        <v>620</v>
      </c>
      <c r="Q43" s="664">
        <f t="shared" si="11"/>
        <v>423.78571428571428</v>
      </c>
      <c r="R43" s="665">
        <f t="shared" si="12"/>
        <v>630</v>
      </c>
      <c r="S43" s="665">
        <f t="shared" si="0"/>
        <v>343.83333333333331</v>
      </c>
    </row>
    <row r="44" spans="1:19">
      <c r="A44" s="262" t="s">
        <v>272</v>
      </c>
      <c r="B44" s="1136">
        <v>482</v>
      </c>
      <c r="C44" s="1136"/>
      <c r="D44" s="1136">
        <v>568</v>
      </c>
      <c r="E44" s="1075">
        <v>580</v>
      </c>
      <c r="F44" s="1058">
        <v>261</v>
      </c>
      <c r="G44" s="1058">
        <v>271</v>
      </c>
      <c r="H44" s="1058">
        <v>269</v>
      </c>
      <c r="I44" s="1058">
        <v>260</v>
      </c>
      <c r="J44" s="1058">
        <v>312</v>
      </c>
      <c r="K44" s="1058">
        <v>355</v>
      </c>
      <c r="L44" s="1058">
        <v>410</v>
      </c>
      <c r="M44" s="1058">
        <v>437</v>
      </c>
      <c r="N44" s="1058">
        <v>483</v>
      </c>
      <c r="O44" s="1058">
        <v>630</v>
      </c>
      <c r="P44" s="1058">
        <v>677</v>
      </c>
      <c r="Q44" s="664">
        <f t="shared" si="11"/>
        <v>428.21428571428572</v>
      </c>
      <c r="R44" s="665">
        <f t="shared" si="12"/>
        <v>677</v>
      </c>
      <c r="S44" s="665">
        <f t="shared" si="0"/>
        <v>340.5</v>
      </c>
    </row>
    <row r="45" spans="1:19">
      <c r="A45" s="262" t="s">
        <v>153</v>
      </c>
      <c r="B45" s="1136">
        <v>498</v>
      </c>
      <c r="C45" s="1136"/>
      <c r="D45" s="1136">
        <v>590</v>
      </c>
      <c r="E45" s="1075">
        <v>573</v>
      </c>
      <c r="F45" s="1058">
        <v>246</v>
      </c>
      <c r="G45" s="1058">
        <v>249</v>
      </c>
      <c r="H45" s="1058">
        <v>247</v>
      </c>
      <c r="I45" s="1058">
        <v>258</v>
      </c>
      <c r="J45" s="1058">
        <v>313</v>
      </c>
      <c r="K45" s="1058">
        <v>355</v>
      </c>
      <c r="L45" s="1058">
        <v>410</v>
      </c>
      <c r="M45" s="1058">
        <v>437</v>
      </c>
      <c r="N45" s="1058">
        <v>483</v>
      </c>
      <c r="O45" s="1058">
        <v>630</v>
      </c>
      <c r="P45" s="1058">
        <v>703</v>
      </c>
      <c r="Q45" s="664">
        <f t="shared" si="11"/>
        <v>428</v>
      </c>
      <c r="R45" s="665">
        <f t="shared" si="12"/>
        <v>703</v>
      </c>
      <c r="S45" s="665">
        <f t="shared" si="0"/>
        <v>336.66666666666669</v>
      </c>
    </row>
    <row r="46" spans="1:19">
      <c r="A46" s="262" t="s">
        <v>273</v>
      </c>
      <c r="B46" s="1136">
        <v>513</v>
      </c>
      <c r="C46" s="1136"/>
      <c r="D46" s="1136">
        <v>609</v>
      </c>
      <c r="E46" s="1075">
        <v>573</v>
      </c>
      <c r="F46" s="1058">
        <v>243</v>
      </c>
      <c r="G46" s="1058">
        <v>245</v>
      </c>
      <c r="H46" s="1058">
        <v>251</v>
      </c>
      <c r="I46" s="1058">
        <v>249</v>
      </c>
      <c r="J46" s="1058">
        <v>319</v>
      </c>
      <c r="K46" s="1058">
        <v>357</v>
      </c>
      <c r="L46" s="1058">
        <v>410</v>
      </c>
      <c r="M46" s="1058">
        <v>437</v>
      </c>
      <c r="N46" s="1058">
        <v>483</v>
      </c>
      <c r="O46" s="1058">
        <v>631</v>
      </c>
      <c r="P46" s="1058">
        <v>736</v>
      </c>
      <c r="Q46" s="664">
        <f t="shared" si="11"/>
        <v>432.57142857142856</v>
      </c>
      <c r="R46" s="665">
        <f t="shared" si="12"/>
        <v>736</v>
      </c>
      <c r="S46" s="665">
        <f t="shared" si="0"/>
        <v>337.16666666666669</v>
      </c>
    </row>
    <row r="47" spans="1:19">
      <c r="A47" s="262" t="s">
        <v>154</v>
      </c>
      <c r="B47" s="1136">
        <v>532</v>
      </c>
      <c r="C47" s="1136"/>
      <c r="D47" s="1136">
        <v>628</v>
      </c>
      <c r="E47" s="1075">
        <v>577</v>
      </c>
      <c r="F47" s="1058">
        <v>243</v>
      </c>
      <c r="G47" s="1058">
        <v>270</v>
      </c>
      <c r="H47" s="1058">
        <v>248</v>
      </c>
      <c r="I47" s="1058">
        <v>250</v>
      </c>
      <c r="J47" s="1058">
        <v>322</v>
      </c>
      <c r="K47" s="1058">
        <v>360</v>
      </c>
      <c r="L47" s="1058">
        <v>410</v>
      </c>
      <c r="M47" s="1058">
        <v>437</v>
      </c>
      <c r="N47" s="1058">
        <v>483</v>
      </c>
      <c r="O47" s="1058">
        <v>632</v>
      </c>
      <c r="P47" s="1058">
        <v>753</v>
      </c>
      <c r="Q47" s="664">
        <f t="shared" si="11"/>
        <v>438.92857142857144</v>
      </c>
      <c r="R47" s="665">
        <f t="shared" si="12"/>
        <v>753</v>
      </c>
      <c r="S47" s="665">
        <f t="shared" si="0"/>
        <v>337.83333333333331</v>
      </c>
    </row>
    <row r="48" spans="1:19">
      <c r="A48" s="262" t="s">
        <v>155</v>
      </c>
      <c r="B48" s="1136">
        <v>654</v>
      </c>
      <c r="C48" s="1136"/>
      <c r="D48" s="1136">
        <v>690</v>
      </c>
      <c r="E48" s="1058">
        <v>599</v>
      </c>
      <c r="F48" s="1058">
        <v>236</v>
      </c>
      <c r="G48" s="1058">
        <v>249</v>
      </c>
      <c r="H48" s="1058">
        <v>248</v>
      </c>
      <c r="I48" s="1058">
        <v>258</v>
      </c>
      <c r="J48" s="1058">
        <v>312</v>
      </c>
      <c r="K48" s="1058">
        <v>354</v>
      </c>
      <c r="L48" s="1058">
        <v>410</v>
      </c>
      <c r="M48" s="1058">
        <v>437</v>
      </c>
      <c r="N48" s="1058">
        <v>483</v>
      </c>
      <c r="O48" s="1058"/>
      <c r="P48" s="1058">
        <v>776</v>
      </c>
      <c r="Q48" s="664">
        <f t="shared" si="11"/>
        <v>438.92307692307691</v>
      </c>
      <c r="R48" s="665">
        <f t="shared" si="12"/>
        <v>776</v>
      </c>
      <c r="S48" s="665">
        <f t="shared" si="0"/>
        <v>336.5</v>
      </c>
    </row>
    <row r="49" spans="1:19" s="710" customFormat="1">
      <c r="A49" s="409" t="s">
        <v>156</v>
      </c>
      <c r="B49" s="1136">
        <v>576</v>
      </c>
      <c r="C49" s="1136"/>
      <c r="D49" s="1136"/>
      <c r="E49" s="1058"/>
      <c r="F49" s="1058">
        <v>243</v>
      </c>
      <c r="G49" s="1058">
        <v>226</v>
      </c>
      <c r="H49" s="1058">
        <v>262</v>
      </c>
      <c r="I49" s="1058">
        <v>245</v>
      </c>
      <c r="J49" s="1058"/>
      <c r="K49" s="1058"/>
      <c r="L49" s="1058"/>
      <c r="M49" s="1058"/>
      <c r="N49" s="1058">
        <v>502</v>
      </c>
      <c r="O49" s="1058"/>
      <c r="P49" s="1058"/>
      <c r="Q49" s="664">
        <f t="shared" si="11"/>
        <v>342.33333333333331</v>
      </c>
      <c r="R49" s="665">
        <f t="shared" si="12"/>
        <v>576</v>
      </c>
      <c r="S49" s="665">
        <f t="shared" si="0"/>
        <v>253.5</v>
      </c>
    </row>
    <row r="50" spans="1:19" s="710" customFormat="1">
      <c r="A50" s="409" t="s">
        <v>157</v>
      </c>
      <c r="B50" s="1136">
        <v>635</v>
      </c>
      <c r="C50" s="1136"/>
      <c r="D50" s="1136"/>
      <c r="E50" s="1058"/>
      <c r="F50" s="1058">
        <v>236</v>
      </c>
      <c r="G50" s="1058">
        <v>226</v>
      </c>
      <c r="H50" s="1058">
        <v>267</v>
      </c>
      <c r="I50" s="1058">
        <v>251</v>
      </c>
      <c r="J50" s="1058"/>
      <c r="K50" s="1058"/>
      <c r="L50" s="1058"/>
      <c r="M50" s="1058"/>
      <c r="N50" s="1058"/>
      <c r="O50" s="1058"/>
      <c r="P50" s="1058"/>
      <c r="Q50" s="664">
        <f t="shared" si="11"/>
        <v>323</v>
      </c>
      <c r="R50" s="665">
        <f t="shared" si="12"/>
        <v>635</v>
      </c>
      <c r="S50" s="665">
        <f t="shared" si="0"/>
        <v>259</v>
      </c>
    </row>
    <row r="51" spans="1:19">
      <c r="A51" s="409" t="s">
        <v>158</v>
      </c>
      <c r="B51" s="1136">
        <v>698</v>
      </c>
      <c r="C51" s="1136"/>
      <c r="D51" s="1136"/>
      <c r="E51" s="1058"/>
      <c r="F51" s="1058">
        <v>237</v>
      </c>
      <c r="G51" s="1058">
        <v>226</v>
      </c>
      <c r="H51" s="1058">
        <v>286</v>
      </c>
      <c r="I51" s="1058">
        <v>255</v>
      </c>
      <c r="J51" s="1058"/>
      <c r="K51" s="1058"/>
      <c r="L51" s="1058"/>
      <c r="M51" s="1058"/>
      <c r="N51" s="1058"/>
      <c r="O51" s="1058"/>
      <c r="P51" s="1058"/>
      <c r="Q51" s="664">
        <f t="shared" si="11"/>
        <v>340.4</v>
      </c>
      <c r="R51" s="665">
        <f t="shared" si="12"/>
        <v>698</v>
      </c>
      <c r="S51" s="665">
        <f t="shared" si="0"/>
        <v>270.5</v>
      </c>
    </row>
    <row r="52" spans="1:19">
      <c r="A52" s="262" t="s">
        <v>361</v>
      </c>
      <c r="B52" s="1136">
        <f>AVERAGE(B40:B43)</f>
        <v>453.75</v>
      </c>
      <c r="C52" s="1136"/>
      <c r="D52" s="1136">
        <f>AVERAGE(D40:D43)</f>
        <v>566</v>
      </c>
      <c r="E52" s="1136">
        <f t="shared" ref="E52:L52" si="13">AVERAGE(E40:E43)</f>
        <v>570</v>
      </c>
      <c r="F52" s="1136">
        <f t="shared" si="13"/>
        <v>260.5</v>
      </c>
      <c r="G52" s="1136">
        <f t="shared" si="13"/>
        <v>276.5</v>
      </c>
      <c r="H52" s="1136">
        <f t="shared" si="13"/>
        <v>287</v>
      </c>
      <c r="I52" s="1136">
        <f t="shared" si="13"/>
        <v>264.75</v>
      </c>
      <c r="J52" s="1136">
        <f t="shared" si="13"/>
        <v>311.5</v>
      </c>
      <c r="K52" s="1136">
        <f t="shared" si="13"/>
        <v>356.25</v>
      </c>
      <c r="L52" s="1136">
        <f t="shared" si="13"/>
        <v>411</v>
      </c>
      <c r="M52" s="1136">
        <f t="shared" ref="M52:P52" si="14">AVERAGE(M40:M43)</f>
        <v>436.25</v>
      </c>
      <c r="N52" s="1136">
        <f t="shared" si="14"/>
        <v>483</v>
      </c>
      <c r="O52" s="1136">
        <f t="shared" si="14"/>
        <v>630</v>
      </c>
      <c r="P52" s="1136">
        <f t="shared" si="14"/>
        <v>537.75</v>
      </c>
      <c r="Q52" s="1136">
        <f>AVERAGE(Q40:Q43)</f>
        <v>417.44642857142856</v>
      </c>
      <c r="R52" s="1136">
        <f>AVERAGE(R40:R43)</f>
        <v>630</v>
      </c>
      <c r="S52" s="1136">
        <f>AVERAGE(S40:S43)</f>
        <v>344.45833333333331</v>
      </c>
    </row>
    <row r="53" spans="1:19">
      <c r="A53" s="262" t="s">
        <v>362</v>
      </c>
      <c r="B53" s="1136">
        <f t="shared" ref="B53:P53" si="15">AVERAGE(B40:B51)</f>
        <v>533.58333333333337</v>
      </c>
      <c r="C53" s="1136"/>
      <c r="D53" s="1136">
        <f t="shared" si="15"/>
        <v>594.33333333333337</v>
      </c>
      <c r="E53" s="1136">
        <f t="shared" si="15"/>
        <v>575.77777777777783</v>
      </c>
      <c r="F53" s="1136">
        <f t="shared" si="15"/>
        <v>248.91666666666666</v>
      </c>
      <c r="G53" s="1136">
        <f t="shared" si="15"/>
        <v>255.66666666666666</v>
      </c>
      <c r="H53" s="1136">
        <f t="shared" si="15"/>
        <v>268.83333333333331</v>
      </c>
      <c r="I53" s="1136">
        <f t="shared" si="15"/>
        <v>257.08333333333331</v>
      </c>
      <c r="J53" s="1136">
        <f t="shared" si="15"/>
        <v>313.77777777777777</v>
      </c>
      <c r="K53" s="1136">
        <f t="shared" si="15"/>
        <v>356.22222222222223</v>
      </c>
      <c r="L53" s="1136">
        <f t="shared" si="15"/>
        <v>410.44444444444446</v>
      </c>
      <c r="M53" s="1136">
        <f t="shared" si="15"/>
        <v>436.66666666666669</v>
      </c>
      <c r="N53" s="1136">
        <f t="shared" si="15"/>
        <v>484.9</v>
      </c>
      <c r="O53" s="1136">
        <f t="shared" si="15"/>
        <v>630.375</v>
      </c>
      <c r="P53" s="1136">
        <f t="shared" si="15"/>
        <v>644</v>
      </c>
      <c r="Q53" s="1136">
        <f>AVERAGE(Q40:Q51)</f>
        <v>403.51303418803417</v>
      </c>
      <c r="R53" s="1136">
        <f>AVERAGE(R40:R51)</f>
        <v>672.83333333333337</v>
      </c>
      <c r="S53" s="1136">
        <f>AVERAGE(S40:S51)</f>
        <v>320.79166666666669</v>
      </c>
    </row>
    <row r="54" spans="1:19" ht="15.5">
      <c r="A54" s="1450" t="s">
        <v>352</v>
      </c>
      <c r="B54" s="1451"/>
      <c r="C54" s="1451"/>
      <c r="D54" s="1451"/>
      <c r="E54" s="1451"/>
      <c r="F54" s="1451"/>
      <c r="G54" s="1451"/>
      <c r="H54" s="145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2"/>
    </row>
    <row r="55" spans="1:19">
      <c r="A55" s="262" t="s">
        <v>270</v>
      </c>
      <c r="B55" s="1136">
        <v>391</v>
      </c>
      <c r="C55" s="1136"/>
      <c r="D55" s="1136">
        <v>576</v>
      </c>
      <c r="E55" s="1058">
        <v>582</v>
      </c>
      <c r="F55" s="1058">
        <v>261</v>
      </c>
      <c r="G55" s="1058">
        <v>280</v>
      </c>
      <c r="H55" s="1058">
        <v>288</v>
      </c>
      <c r="I55" s="1058">
        <v>268</v>
      </c>
      <c r="J55" s="1058">
        <v>309</v>
      </c>
      <c r="K55" s="1058">
        <v>369</v>
      </c>
      <c r="L55" s="1058">
        <v>409</v>
      </c>
      <c r="M55" s="1058">
        <v>435</v>
      </c>
      <c r="N55" s="1058">
        <v>483</v>
      </c>
      <c r="O55" s="1058">
        <v>632</v>
      </c>
      <c r="P55" s="1058">
        <v>516</v>
      </c>
      <c r="Q55" s="664">
        <f t="shared" ref="Q55:Q63" si="16">AVERAGE(B55:P55)</f>
        <v>414.21428571428572</v>
      </c>
      <c r="R55" s="665">
        <f t="shared" ref="R55:R63" si="17">MAX(B55:P55)</f>
        <v>632</v>
      </c>
      <c r="S55" s="665">
        <f t="shared" si="0"/>
        <v>346.33333333333331</v>
      </c>
    </row>
    <row r="56" spans="1:19">
      <c r="A56" s="262" t="s">
        <v>151</v>
      </c>
      <c r="B56" s="1136">
        <v>431</v>
      </c>
      <c r="C56" s="1136"/>
      <c r="D56" s="1136">
        <v>576</v>
      </c>
      <c r="E56" s="1058">
        <v>590</v>
      </c>
      <c r="F56" s="1058">
        <v>261</v>
      </c>
      <c r="G56" s="1058">
        <v>279</v>
      </c>
      <c r="H56" s="1058">
        <v>289</v>
      </c>
      <c r="I56" s="1058">
        <v>269</v>
      </c>
      <c r="J56" s="1058">
        <v>314</v>
      </c>
      <c r="K56" s="1058">
        <v>357</v>
      </c>
      <c r="L56" s="1058">
        <v>410</v>
      </c>
      <c r="M56" s="1058">
        <v>435</v>
      </c>
      <c r="N56" s="1058">
        <v>483</v>
      </c>
      <c r="O56" s="1058">
        <v>632</v>
      </c>
      <c r="P56" s="1058">
        <v>517</v>
      </c>
      <c r="Q56" s="664">
        <f t="shared" si="16"/>
        <v>417.35714285714283</v>
      </c>
      <c r="R56" s="665">
        <f t="shared" si="17"/>
        <v>632</v>
      </c>
      <c r="S56" s="665">
        <f t="shared" si="0"/>
        <v>345.66666666666669</v>
      </c>
    </row>
    <row r="57" spans="1:19">
      <c r="A57" s="262" t="s">
        <v>271</v>
      </c>
      <c r="B57" s="1136">
        <v>433</v>
      </c>
      <c r="C57" s="1136"/>
      <c r="D57" s="1136">
        <v>576</v>
      </c>
      <c r="E57" s="1058">
        <v>591</v>
      </c>
      <c r="F57" s="1058">
        <v>260</v>
      </c>
      <c r="G57" s="1058">
        <v>278</v>
      </c>
      <c r="H57" s="1058">
        <v>289</v>
      </c>
      <c r="I57" s="1058">
        <v>270</v>
      </c>
      <c r="J57" s="1058">
        <v>324</v>
      </c>
      <c r="K57" s="1058">
        <v>356</v>
      </c>
      <c r="L57" s="1058">
        <v>409</v>
      </c>
      <c r="M57" s="1058">
        <v>436</v>
      </c>
      <c r="N57" s="1058">
        <v>483</v>
      </c>
      <c r="O57" s="1058">
        <v>632</v>
      </c>
      <c r="P57" s="1058">
        <v>531</v>
      </c>
      <c r="Q57" s="664">
        <f t="shared" si="16"/>
        <v>419.14285714285717</v>
      </c>
      <c r="R57" s="665">
        <f t="shared" si="17"/>
        <v>632</v>
      </c>
      <c r="S57" s="665">
        <f t="shared" si="0"/>
        <v>347.33333333333331</v>
      </c>
    </row>
    <row r="58" spans="1:19">
      <c r="A58" s="262" t="s">
        <v>152</v>
      </c>
      <c r="B58" s="1136">
        <v>471</v>
      </c>
      <c r="C58" s="1136"/>
      <c r="D58" s="1136">
        <v>578</v>
      </c>
      <c r="E58" s="1058">
        <v>589</v>
      </c>
      <c r="F58" s="1143">
        <v>265</v>
      </c>
      <c r="G58" s="1058">
        <v>277</v>
      </c>
      <c r="H58" s="1058">
        <v>289</v>
      </c>
      <c r="I58" s="1058">
        <v>267</v>
      </c>
      <c r="J58" s="1058">
        <v>334</v>
      </c>
      <c r="K58" s="1058">
        <v>356</v>
      </c>
      <c r="L58" s="1058">
        <v>409</v>
      </c>
      <c r="M58" s="1058">
        <v>436</v>
      </c>
      <c r="N58" s="1058">
        <v>483</v>
      </c>
      <c r="O58" s="1058">
        <v>632</v>
      </c>
      <c r="P58" s="1058">
        <v>646</v>
      </c>
      <c r="Q58" s="664">
        <f t="shared" si="16"/>
        <v>430.85714285714283</v>
      </c>
      <c r="R58" s="665">
        <f t="shared" si="17"/>
        <v>646</v>
      </c>
      <c r="S58" s="665">
        <f t="shared" si="0"/>
        <v>348.5</v>
      </c>
    </row>
    <row r="59" spans="1:19">
      <c r="A59" s="262" t="s">
        <v>272</v>
      </c>
      <c r="B59" s="1136">
        <v>469</v>
      </c>
      <c r="C59" s="1136"/>
      <c r="D59" s="1136">
        <v>579</v>
      </c>
      <c r="E59" s="1058">
        <v>600</v>
      </c>
      <c r="F59" s="1058">
        <v>268</v>
      </c>
      <c r="G59" s="1058">
        <v>288</v>
      </c>
      <c r="H59" s="1058">
        <v>289</v>
      </c>
      <c r="I59" s="1058">
        <v>266</v>
      </c>
      <c r="J59" s="1058">
        <v>358</v>
      </c>
      <c r="K59" s="1058">
        <v>356</v>
      </c>
      <c r="L59" s="1058">
        <v>411</v>
      </c>
      <c r="M59" s="1058">
        <v>436</v>
      </c>
      <c r="N59" s="1058">
        <v>483</v>
      </c>
      <c r="O59" s="1058">
        <v>632</v>
      </c>
      <c r="P59" s="1058">
        <v>688</v>
      </c>
      <c r="Q59" s="664">
        <f t="shared" si="16"/>
        <v>437.35714285714283</v>
      </c>
      <c r="R59" s="665">
        <f t="shared" si="17"/>
        <v>688</v>
      </c>
      <c r="S59" s="665">
        <f t="shared" si="0"/>
        <v>352.66666666666669</v>
      </c>
    </row>
    <row r="60" spans="1:19">
      <c r="A60" s="262" t="s">
        <v>153</v>
      </c>
      <c r="B60" s="1136"/>
      <c r="C60" s="1136"/>
      <c r="D60" s="1136">
        <v>591</v>
      </c>
      <c r="E60" s="1058">
        <v>604</v>
      </c>
      <c r="F60" s="1058">
        <v>265</v>
      </c>
      <c r="G60" s="1058">
        <v>338</v>
      </c>
      <c r="H60" s="1058">
        <v>296</v>
      </c>
      <c r="I60" s="1058">
        <v>267</v>
      </c>
      <c r="J60" s="1058">
        <v>362</v>
      </c>
      <c r="K60" s="1058">
        <v>357</v>
      </c>
      <c r="L60" s="1058"/>
      <c r="M60" s="1058">
        <v>436</v>
      </c>
      <c r="N60" s="1058">
        <v>483</v>
      </c>
      <c r="O60" s="1058">
        <v>641</v>
      </c>
      <c r="P60" s="1058">
        <v>707</v>
      </c>
      <c r="Q60" s="664">
        <f t="shared" si="16"/>
        <v>445.58333333333331</v>
      </c>
      <c r="R60" s="665">
        <f t="shared" si="17"/>
        <v>707</v>
      </c>
      <c r="S60" s="665">
        <f t="shared" si="0"/>
        <v>343.6</v>
      </c>
    </row>
    <row r="61" spans="1:19">
      <c r="A61" s="262" t="s">
        <v>273</v>
      </c>
      <c r="B61" s="1136"/>
      <c r="C61" s="1136"/>
      <c r="D61" s="1136"/>
      <c r="E61" s="1058">
        <v>620</v>
      </c>
      <c r="F61" s="1058">
        <v>275</v>
      </c>
      <c r="G61" s="1058">
        <v>309</v>
      </c>
      <c r="H61" s="1058">
        <v>263</v>
      </c>
      <c r="I61" s="1058">
        <v>231</v>
      </c>
      <c r="J61" s="1058">
        <v>364</v>
      </c>
      <c r="K61" s="1058">
        <v>358</v>
      </c>
      <c r="L61" s="1058"/>
      <c r="M61" s="1058"/>
      <c r="N61" s="1058">
        <v>485</v>
      </c>
      <c r="O61" s="1058"/>
      <c r="P61" s="1058"/>
      <c r="Q61" s="664">
        <f t="shared" si="16"/>
        <v>363.125</v>
      </c>
      <c r="R61" s="665">
        <f t="shared" si="17"/>
        <v>620</v>
      </c>
      <c r="S61" s="665">
        <f t="shared" si="0"/>
        <v>304</v>
      </c>
    </row>
    <row r="62" spans="1:19" s="710" customFormat="1">
      <c r="A62" s="409" t="s">
        <v>154</v>
      </c>
      <c r="B62" s="1136"/>
      <c r="C62" s="1136"/>
      <c r="D62" s="1136"/>
      <c r="E62" s="1058">
        <v>633</v>
      </c>
      <c r="F62" s="1058">
        <v>247</v>
      </c>
      <c r="G62" s="1058">
        <v>300</v>
      </c>
      <c r="H62" s="1058">
        <v>249</v>
      </c>
      <c r="I62" s="1058">
        <v>250</v>
      </c>
      <c r="J62" s="1058">
        <v>366</v>
      </c>
      <c r="K62" s="1058">
        <v>362</v>
      </c>
      <c r="L62" s="1058"/>
      <c r="M62" s="1058"/>
      <c r="N62" s="1058"/>
      <c r="O62" s="1058"/>
      <c r="P62" s="1058"/>
      <c r="Q62" s="664">
        <f t="shared" si="16"/>
        <v>343.85714285714283</v>
      </c>
      <c r="R62" s="665">
        <f t="shared" si="17"/>
        <v>633</v>
      </c>
      <c r="S62" s="665">
        <f t="shared" si="0"/>
        <v>306.75</v>
      </c>
    </row>
    <row r="63" spans="1:19">
      <c r="A63" s="262" t="s">
        <v>155</v>
      </c>
      <c r="B63" s="1136"/>
      <c r="C63" s="1136"/>
      <c r="D63" s="1136"/>
      <c r="E63" s="1075"/>
      <c r="F63" s="1058">
        <v>243</v>
      </c>
      <c r="G63" s="1058">
        <v>261</v>
      </c>
      <c r="H63" s="1058">
        <v>262</v>
      </c>
      <c r="I63" s="1058">
        <v>239</v>
      </c>
      <c r="J63" s="1058"/>
      <c r="K63" s="1058"/>
      <c r="L63" s="1058"/>
      <c r="M63" s="1058"/>
      <c r="N63" s="1058"/>
      <c r="O63" s="1058"/>
      <c r="P63" s="1058"/>
      <c r="Q63" s="664">
        <f t="shared" si="16"/>
        <v>251.25</v>
      </c>
      <c r="R63" s="665">
        <f t="shared" si="17"/>
        <v>262</v>
      </c>
      <c r="S63" s="665">
        <f t="shared" si="0"/>
        <v>250.5</v>
      </c>
    </row>
    <row r="64" spans="1:19">
      <c r="A64" s="262" t="s">
        <v>361</v>
      </c>
      <c r="B64" s="1136">
        <f>AVERAGE(B55:B57)</f>
        <v>418.33333333333331</v>
      </c>
      <c r="C64" s="1136"/>
      <c r="D64" s="1136">
        <f>AVERAGE(D55:D58)</f>
        <v>576.5</v>
      </c>
      <c r="E64" s="1136">
        <f t="shared" ref="E64:P64" si="18">AVERAGE(E55:E58)</f>
        <v>588</v>
      </c>
      <c r="F64" s="1136">
        <f t="shared" si="18"/>
        <v>261.75</v>
      </c>
      <c r="G64" s="1136">
        <f t="shared" si="18"/>
        <v>278.5</v>
      </c>
      <c r="H64" s="1136">
        <f t="shared" si="18"/>
        <v>288.75</v>
      </c>
      <c r="I64" s="1136">
        <f t="shared" si="18"/>
        <v>268.5</v>
      </c>
      <c r="J64" s="1136">
        <f t="shared" si="18"/>
        <v>320.25</v>
      </c>
      <c r="K64" s="1136">
        <f t="shared" si="18"/>
        <v>359.5</v>
      </c>
      <c r="L64" s="1136">
        <f t="shared" si="18"/>
        <v>409.25</v>
      </c>
      <c r="M64" s="1136">
        <f t="shared" si="18"/>
        <v>435.5</v>
      </c>
      <c r="N64" s="1136">
        <f t="shared" si="18"/>
        <v>483</v>
      </c>
      <c r="O64" s="1136">
        <f t="shared" si="18"/>
        <v>632</v>
      </c>
      <c r="P64" s="1136">
        <f t="shared" si="18"/>
        <v>552.5</v>
      </c>
      <c r="Q64" s="1136">
        <f>AVERAGE(Q55:Q58)</f>
        <v>420.39285714285717</v>
      </c>
      <c r="R64" s="1136">
        <f>AVERAGE(R55:R58)</f>
        <v>635.5</v>
      </c>
      <c r="S64" s="1136">
        <f>AVERAGE(S55:S58)</f>
        <v>346.95833333333331</v>
      </c>
    </row>
    <row r="65" spans="1:19">
      <c r="A65" s="262" t="s">
        <v>362</v>
      </c>
      <c r="B65" s="1136">
        <f t="shared" ref="B65:S65" si="19">AVERAGE(B55:B63)</f>
        <v>439</v>
      </c>
      <c r="C65" s="1136"/>
      <c r="D65" s="1136">
        <f t="shared" si="19"/>
        <v>579.33333333333337</v>
      </c>
      <c r="E65" s="1136">
        <f>AVERAGE(E67:E76)</f>
        <v>569.5</v>
      </c>
      <c r="F65" s="1136">
        <f t="shared" si="19"/>
        <v>260.55555555555554</v>
      </c>
      <c r="G65" s="1136">
        <f t="shared" si="19"/>
        <v>290</v>
      </c>
      <c r="H65" s="1136">
        <f t="shared" si="19"/>
        <v>279.33333333333331</v>
      </c>
      <c r="I65" s="1136">
        <f t="shared" si="19"/>
        <v>258.55555555555554</v>
      </c>
      <c r="J65" s="1136">
        <f t="shared" si="19"/>
        <v>341.375</v>
      </c>
      <c r="K65" s="1136">
        <f t="shared" si="19"/>
        <v>358.875</v>
      </c>
      <c r="L65" s="1136">
        <f t="shared" si="19"/>
        <v>409.6</v>
      </c>
      <c r="M65" s="1136">
        <f t="shared" si="19"/>
        <v>435.66666666666669</v>
      </c>
      <c r="N65" s="1136">
        <f t="shared" si="19"/>
        <v>483.28571428571428</v>
      </c>
      <c r="O65" s="1136">
        <f t="shared" si="19"/>
        <v>633.5</v>
      </c>
      <c r="P65" s="1136">
        <f t="shared" si="19"/>
        <v>600.83333333333337</v>
      </c>
      <c r="Q65" s="1136">
        <f t="shared" si="19"/>
        <v>391.41600529100532</v>
      </c>
      <c r="R65" s="1136">
        <f t="shared" si="19"/>
        <v>605.77777777777783</v>
      </c>
      <c r="S65" s="1136">
        <f t="shared" si="19"/>
        <v>327.26111111111112</v>
      </c>
    </row>
    <row r="66" spans="1:19" ht="15.5">
      <c r="A66" s="1450" t="s">
        <v>353</v>
      </c>
      <c r="B66" s="1451"/>
      <c r="C66" s="1451"/>
      <c r="D66" s="1451"/>
      <c r="E66" s="1451"/>
      <c r="F66" s="1451"/>
      <c r="G66" s="1451"/>
      <c r="H66" s="1451"/>
      <c r="I66" s="1451"/>
      <c r="J66" s="1451"/>
      <c r="K66" s="1451"/>
      <c r="L66" s="1451"/>
      <c r="M66" s="1451"/>
      <c r="N66" s="1451"/>
      <c r="O66" s="1451"/>
      <c r="P66" s="1451"/>
      <c r="Q66" s="1451"/>
      <c r="R66" s="1451"/>
      <c r="S66" s="1452"/>
    </row>
    <row r="67" spans="1:19">
      <c r="A67" s="262" t="s">
        <v>270</v>
      </c>
      <c r="B67" s="1136">
        <v>376</v>
      </c>
      <c r="C67" s="1136"/>
      <c r="D67" s="1136">
        <v>539</v>
      </c>
      <c r="E67" s="1058">
        <v>579</v>
      </c>
      <c r="F67" s="1058">
        <v>259</v>
      </c>
      <c r="G67" s="1058">
        <v>275</v>
      </c>
      <c r="H67" s="1058">
        <v>291</v>
      </c>
      <c r="I67" s="1058">
        <v>267</v>
      </c>
      <c r="J67" s="1058">
        <v>310</v>
      </c>
      <c r="K67" s="1058">
        <v>359</v>
      </c>
      <c r="L67" s="1058">
        <v>410</v>
      </c>
      <c r="M67" s="1058">
        <v>435</v>
      </c>
      <c r="N67" s="1058">
        <v>483</v>
      </c>
      <c r="O67" s="1058">
        <v>634</v>
      </c>
      <c r="P67" s="1058">
        <v>537</v>
      </c>
      <c r="Q67" s="664">
        <f t="shared" ref="Q67:Q77" si="20">AVERAGE(B67:P67)</f>
        <v>411</v>
      </c>
      <c r="R67" s="665">
        <f t="shared" ref="R67:R77" si="21">MAX(B67:P67)</f>
        <v>634</v>
      </c>
      <c r="S67" s="665">
        <f t="shared" si="0"/>
        <v>345.33333333333331</v>
      </c>
    </row>
    <row r="68" spans="1:19">
      <c r="A68" s="262" t="s">
        <v>151</v>
      </c>
      <c r="B68" s="1136">
        <v>428</v>
      </c>
      <c r="C68" s="1147"/>
      <c r="D68" s="1136">
        <v>543</v>
      </c>
      <c r="E68" s="1058">
        <v>572</v>
      </c>
      <c r="F68" s="1058">
        <v>259</v>
      </c>
      <c r="G68" s="1058">
        <v>276</v>
      </c>
      <c r="H68" s="1058">
        <v>291</v>
      </c>
      <c r="I68" s="1058">
        <v>267</v>
      </c>
      <c r="J68" s="1058">
        <v>310</v>
      </c>
      <c r="K68" s="1058">
        <v>354</v>
      </c>
      <c r="L68" s="1058">
        <v>409</v>
      </c>
      <c r="M68" s="1058">
        <v>435</v>
      </c>
      <c r="N68" s="1058">
        <v>483</v>
      </c>
      <c r="O68" s="1058">
        <v>634</v>
      </c>
      <c r="P68" s="1058">
        <v>532</v>
      </c>
      <c r="Q68" s="664">
        <f t="shared" si="20"/>
        <v>413.78571428571428</v>
      </c>
      <c r="R68" s="665">
        <f t="shared" si="21"/>
        <v>634</v>
      </c>
      <c r="S68" s="665">
        <f t="shared" si="0"/>
        <v>344.33333333333331</v>
      </c>
    </row>
    <row r="69" spans="1:19">
      <c r="A69" s="262" t="s">
        <v>271</v>
      </c>
      <c r="B69" s="1136">
        <v>435</v>
      </c>
      <c r="C69" s="1136"/>
      <c r="D69" s="1136">
        <v>545</v>
      </c>
      <c r="E69" s="1058">
        <v>564</v>
      </c>
      <c r="F69" s="1058">
        <v>259</v>
      </c>
      <c r="G69" s="1058">
        <v>276</v>
      </c>
      <c r="H69" s="1058">
        <v>291</v>
      </c>
      <c r="I69" s="1058">
        <v>265</v>
      </c>
      <c r="J69" s="1058">
        <v>316</v>
      </c>
      <c r="K69" s="1058">
        <v>446</v>
      </c>
      <c r="L69" s="1058">
        <v>409</v>
      </c>
      <c r="M69" s="1058">
        <v>436</v>
      </c>
      <c r="N69" s="1058">
        <v>483</v>
      </c>
      <c r="O69" s="1058">
        <v>634</v>
      </c>
      <c r="P69" s="1058">
        <v>534</v>
      </c>
      <c r="Q69" s="664">
        <f t="shared" si="20"/>
        <v>420.92857142857144</v>
      </c>
      <c r="R69" s="665">
        <f t="shared" si="21"/>
        <v>634</v>
      </c>
      <c r="S69" s="665">
        <f t="shared" si="0"/>
        <v>360.5</v>
      </c>
    </row>
    <row r="70" spans="1:19">
      <c r="A70" s="262" t="s">
        <v>152</v>
      </c>
      <c r="B70" s="1136">
        <v>455</v>
      </c>
      <c r="C70" s="1136"/>
      <c r="D70" s="1136">
        <v>551</v>
      </c>
      <c r="E70" s="1143">
        <v>564</v>
      </c>
      <c r="F70" s="1058">
        <v>259</v>
      </c>
      <c r="G70" s="1058">
        <v>274</v>
      </c>
      <c r="H70" s="1058">
        <v>291</v>
      </c>
      <c r="I70" s="1058">
        <v>265</v>
      </c>
      <c r="J70" s="1058">
        <v>316</v>
      </c>
      <c r="K70" s="1058">
        <v>346</v>
      </c>
      <c r="L70" s="1058">
        <v>409</v>
      </c>
      <c r="M70" s="1058">
        <v>436</v>
      </c>
      <c r="N70" s="1058">
        <v>483</v>
      </c>
      <c r="O70" s="1058">
        <v>634</v>
      </c>
      <c r="P70" s="1058">
        <v>589</v>
      </c>
      <c r="Q70" s="664">
        <f t="shared" si="20"/>
        <v>419.42857142857144</v>
      </c>
      <c r="R70" s="665">
        <f t="shared" si="21"/>
        <v>634</v>
      </c>
      <c r="S70" s="665">
        <f t="shared" si="0"/>
        <v>343.83333333333331</v>
      </c>
    </row>
    <row r="71" spans="1:19">
      <c r="A71" s="262" t="s">
        <v>272</v>
      </c>
      <c r="B71" s="1136">
        <v>468</v>
      </c>
      <c r="C71" s="1136"/>
      <c r="D71" s="1136">
        <v>553</v>
      </c>
      <c r="E71" s="1058">
        <v>563</v>
      </c>
      <c r="F71" s="1058">
        <v>259</v>
      </c>
      <c r="G71" s="1058">
        <v>259</v>
      </c>
      <c r="H71" s="1058">
        <v>285</v>
      </c>
      <c r="I71" s="1058">
        <v>285</v>
      </c>
      <c r="J71" s="1058">
        <v>295</v>
      </c>
      <c r="K71" s="1058">
        <v>344</v>
      </c>
      <c r="L71" s="1058">
        <v>409</v>
      </c>
      <c r="M71" s="1058">
        <v>436</v>
      </c>
      <c r="N71" s="1058">
        <v>483</v>
      </c>
      <c r="O71" s="1058">
        <v>636</v>
      </c>
      <c r="P71" s="1058">
        <v>668</v>
      </c>
      <c r="Q71" s="664">
        <f t="shared" si="20"/>
        <v>424.5</v>
      </c>
      <c r="R71" s="665">
        <f t="shared" si="21"/>
        <v>668</v>
      </c>
      <c r="S71" s="665">
        <f t="shared" ref="S71:S77" si="22">AVERAGE(H71:M71)</f>
        <v>342.33333333333331</v>
      </c>
    </row>
    <row r="72" spans="1:19">
      <c r="A72" s="262" t="s">
        <v>153</v>
      </c>
      <c r="B72" s="1136">
        <v>481</v>
      </c>
      <c r="C72" s="1136"/>
      <c r="D72" s="1136">
        <v>552</v>
      </c>
      <c r="E72" s="1058">
        <v>563</v>
      </c>
      <c r="F72" s="1058">
        <v>259</v>
      </c>
      <c r="G72" s="1058">
        <v>245</v>
      </c>
      <c r="H72" s="1058">
        <v>252</v>
      </c>
      <c r="I72" s="1058">
        <v>263</v>
      </c>
      <c r="J72" s="1058">
        <v>295</v>
      </c>
      <c r="K72" s="1058">
        <v>345</v>
      </c>
      <c r="L72" s="1058">
        <v>409</v>
      </c>
      <c r="M72" s="1058">
        <v>435</v>
      </c>
      <c r="N72" s="1058">
        <v>485</v>
      </c>
      <c r="O72" s="1058">
        <v>636</v>
      </c>
      <c r="P72" s="1058">
        <v>702</v>
      </c>
      <c r="Q72" s="664">
        <f t="shared" si="20"/>
        <v>423</v>
      </c>
      <c r="R72" s="665">
        <f t="shared" si="21"/>
        <v>702</v>
      </c>
      <c r="S72" s="665">
        <f t="shared" si="22"/>
        <v>333.16666666666669</v>
      </c>
    </row>
    <row r="73" spans="1:19">
      <c r="A73" s="262" t="s">
        <v>273</v>
      </c>
      <c r="B73" s="1136">
        <v>503</v>
      </c>
      <c r="C73" s="1136"/>
      <c r="D73" s="1136">
        <v>555</v>
      </c>
      <c r="E73" s="1058">
        <v>567</v>
      </c>
      <c r="F73" s="1058">
        <v>258</v>
      </c>
      <c r="G73" s="1058">
        <v>244</v>
      </c>
      <c r="H73" s="1058">
        <v>246</v>
      </c>
      <c r="I73" s="1058">
        <v>259</v>
      </c>
      <c r="J73" s="1058">
        <v>296</v>
      </c>
      <c r="K73" s="1058">
        <v>345</v>
      </c>
      <c r="L73" s="1058">
        <v>408</v>
      </c>
      <c r="M73" s="1058">
        <v>435</v>
      </c>
      <c r="N73" s="1058">
        <v>483</v>
      </c>
      <c r="O73" s="1058">
        <v>636</v>
      </c>
      <c r="P73" s="1058">
        <v>717</v>
      </c>
      <c r="Q73" s="664">
        <f t="shared" si="20"/>
        <v>425.14285714285717</v>
      </c>
      <c r="R73" s="665">
        <f t="shared" si="21"/>
        <v>717</v>
      </c>
      <c r="S73" s="665">
        <f t="shared" si="22"/>
        <v>331.5</v>
      </c>
    </row>
    <row r="74" spans="1:19">
      <c r="A74" s="262" t="s">
        <v>154</v>
      </c>
      <c r="B74" s="1136">
        <v>518</v>
      </c>
      <c r="C74" s="1136"/>
      <c r="D74" s="1136">
        <v>561</v>
      </c>
      <c r="E74" s="1058">
        <v>575</v>
      </c>
      <c r="F74" s="1058">
        <v>251</v>
      </c>
      <c r="G74" s="1058">
        <v>214</v>
      </c>
      <c r="H74" s="1058">
        <v>245</v>
      </c>
      <c r="I74" s="1058">
        <v>247</v>
      </c>
      <c r="J74" s="1058">
        <v>295</v>
      </c>
      <c r="K74" s="1058">
        <v>346</v>
      </c>
      <c r="L74" s="1058">
        <v>407</v>
      </c>
      <c r="M74" s="1058">
        <v>435</v>
      </c>
      <c r="N74" s="1058">
        <v>483</v>
      </c>
      <c r="O74" s="1058">
        <v>636</v>
      </c>
      <c r="P74" s="1058">
        <v>732</v>
      </c>
      <c r="Q74" s="664">
        <f t="shared" si="20"/>
        <v>424.64285714285717</v>
      </c>
      <c r="R74" s="665">
        <f t="shared" si="21"/>
        <v>732</v>
      </c>
      <c r="S74" s="665">
        <f t="shared" si="22"/>
        <v>329.16666666666669</v>
      </c>
    </row>
    <row r="75" spans="1:19">
      <c r="A75" s="262" t="s">
        <v>155</v>
      </c>
      <c r="B75" s="1136">
        <v>564</v>
      </c>
      <c r="C75" s="1136"/>
      <c r="D75" s="1136">
        <v>587</v>
      </c>
      <c r="E75" s="1058">
        <v>577</v>
      </c>
      <c r="F75" s="1058">
        <v>241</v>
      </c>
      <c r="G75" s="1058">
        <v>198</v>
      </c>
      <c r="H75" s="1058">
        <v>237</v>
      </c>
      <c r="I75" s="1058">
        <v>233</v>
      </c>
      <c r="J75" s="1058">
        <v>286</v>
      </c>
      <c r="K75" s="1058">
        <v>345</v>
      </c>
      <c r="L75" s="1058">
        <v>406</v>
      </c>
      <c r="M75" s="1058">
        <v>436</v>
      </c>
      <c r="N75" s="1058">
        <v>483</v>
      </c>
      <c r="O75" s="1058">
        <v>633</v>
      </c>
      <c r="P75" s="1058">
        <v>778</v>
      </c>
      <c r="Q75" s="664">
        <f t="shared" si="20"/>
        <v>428.85714285714283</v>
      </c>
      <c r="R75" s="665">
        <f t="shared" si="21"/>
        <v>778</v>
      </c>
      <c r="S75" s="665">
        <f t="shared" si="22"/>
        <v>323.83333333333331</v>
      </c>
    </row>
    <row r="76" spans="1:19" s="710" customFormat="1">
      <c r="A76" s="409" t="s">
        <v>156</v>
      </c>
      <c r="B76" s="1136">
        <v>604</v>
      </c>
      <c r="C76" s="1136"/>
      <c r="D76" s="1136">
        <v>669</v>
      </c>
      <c r="E76" s="1058">
        <v>571</v>
      </c>
      <c r="F76" s="1058">
        <v>241</v>
      </c>
      <c r="G76" s="1058">
        <v>177</v>
      </c>
      <c r="H76" s="1058">
        <v>231</v>
      </c>
      <c r="I76" s="1058">
        <v>244</v>
      </c>
      <c r="J76" s="1058">
        <v>304</v>
      </c>
      <c r="K76" s="1058">
        <v>339</v>
      </c>
      <c r="L76" s="1058">
        <v>397</v>
      </c>
      <c r="M76" s="1058">
        <v>437</v>
      </c>
      <c r="N76" s="1058">
        <v>478</v>
      </c>
      <c r="O76" s="1058"/>
      <c r="P76" s="1058">
        <v>813</v>
      </c>
      <c r="Q76" s="664">
        <f t="shared" si="20"/>
        <v>423.46153846153845</v>
      </c>
      <c r="R76" s="665">
        <f t="shared" si="21"/>
        <v>813</v>
      </c>
      <c r="S76" s="665">
        <f t="shared" si="22"/>
        <v>325.33333333333331</v>
      </c>
    </row>
    <row r="77" spans="1:19">
      <c r="A77" s="262" t="s">
        <v>157</v>
      </c>
      <c r="B77" s="1136">
        <v>624</v>
      </c>
      <c r="C77" s="1136"/>
      <c r="D77" s="1136"/>
      <c r="E77" s="1058"/>
      <c r="F77" s="1058">
        <v>243</v>
      </c>
      <c r="G77" s="1058">
        <v>177</v>
      </c>
      <c r="H77" s="1058">
        <v>238</v>
      </c>
      <c r="I77" s="1058">
        <v>238</v>
      </c>
      <c r="J77" s="1058"/>
      <c r="K77" s="1058"/>
      <c r="L77" s="1058"/>
      <c r="M77" s="1058"/>
      <c r="N77" s="1058"/>
      <c r="O77" s="1058"/>
      <c r="P77" s="1058"/>
      <c r="Q77" s="664">
        <f t="shared" si="20"/>
        <v>304</v>
      </c>
      <c r="R77" s="665">
        <f t="shared" si="21"/>
        <v>624</v>
      </c>
      <c r="S77" s="665">
        <f t="shared" si="22"/>
        <v>238</v>
      </c>
    </row>
    <row r="78" spans="1:19">
      <c r="A78" s="262" t="s">
        <v>361</v>
      </c>
      <c r="B78" s="1136">
        <f>AVERAGE(B67:B70)</f>
        <v>423.5</v>
      </c>
      <c r="C78" s="1136"/>
      <c r="D78" s="1136">
        <f>AVERAGE(D67:D70)</f>
        <v>544.5</v>
      </c>
      <c r="E78" s="1136">
        <f t="shared" ref="E78:P78" si="23">AVERAGE(E67:E70)</f>
        <v>569.75</v>
      </c>
      <c r="F78" s="1136">
        <f t="shared" si="23"/>
        <v>259</v>
      </c>
      <c r="G78" s="1136">
        <f t="shared" si="23"/>
        <v>275.25</v>
      </c>
      <c r="H78" s="1136">
        <f t="shared" si="23"/>
        <v>291</v>
      </c>
      <c r="I78" s="1136">
        <f t="shared" si="23"/>
        <v>266</v>
      </c>
      <c r="J78" s="1136">
        <f t="shared" si="23"/>
        <v>313</v>
      </c>
      <c r="K78" s="1136">
        <f t="shared" si="23"/>
        <v>376.25</v>
      </c>
      <c r="L78" s="1136">
        <f t="shared" si="23"/>
        <v>409.25</v>
      </c>
      <c r="M78" s="1136">
        <f t="shared" si="23"/>
        <v>435.5</v>
      </c>
      <c r="N78" s="1136">
        <f t="shared" si="23"/>
        <v>483</v>
      </c>
      <c r="O78" s="1136">
        <f t="shared" si="23"/>
        <v>634</v>
      </c>
      <c r="P78" s="1136">
        <f t="shared" si="23"/>
        <v>548</v>
      </c>
      <c r="Q78" s="1136">
        <f>AVERAGE(Q67:Q70)</f>
        <v>416.28571428571433</v>
      </c>
      <c r="R78" s="1136">
        <f>AVERAGE(R67:R70)</f>
        <v>634</v>
      </c>
      <c r="S78" s="1136">
        <f>AVERAGE(S67:S70)</f>
        <v>348.49999999999994</v>
      </c>
    </row>
    <row r="79" spans="1:19">
      <c r="A79" s="262" t="s">
        <v>362</v>
      </c>
      <c r="B79" s="1136">
        <f t="shared" ref="B79:P79" si="24">AVERAGE(B67:B77)</f>
        <v>496</v>
      </c>
      <c r="C79" s="1136"/>
      <c r="D79" s="1136">
        <f t="shared" si="24"/>
        <v>565.5</v>
      </c>
      <c r="E79" s="1136">
        <f>AVERAGE(E67:E77)</f>
        <v>569.5</v>
      </c>
      <c r="F79" s="1136">
        <f t="shared" si="24"/>
        <v>253.45454545454547</v>
      </c>
      <c r="G79" s="1136">
        <f t="shared" si="24"/>
        <v>237.72727272727272</v>
      </c>
      <c r="H79" s="1136">
        <f t="shared" si="24"/>
        <v>263.45454545454544</v>
      </c>
      <c r="I79" s="1136">
        <f t="shared" si="24"/>
        <v>257.54545454545456</v>
      </c>
      <c r="J79" s="1136">
        <f t="shared" si="24"/>
        <v>302.3</v>
      </c>
      <c r="K79" s="1136">
        <f t="shared" si="24"/>
        <v>356.9</v>
      </c>
      <c r="L79" s="1136">
        <f t="shared" si="24"/>
        <v>407.3</v>
      </c>
      <c r="M79" s="1136">
        <f t="shared" si="24"/>
        <v>435.6</v>
      </c>
      <c r="N79" s="1136">
        <f t="shared" si="24"/>
        <v>482.7</v>
      </c>
      <c r="O79" s="1136">
        <f t="shared" si="24"/>
        <v>634.77777777777783</v>
      </c>
      <c r="P79" s="1136">
        <f t="shared" si="24"/>
        <v>660.2</v>
      </c>
      <c r="Q79" s="1136">
        <f>AVERAGE(Q67:Q77)</f>
        <v>410.79520479520482</v>
      </c>
      <c r="R79" s="1136">
        <f>AVERAGE(R67:R77)</f>
        <v>688.18181818181813</v>
      </c>
      <c r="S79" s="1136">
        <f>AVERAGE(S67:S77)</f>
        <v>328.84848484848482</v>
      </c>
    </row>
  </sheetData>
  <mergeCells count="6">
    <mergeCell ref="A66:S66"/>
    <mergeCell ref="A24:S24"/>
    <mergeCell ref="A39:S39"/>
    <mergeCell ref="A54:S54"/>
    <mergeCell ref="A1:P1"/>
    <mergeCell ref="A6:S6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theme="5" tint="0.59999389629810485"/>
    <pageSetUpPr fitToPage="1"/>
  </sheetPr>
  <dimension ref="A1:Y81"/>
  <sheetViews>
    <sheetView topLeftCell="G19" zoomScale="75" zoomScaleNormal="75" workbookViewId="0">
      <selection activeCell="T24" sqref="T24"/>
    </sheetView>
  </sheetViews>
  <sheetFormatPr defaultRowHeight="14"/>
  <cols>
    <col min="1" max="1" width="31.6328125" style="1" customWidth="1"/>
    <col min="2" max="2" width="9.36328125" customWidth="1"/>
    <col min="3" max="3" width="9.81640625" customWidth="1"/>
    <col min="4" max="4" width="10" customWidth="1"/>
    <col min="5" max="5" width="9.08984375" customWidth="1"/>
    <col min="6" max="6" width="9.6328125" customWidth="1"/>
    <col min="7" max="7" width="9.36328125" customWidth="1"/>
    <col min="8" max="10" width="9.453125" customWidth="1"/>
    <col min="11" max="11" width="9.6328125" customWidth="1"/>
    <col min="12" max="12" width="9.36328125" customWidth="1"/>
    <col min="13" max="13" width="10.1796875" customWidth="1"/>
    <col min="14" max="14" width="9.6328125" customWidth="1"/>
    <col min="15" max="15" width="9.36328125" customWidth="1"/>
    <col min="16" max="16" width="9.453125" customWidth="1"/>
    <col min="17" max="17" width="11" customWidth="1"/>
    <col min="18" max="18" width="7" customWidth="1"/>
    <col min="19" max="19" width="11.54296875" customWidth="1"/>
    <col min="20" max="20" width="10.90625" customWidth="1"/>
    <col min="21" max="21" width="11.36328125" customWidth="1"/>
    <col min="22" max="22" width="10.90625" customWidth="1"/>
    <col min="23" max="23" width="11.36328125" customWidth="1"/>
    <col min="24" max="24" width="10.36328125" customWidth="1"/>
    <col min="25" max="25" width="10.90625" customWidth="1"/>
  </cols>
  <sheetData>
    <row r="1" spans="1:25" ht="15.5">
      <c r="A1" s="1428" t="s">
        <v>150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</row>
    <row r="2" spans="1:25" ht="26">
      <c r="A2" s="69"/>
      <c r="B2" s="652">
        <v>42009</v>
      </c>
      <c r="C2" s="652">
        <v>42052</v>
      </c>
      <c r="D2" s="652">
        <v>42086</v>
      </c>
      <c r="E2" s="652">
        <v>42114</v>
      </c>
      <c r="F2" s="652">
        <v>42142</v>
      </c>
      <c r="G2" s="652">
        <v>42170</v>
      </c>
      <c r="H2" s="366">
        <v>42191</v>
      </c>
      <c r="I2" s="366">
        <v>42205</v>
      </c>
      <c r="J2" s="366">
        <v>42227</v>
      </c>
      <c r="K2" s="652">
        <v>42241</v>
      </c>
      <c r="L2" s="652">
        <v>42261</v>
      </c>
      <c r="M2" s="366">
        <v>42275</v>
      </c>
      <c r="N2" s="366">
        <v>42296</v>
      </c>
      <c r="O2" s="366">
        <v>42324</v>
      </c>
      <c r="P2" s="366">
        <v>42345</v>
      </c>
      <c r="Q2" s="70" t="s">
        <v>90</v>
      </c>
      <c r="R2" s="71" t="s">
        <v>82</v>
      </c>
      <c r="S2" s="71" t="s">
        <v>108</v>
      </c>
    </row>
    <row r="3" spans="1:25">
      <c r="A3" s="1137" t="s">
        <v>357</v>
      </c>
      <c r="B3" s="658">
        <v>8.09</v>
      </c>
      <c r="C3" s="658">
        <v>8.91</v>
      </c>
      <c r="D3" s="658">
        <v>8.1300000000000008</v>
      </c>
      <c r="E3" s="658">
        <v>8.9700000000000006</v>
      </c>
      <c r="F3" s="658">
        <v>8.61</v>
      </c>
      <c r="G3" s="658">
        <v>7.53</v>
      </c>
      <c r="H3" s="658">
        <v>8.74</v>
      </c>
      <c r="I3" s="658">
        <v>8.35</v>
      </c>
      <c r="J3" s="506">
        <v>8.56</v>
      </c>
      <c r="K3" s="658">
        <v>7.7</v>
      </c>
      <c r="L3" s="658">
        <v>8.26</v>
      </c>
      <c r="M3" s="658">
        <v>8.18</v>
      </c>
      <c r="N3" s="658">
        <v>8.5399999999999991</v>
      </c>
      <c r="O3" s="658">
        <v>8.6999999999999993</v>
      </c>
      <c r="P3" s="658">
        <v>8.34</v>
      </c>
      <c r="Q3" s="1138">
        <f>AVERAGE(B3:P3)</f>
        <v>8.3740000000000006</v>
      </c>
      <c r="R3" s="667">
        <f>MAX(B3:P3)</f>
        <v>8.9700000000000006</v>
      </c>
      <c r="S3" s="667">
        <f>AVERAGE(H3:M3)</f>
        <v>8.2983333333333338</v>
      </c>
    </row>
    <row r="4" spans="1:25" s="7" customFormat="1">
      <c r="A4" s="1139" t="s">
        <v>358</v>
      </c>
      <c r="B4" s="658">
        <v>8.1999999999999993</v>
      </c>
      <c r="C4" s="658">
        <v>8.9600000000000009</v>
      </c>
      <c r="D4" s="658">
        <v>8.24</v>
      </c>
      <c r="E4" s="658">
        <v>8.89</v>
      </c>
      <c r="F4" s="658">
        <v>8.52</v>
      </c>
      <c r="G4" s="658">
        <v>7.86</v>
      </c>
      <c r="H4" s="658">
        <v>8.1999999999999993</v>
      </c>
      <c r="I4" s="658">
        <v>8.5</v>
      </c>
      <c r="J4" s="506">
        <v>8.5399999999999991</v>
      </c>
      <c r="K4" s="658">
        <v>8.01</v>
      </c>
      <c r="L4" s="658">
        <v>8.56</v>
      </c>
      <c r="M4" s="658">
        <v>8.3800000000000008</v>
      </c>
      <c r="N4" s="658">
        <v>8.5</v>
      </c>
      <c r="O4" s="658">
        <v>8.98</v>
      </c>
      <c r="P4" s="658">
        <v>8.49</v>
      </c>
      <c r="Q4" s="1138">
        <f>AVERAGE(B4:P4)</f>
        <v>8.4553333333333338</v>
      </c>
      <c r="R4" s="667">
        <f>MAX(B4:P4)</f>
        <v>8.98</v>
      </c>
      <c r="S4" s="667">
        <f t="shared" ref="S4:S71" si="0">AVERAGE(H4:M4)</f>
        <v>8.3650000000000002</v>
      </c>
    </row>
    <row r="5" spans="1:25">
      <c r="A5" s="1139" t="s">
        <v>359</v>
      </c>
      <c r="B5" s="658">
        <v>8.1300000000000008</v>
      </c>
      <c r="C5" s="658">
        <v>8.6300000000000008</v>
      </c>
      <c r="D5" s="658">
        <v>7.87</v>
      </c>
      <c r="E5" s="658">
        <v>8.2899999999999991</v>
      </c>
      <c r="F5" s="658">
        <v>7.79</v>
      </c>
      <c r="G5" s="658">
        <v>7.76</v>
      </c>
      <c r="H5" s="658">
        <v>8.02</v>
      </c>
      <c r="I5" s="658">
        <v>7.83</v>
      </c>
      <c r="J5" s="506">
        <v>8.23</v>
      </c>
      <c r="K5" s="658">
        <v>8.06</v>
      </c>
      <c r="L5" s="658">
        <v>7.89</v>
      </c>
      <c r="M5" s="658">
        <v>8.1300000000000008</v>
      </c>
      <c r="N5" s="658">
        <v>8.2200000000000006</v>
      </c>
      <c r="O5" s="658">
        <v>8.0299999999999994</v>
      </c>
      <c r="P5" s="658">
        <v>8.42</v>
      </c>
      <c r="Q5" s="1138">
        <f>AVERAGE(B5:P5)</f>
        <v>8.086666666666666</v>
      </c>
      <c r="R5" s="667">
        <f>MAX(B5:P5)</f>
        <v>8.6300000000000008</v>
      </c>
      <c r="S5" s="667">
        <f t="shared" si="0"/>
        <v>8.0266666666666673</v>
      </c>
      <c r="T5" s="6"/>
      <c r="U5" s="6"/>
      <c r="V5" s="6"/>
      <c r="W5" s="6"/>
      <c r="X5" s="6"/>
      <c r="Y5" s="6"/>
    </row>
    <row r="6" spans="1:25" ht="15.5">
      <c r="A6" s="1456" t="s">
        <v>349</v>
      </c>
      <c r="B6" s="1457"/>
      <c r="C6" s="1457"/>
      <c r="D6" s="1457"/>
      <c r="E6" s="1457"/>
      <c r="F6" s="1457"/>
      <c r="G6" s="1457"/>
      <c r="H6" s="1457"/>
      <c r="I6" s="1457"/>
      <c r="J6" s="1457"/>
      <c r="K6" s="1457"/>
      <c r="L6" s="1457"/>
      <c r="M6" s="1457"/>
      <c r="N6" s="1457"/>
      <c r="O6" s="1457"/>
      <c r="P6" s="1457"/>
      <c r="Q6" s="1457"/>
      <c r="R6" s="1457"/>
      <c r="S6" s="1458"/>
      <c r="T6" s="6"/>
      <c r="U6" s="6"/>
      <c r="V6" s="6"/>
      <c r="W6" s="6"/>
      <c r="X6" s="6"/>
      <c r="Y6" s="6"/>
    </row>
    <row r="7" spans="1:25">
      <c r="A7" s="409" t="s">
        <v>270</v>
      </c>
      <c r="B7" s="658">
        <v>8.24</v>
      </c>
      <c r="C7" s="658">
        <v>8.7899999999999991</v>
      </c>
      <c r="D7" s="658">
        <v>7.92</v>
      </c>
      <c r="E7" s="658">
        <v>8.5</v>
      </c>
      <c r="F7" s="658">
        <v>8.3699999999999992</v>
      </c>
      <c r="G7" s="658">
        <v>7.73</v>
      </c>
      <c r="H7" s="658">
        <v>8.43</v>
      </c>
      <c r="I7" s="658">
        <v>8.24</v>
      </c>
      <c r="J7" s="505">
        <v>8.15</v>
      </c>
      <c r="K7" s="658">
        <v>8</v>
      </c>
      <c r="L7" s="658">
        <v>8.18</v>
      </c>
      <c r="M7" s="658">
        <v>8.0500000000000007</v>
      </c>
      <c r="N7" s="658">
        <v>8.15</v>
      </c>
      <c r="O7" s="658">
        <v>8.5399999999999991</v>
      </c>
      <c r="P7" s="658">
        <v>8.39</v>
      </c>
      <c r="Q7" s="1140">
        <f t="shared" ref="Q7:Q21" si="1">AVERAGE(B7:P7)</f>
        <v>8.2453333333333347</v>
      </c>
      <c r="R7" s="1141">
        <f t="shared" ref="R7:R21" si="2">MAX(B7:P7)</f>
        <v>8.7899999999999991</v>
      </c>
      <c r="S7" s="1141">
        <f t="shared" si="0"/>
        <v>8.1749999999999989</v>
      </c>
      <c r="T7" s="6"/>
      <c r="U7" s="6"/>
      <c r="V7" s="6"/>
      <c r="W7" s="6"/>
      <c r="X7" s="6"/>
      <c r="Y7" s="6"/>
    </row>
    <row r="8" spans="1:25">
      <c r="A8" s="409" t="s">
        <v>151</v>
      </c>
      <c r="B8" s="658">
        <v>8.24</v>
      </c>
      <c r="C8" s="658">
        <v>8.67</v>
      </c>
      <c r="D8" s="658">
        <v>7.95</v>
      </c>
      <c r="E8" s="658">
        <v>8.49</v>
      </c>
      <c r="F8" s="658">
        <v>8.31</v>
      </c>
      <c r="G8" s="658">
        <v>7.7</v>
      </c>
      <c r="H8" s="658">
        <v>8.3699999999999992</v>
      </c>
      <c r="I8" s="658">
        <v>8.31</v>
      </c>
      <c r="J8" s="505">
        <v>8.14</v>
      </c>
      <c r="K8" s="658">
        <v>8.0399999999999991</v>
      </c>
      <c r="L8" s="658">
        <v>8.1300000000000008</v>
      </c>
      <c r="M8" s="658">
        <v>8.18</v>
      </c>
      <c r="N8" s="658">
        <v>8.11</v>
      </c>
      <c r="O8" s="658">
        <v>8.52</v>
      </c>
      <c r="P8" s="658">
        <v>8.41</v>
      </c>
      <c r="Q8" s="1140">
        <f t="shared" si="1"/>
        <v>8.2379999999999995</v>
      </c>
      <c r="R8" s="1141">
        <f t="shared" si="2"/>
        <v>8.67</v>
      </c>
      <c r="S8" s="1141">
        <f t="shared" si="0"/>
        <v>8.1950000000000003</v>
      </c>
      <c r="T8" s="6"/>
      <c r="U8" s="6"/>
      <c r="V8" s="6"/>
      <c r="W8" s="6"/>
      <c r="X8" s="6"/>
      <c r="Y8" s="6"/>
    </row>
    <row r="9" spans="1:25">
      <c r="A9" s="409" t="s">
        <v>271</v>
      </c>
      <c r="B9" s="658">
        <v>8.2100000000000009</v>
      </c>
      <c r="C9" s="658">
        <v>8.57</v>
      </c>
      <c r="D9" s="658">
        <v>7.97</v>
      </c>
      <c r="E9" s="658">
        <v>8.4700000000000006</v>
      </c>
      <c r="F9" s="658">
        <v>8.27</v>
      </c>
      <c r="G9" s="658">
        <v>7.69</v>
      </c>
      <c r="H9" s="658">
        <v>8.35</v>
      </c>
      <c r="I9" s="658">
        <v>8.31</v>
      </c>
      <c r="J9" s="505">
        <v>8.1</v>
      </c>
      <c r="K9" s="658">
        <v>8.0399999999999991</v>
      </c>
      <c r="L9" s="658">
        <v>8.11</v>
      </c>
      <c r="M9" s="658">
        <v>8.2100000000000009</v>
      </c>
      <c r="N9" s="658">
        <v>8.06</v>
      </c>
      <c r="O9" s="658">
        <v>8.49</v>
      </c>
      <c r="P9" s="658">
        <v>8.4</v>
      </c>
      <c r="Q9" s="1140">
        <f t="shared" si="1"/>
        <v>8.216666666666665</v>
      </c>
      <c r="R9" s="1141">
        <f t="shared" si="2"/>
        <v>8.57</v>
      </c>
      <c r="S9" s="1141">
        <f t="shared" si="0"/>
        <v>8.1866666666666656</v>
      </c>
      <c r="T9" s="6"/>
      <c r="U9" s="6"/>
      <c r="V9" s="6"/>
      <c r="W9" s="6"/>
      <c r="X9" s="6"/>
      <c r="Y9" s="6"/>
    </row>
    <row r="10" spans="1:25">
      <c r="A10" s="409" t="s">
        <v>152</v>
      </c>
      <c r="B10" s="658">
        <v>8.2200000000000006</v>
      </c>
      <c r="C10" s="658">
        <v>8.5299999999999994</v>
      </c>
      <c r="D10" s="658">
        <v>7.98</v>
      </c>
      <c r="E10" s="658">
        <v>8.4600000000000009</v>
      </c>
      <c r="F10" s="658">
        <v>8.2100000000000009</v>
      </c>
      <c r="G10" s="658">
        <v>7.68</v>
      </c>
      <c r="H10" s="658">
        <v>8.33</v>
      </c>
      <c r="I10" s="658">
        <v>8.2799999999999994</v>
      </c>
      <c r="J10" s="505">
        <v>8.0500000000000007</v>
      </c>
      <c r="K10" s="658">
        <v>8.0299999999999994</v>
      </c>
      <c r="L10" s="658">
        <v>8.09</v>
      </c>
      <c r="M10" s="658">
        <v>8.14</v>
      </c>
      <c r="N10" s="658">
        <v>8.0299999999999994</v>
      </c>
      <c r="O10" s="658">
        <v>8.4700000000000006</v>
      </c>
      <c r="P10" s="658">
        <v>8.35</v>
      </c>
      <c r="Q10" s="1140">
        <f t="shared" si="1"/>
        <v>8.19</v>
      </c>
      <c r="R10" s="1141">
        <f t="shared" si="2"/>
        <v>8.5299999999999994</v>
      </c>
      <c r="S10" s="1141">
        <f t="shared" si="0"/>
        <v>8.1533333333333342</v>
      </c>
    </row>
    <row r="11" spans="1:25">
      <c r="A11" s="409" t="s">
        <v>272</v>
      </c>
      <c r="B11" s="658">
        <v>8.19</v>
      </c>
      <c r="C11" s="658">
        <v>8.49</v>
      </c>
      <c r="D11" s="658">
        <v>7.98</v>
      </c>
      <c r="E11" s="658">
        <v>8.44</v>
      </c>
      <c r="F11" s="658">
        <v>8.19</v>
      </c>
      <c r="G11" s="658">
        <v>7.72</v>
      </c>
      <c r="H11" s="658">
        <v>8.32</v>
      </c>
      <c r="I11" s="658">
        <v>8.26</v>
      </c>
      <c r="J11" s="505">
        <v>8.0299999999999994</v>
      </c>
      <c r="K11" s="658">
        <v>8.01</v>
      </c>
      <c r="L11" s="658">
        <v>8.07</v>
      </c>
      <c r="M11" s="658">
        <v>8.07</v>
      </c>
      <c r="N11" s="658">
        <v>8.07</v>
      </c>
      <c r="O11" s="658">
        <v>8.48</v>
      </c>
      <c r="P11" s="658">
        <v>8.33</v>
      </c>
      <c r="Q11" s="1140">
        <f t="shared" si="1"/>
        <v>8.1766666666666676</v>
      </c>
      <c r="R11" s="1141">
        <f t="shared" si="2"/>
        <v>8.49</v>
      </c>
      <c r="S11" s="1141">
        <f t="shared" si="0"/>
        <v>8.1266666666666669</v>
      </c>
    </row>
    <row r="12" spans="1:25">
      <c r="A12" s="409" t="s">
        <v>153</v>
      </c>
      <c r="B12" s="658">
        <v>8.16</v>
      </c>
      <c r="C12" s="658">
        <v>8.48</v>
      </c>
      <c r="D12" s="658">
        <v>7.99</v>
      </c>
      <c r="E12" s="658">
        <v>8.42</v>
      </c>
      <c r="F12" s="658">
        <v>8.18</v>
      </c>
      <c r="G12" s="658">
        <v>7.7</v>
      </c>
      <c r="H12" s="658">
        <v>8.32</v>
      </c>
      <c r="I12" s="658">
        <v>8.24</v>
      </c>
      <c r="J12" s="505">
        <v>8</v>
      </c>
      <c r="K12" s="658">
        <v>7.98</v>
      </c>
      <c r="L12" s="658">
        <v>8.0500000000000007</v>
      </c>
      <c r="M12" s="658">
        <v>8.06</v>
      </c>
      <c r="N12" s="658">
        <v>8</v>
      </c>
      <c r="O12" s="658">
        <v>8.44</v>
      </c>
      <c r="P12" s="658">
        <v>8.33</v>
      </c>
      <c r="Q12" s="1140">
        <f t="shared" si="1"/>
        <v>8.1566666666666681</v>
      </c>
      <c r="R12" s="1141">
        <f t="shared" si="2"/>
        <v>8.48</v>
      </c>
      <c r="S12" s="1141">
        <f t="shared" si="0"/>
        <v>8.1083333333333343</v>
      </c>
    </row>
    <row r="13" spans="1:25">
      <c r="A13" s="409" t="s">
        <v>273</v>
      </c>
      <c r="B13" s="658">
        <v>8.15</v>
      </c>
      <c r="C13" s="658">
        <v>8.39</v>
      </c>
      <c r="D13" s="658">
        <v>7.94</v>
      </c>
      <c r="E13" s="658">
        <v>8.4</v>
      </c>
      <c r="F13" s="658">
        <v>8.15</v>
      </c>
      <c r="G13" s="658">
        <v>7.7</v>
      </c>
      <c r="H13" s="658">
        <v>8.2899999999999991</v>
      </c>
      <c r="I13" s="658">
        <v>8.2100000000000009</v>
      </c>
      <c r="J13" s="505">
        <v>7.98</v>
      </c>
      <c r="K13" s="658">
        <v>8.9700000000000006</v>
      </c>
      <c r="L13" s="658">
        <v>8.01</v>
      </c>
      <c r="M13" s="658">
        <v>8.02</v>
      </c>
      <c r="N13" s="658">
        <v>7.99</v>
      </c>
      <c r="O13" s="658">
        <v>8.42</v>
      </c>
      <c r="P13" s="658">
        <v>8.3000000000000007</v>
      </c>
      <c r="Q13" s="1140">
        <f t="shared" si="1"/>
        <v>8.1946666666666665</v>
      </c>
      <c r="R13" s="1141">
        <f t="shared" si="2"/>
        <v>8.9700000000000006</v>
      </c>
      <c r="S13" s="1141">
        <f t="shared" si="0"/>
        <v>8.2466666666666679</v>
      </c>
    </row>
    <row r="14" spans="1:25">
      <c r="A14" s="409" t="s">
        <v>154</v>
      </c>
      <c r="B14" s="658">
        <v>8.1300000000000008</v>
      </c>
      <c r="C14" s="658">
        <v>8.34</v>
      </c>
      <c r="D14" s="658">
        <v>7.93</v>
      </c>
      <c r="E14" s="658">
        <v>8.39</v>
      </c>
      <c r="F14" s="658">
        <v>8.1300000000000008</v>
      </c>
      <c r="G14" s="658">
        <v>7.74</v>
      </c>
      <c r="H14" s="658">
        <v>8.26</v>
      </c>
      <c r="I14" s="658">
        <v>8.1999999999999993</v>
      </c>
      <c r="J14" s="505">
        <v>7.97</v>
      </c>
      <c r="K14" s="658">
        <v>7.95</v>
      </c>
      <c r="L14" s="658">
        <v>8.11</v>
      </c>
      <c r="M14" s="658">
        <v>7.96</v>
      </c>
      <c r="N14" s="658">
        <v>7.97</v>
      </c>
      <c r="O14" s="658">
        <v>8.4</v>
      </c>
      <c r="P14" s="658">
        <v>8.2899999999999991</v>
      </c>
      <c r="Q14" s="1140">
        <f t="shared" si="1"/>
        <v>8.1180000000000003</v>
      </c>
      <c r="R14" s="1141">
        <f t="shared" si="2"/>
        <v>8.4</v>
      </c>
      <c r="S14" s="1141">
        <f t="shared" si="0"/>
        <v>8.0750000000000011</v>
      </c>
    </row>
    <row r="15" spans="1:25">
      <c r="A15" s="409" t="s">
        <v>155</v>
      </c>
      <c r="B15" s="658">
        <v>8.09</v>
      </c>
      <c r="C15" s="658">
        <v>8.32</v>
      </c>
      <c r="D15" s="658">
        <v>7.89</v>
      </c>
      <c r="E15" s="658">
        <v>8.35</v>
      </c>
      <c r="F15" s="658">
        <v>8.11</v>
      </c>
      <c r="G15" s="658">
        <v>7.7</v>
      </c>
      <c r="H15" s="658">
        <v>8.2200000000000006</v>
      </c>
      <c r="I15" s="658">
        <v>8.11</v>
      </c>
      <c r="J15" s="505">
        <v>7.94</v>
      </c>
      <c r="K15" s="658">
        <v>7.87</v>
      </c>
      <c r="L15" s="658">
        <v>7.98</v>
      </c>
      <c r="M15" s="658">
        <v>7.94</v>
      </c>
      <c r="N15" s="658">
        <v>7.96</v>
      </c>
      <c r="O15" s="658">
        <v>8.39</v>
      </c>
      <c r="P15" s="658">
        <v>8.27</v>
      </c>
      <c r="Q15" s="1140">
        <f t="shared" si="1"/>
        <v>8.0759999999999987</v>
      </c>
      <c r="R15" s="1141">
        <f t="shared" si="2"/>
        <v>8.39</v>
      </c>
      <c r="S15" s="1141">
        <f t="shared" si="0"/>
        <v>8.01</v>
      </c>
    </row>
    <row r="16" spans="1:25">
      <c r="A16" s="409" t="s">
        <v>156</v>
      </c>
      <c r="B16" s="658">
        <v>8.08</v>
      </c>
      <c r="C16" s="658">
        <v>8.27</v>
      </c>
      <c r="D16" s="658">
        <v>7.86</v>
      </c>
      <c r="E16" s="658">
        <v>8.31</v>
      </c>
      <c r="F16" s="658">
        <v>8.1199999999999992</v>
      </c>
      <c r="G16" s="658">
        <v>7.7</v>
      </c>
      <c r="H16" s="658">
        <v>8.1999999999999993</v>
      </c>
      <c r="I16" s="658">
        <v>8.0399999999999991</v>
      </c>
      <c r="J16" s="505">
        <v>7.9</v>
      </c>
      <c r="K16" s="658">
        <v>7.95</v>
      </c>
      <c r="L16" s="658">
        <v>7.96</v>
      </c>
      <c r="M16" s="658">
        <v>7.9</v>
      </c>
      <c r="N16" s="658">
        <v>7.95</v>
      </c>
      <c r="O16" s="658">
        <v>8.3800000000000008</v>
      </c>
      <c r="P16" s="658">
        <v>8.25</v>
      </c>
      <c r="Q16" s="1140">
        <f t="shared" si="1"/>
        <v>8.0580000000000016</v>
      </c>
      <c r="R16" s="1141">
        <f t="shared" si="2"/>
        <v>8.3800000000000008</v>
      </c>
      <c r="S16" s="1141">
        <f t="shared" si="0"/>
        <v>7.9916666666666671</v>
      </c>
    </row>
    <row r="17" spans="1:19">
      <c r="A17" s="409" t="s">
        <v>157</v>
      </c>
      <c r="B17" s="658">
        <v>8.06</v>
      </c>
      <c r="C17" s="661">
        <v>8.24</v>
      </c>
      <c r="D17" s="658">
        <v>7.82</v>
      </c>
      <c r="E17" s="658">
        <v>8.32</v>
      </c>
      <c r="F17" s="658">
        <v>8.09</v>
      </c>
      <c r="G17" s="658">
        <v>7.69</v>
      </c>
      <c r="H17" s="658">
        <v>8.15</v>
      </c>
      <c r="I17" s="658">
        <v>8.0299999999999994</v>
      </c>
      <c r="J17" s="505">
        <v>7.86</v>
      </c>
      <c r="K17" s="658">
        <v>7.87</v>
      </c>
      <c r="L17" s="658">
        <v>7.94</v>
      </c>
      <c r="M17" s="658">
        <v>7.81</v>
      </c>
      <c r="N17" s="658">
        <v>7.93</v>
      </c>
      <c r="O17" s="658">
        <v>8.3699999999999992</v>
      </c>
      <c r="P17" s="658">
        <v>8.2200000000000006</v>
      </c>
      <c r="Q17" s="1140">
        <f t="shared" si="1"/>
        <v>8.0266666666666673</v>
      </c>
      <c r="R17" s="1141">
        <f t="shared" si="2"/>
        <v>8.3699999999999992</v>
      </c>
      <c r="S17" s="1141">
        <f t="shared" si="0"/>
        <v>7.9433333333333342</v>
      </c>
    </row>
    <row r="18" spans="1:19">
      <c r="A18" s="409" t="s">
        <v>158</v>
      </c>
      <c r="B18" s="658">
        <v>8.0399999999999991</v>
      </c>
      <c r="C18" s="658">
        <v>8.1999999999999993</v>
      </c>
      <c r="D18" s="658">
        <v>7.8</v>
      </c>
      <c r="E18" s="658">
        <v>8.2899999999999991</v>
      </c>
      <c r="F18" s="658">
        <v>8.09</v>
      </c>
      <c r="G18" s="658">
        <v>7.71</v>
      </c>
      <c r="H18" s="658">
        <v>8.11</v>
      </c>
      <c r="I18" s="658">
        <v>8.01</v>
      </c>
      <c r="J18" s="505">
        <v>7.8</v>
      </c>
      <c r="K18" s="658">
        <v>7.79</v>
      </c>
      <c r="L18" s="658">
        <v>7.89</v>
      </c>
      <c r="M18" s="658">
        <v>7.79</v>
      </c>
      <c r="N18" s="658">
        <v>7.91</v>
      </c>
      <c r="O18" s="658">
        <v>8.3699999999999992</v>
      </c>
      <c r="P18" s="658">
        <v>8.1999999999999993</v>
      </c>
      <c r="Q18" s="1140">
        <f t="shared" si="1"/>
        <v>8.0000000000000018</v>
      </c>
      <c r="R18" s="1141">
        <f t="shared" si="2"/>
        <v>8.3699999999999992</v>
      </c>
      <c r="S18" s="1141">
        <f t="shared" si="0"/>
        <v>7.8983333333333325</v>
      </c>
    </row>
    <row r="19" spans="1:19">
      <c r="A19" s="409" t="s">
        <v>159</v>
      </c>
      <c r="B19" s="658">
        <v>8</v>
      </c>
      <c r="C19" s="658">
        <v>8.17</v>
      </c>
      <c r="D19" s="658">
        <v>7.78</v>
      </c>
      <c r="E19" s="658">
        <v>8.25</v>
      </c>
      <c r="F19" s="658">
        <v>8.08</v>
      </c>
      <c r="G19" s="658">
        <v>7.7</v>
      </c>
      <c r="H19" s="658">
        <v>8.14</v>
      </c>
      <c r="I19" s="658">
        <v>7.99</v>
      </c>
      <c r="J19" s="505">
        <v>7.79</v>
      </c>
      <c r="K19" s="658">
        <v>7.73</v>
      </c>
      <c r="L19" s="658">
        <v>7.86</v>
      </c>
      <c r="M19" s="658">
        <v>7.77</v>
      </c>
      <c r="N19" s="658">
        <v>7.9</v>
      </c>
      <c r="O19" s="658">
        <v>8.36</v>
      </c>
      <c r="P19" s="658">
        <v>8.18</v>
      </c>
      <c r="Q19" s="1140">
        <f t="shared" si="1"/>
        <v>7.9800000000000013</v>
      </c>
      <c r="R19" s="1141">
        <f t="shared" si="2"/>
        <v>8.36</v>
      </c>
      <c r="S19" s="1141">
        <f t="shared" si="0"/>
        <v>7.88</v>
      </c>
    </row>
    <row r="20" spans="1:19">
      <c r="A20" s="409" t="s">
        <v>179</v>
      </c>
      <c r="B20" s="658">
        <v>7.99</v>
      </c>
      <c r="C20" s="658">
        <v>8.1199999999999992</v>
      </c>
      <c r="D20" s="658">
        <v>7.75</v>
      </c>
      <c r="E20" s="658">
        <v>8.24</v>
      </c>
      <c r="F20" s="658">
        <v>8.0500000000000007</v>
      </c>
      <c r="G20" s="658">
        <v>7.66</v>
      </c>
      <c r="H20" s="658">
        <v>8.1199999999999992</v>
      </c>
      <c r="I20" s="658">
        <v>7.9</v>
      </c>
      <c r="J20" s="505">
        <v>7.76</v>
      </c>
      <c r="K20" s="658">
        <v>7.68</v>
      </c>
      <c r="L20" s="658">
        <v>7.81</v>
      </c>
      <c r="M20" s="658">
        <v>7.75</v>
      </c>
      <c r="N20" s="658">
        <v>7.88</v>
      </c>
      <c r="O20" s="658"/>
      <c r="P20" s="658">
        <v>8.16</v>
      </c>
      <c r="Q20" s="1140">
        <f t="shared" si="1"/>
        <v>7.9192857142857145</v>
      </c>
      <c r="R20" s="1141">
        <f t="shared" si="2"/>
        <v>8.24</v>
      </c>
      <c r="S20" s="1141">
        <f t="shared" si="0"/>
        <v>7.8366666666666669</v>
      </c>
    </row>
    <row r="21" spans="1:19">
      <c r="A21" s="409" t="s">
        <v>180</v>
      </c>
      <c r="B21" s="658">
        <v>7.94</v>
      </c>
      <c r="C21" s="658">
        <v>8.07</v>
      </c>
      <c r="D21" s="658">
        <v>7.75</v>
      </c>
      <c r="E21" s="658">
        <v>8.18</v>
      </c>
      <c r="F21" s="658">
        <v>8.0500000000000007</v>
      </c>
      <c r="G21" s="658">
        <v>7.66</v>
      </c>
      <c r="H21" s="658">
        <v>8.1300000000000008</v>
      </c>
      <c r="I21" s="658">
        <v>7.87</v>
      </c>
      <c r="J21" s="505">
        <v>7.73</v>
      </c>
      <c r="K21" s="658">
        <v>7.63</v>
      </c>
      <c r="L21" s="658"/>
      <c r="M21" s="658"/>
      <c r="N21" s="658"/>
      <c r="O21" s="658"/>
      <c r="P21" s="658"/>
      <c r="Q21" s="1140">
        <f t="shared" si="1"/>
        <v>7.9010000000000007</v>
      </c>
      <c r="R21" s="1141">
        <f t="shared" si="2"/>
        <v>8.18</v>
      </c>
      <c r="S21" s="1141">
        <f t="shared" si="0"/>
        <v>7.84</v>
      </c>
    </row>
    <row r="22" spans="1:19">
      <c r="A22" s="409" t="s">
        <v>364</v>
      </c>
      <c r="B22" s="658">
        <f>AVERAGE(B7:B10)</f>
        <v>8.2275000000000009</v>
      </c>
      <c r="C22" s="658">
        <f t="shared" ref="C22:P22" si="3">AVERAGE(C7:C10)</f>
        <v>8.64</v>
      </c>
      <c r="D22" s="658">
        <f t="shared" si="3"/>
        <v>7.9550000000000001</v>
      </c>
      <c r="E22" s="658">
        <f t="shared" si="3"/>
        <v>8.48</v>
      </c>
      <c r="F22" s="658">
        <f t="shared" si="3"/>
        <v>8.2899999999999991</v>
      </c>
      <c r="G22" s="658">
        <f t="shared" si="3"/>
        <v>7.7</v>
      </c>
      <c r="H22" s="658">
        <f t="shared" si="3"/>
        <v>8.3699999999999992</v>
      </c>
      <c r="I22" s="658">
        <f t="shared" si="3"/>
        <v>8.2850000000000001</v>
      </c>
      <c r="J22" s="658">
        <f t="shared" si="3"/>
        <v>8.11</v>
      </c>
      <c r="K22" s="658">
        <f t="shared" si="3"/>
        <v>8.0274999999999999</v>
      </c>
      <c r="L22" s="658">
        <f t="shared" si="3"/>
        <v>8.1275000000000013</v>
      </c>
      <c r="M22" s="658">
        <f t="shared" si="3"/>
        <v>8.1449999999999996</v>
      </c>
      <c r="N22" s="658">
        <f t="shared" si="3"/>
        <v>8.0875000000000004</v>
      </c>
      <c r="O22" s="658">
        <f t="shared" si="3"/>
        <v>8.504999999999999</v>
      </c>
      <c r="P22" s="658">
        <f t="shared" si="3"/>
        <v>8.3875000000000011</v>
      </c>
      <c r="Q22" s="658">
        <f>AVERAGE(Q7:Q10)</f>
        <v>8.2225000000000001</v>
      </c>
      <c r="R22" s="658">
        <f>AVERAGE(R7:R10)</f>
        <v>8.64</v>
      </c>
      <c r="S22" s="658">
        <f>AVERAGE(S7:S10)</f>
        <v>8.1775000000000002</v>
      </c>
    </row>
    <row r="23" spans="1:19">
      <c r="A23" s="409" t="s">
        <v>365</v>
      </c>
      <c r="B23" s="658">
        <f t="shared" ref="B23:S23" si="4">AVERAGE(B7:B21)</f>
        <v>8.1159999999999997</v>
      </c>
      <c r="C23" s="658">
        <f t="shared" si="4"/>
        <v>8.3766666666666669</v>
      </c>
      <c r="D23" s="658">
        <f t="shared" si="4"/>
        <v>7.8873333333333324</v>
      </c>
      <c r="E23" s="658">
        <f t="shared" si="4"/>
        <v>8.3673333333333311</v>
      </c>
      <c r="F23" s="658">
        <f t="shared" si="4"/>
        <v>8.16</v>
      </c>
      <c r="G23" s="658">
        <f t="shared" si="4"/>
        <v>7.698666666666667</v>
      </c>
      <c r="H23" s="658">
        <f t="shared" si="4"/>
        <v>8.2493333333333343</v>
      </c>
      <c r="I23" s="658">
        <f t="shared" si="4"/>
        <v>8.1333333333333329</v>
      </c>
      <c r="J23" s="658">
        <f t="shared" si="4"/>
        <v>7.9466666666666681</v>
      </c>
      <c r="K23" s="658">
        <f t="shared" si="4"/>
        <v>7.9693333333333349</v>
      </c>
      <c r="L23" s="658">
        <f t="shared" si="4"/>
        <v>8.0135714285714279</v>
      </c>
      <c r="M23" s="658">
        <f t="shared" si="4"/>
        <v>7.9750000000000005</v>
      </c>
      <c r="N23" s="658">
        <f t="shared" si="4"/>
        <v>7.9935714285714283</v>
      </c>
      <c r="O23" s="658">
        <f t="shared" si="4"/>
        <v>8.4330769230769231</v>
      </c>
      <c r="P23" s="658">
        <f t="shared" si="4"/>
        <v>8.2914285714285718</v>
      </c>
      <c r="Q23" s="658">
        <f t="shared" si="4"/>
        <v>8.099796825396826</v>
      </c>
      <c r="R23" s="658">
        <f t="shared" si="4"/>
        <v>8.4793333333333329</v>
      </c>
      <c r="S23" s="658">
        <f t="shared" si="4"/>
        <v>8.0444444444444443</v>
      </c>
    </row>
    <row r="24" spans="1:19" ht="15.5">
      <c r="A24" s="1450" t="s">
        <v>350</v>
      </c>
      <c r="B24" s="1451"/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2"/>
    </row>
    <row r="25" spans="1:19">
      <c r="A25" s="262" t="s">
        <v>270</v>
      </c>
      <c r="B25" s="658">
        <v>8.35</v>
      </c>
      <c r="C25" s="658"/>
      <c r="D25" s="658">
        <v>7.87</v>
      </c>
      <c r="E25" s="928">
        <v>8.2200000000000006</v>
      </c>
      <c r="F25" s="928">
        <v>7.91</v>
      </c>
      <c r="G25" s="928">
        <v>7.52</v>
      </c>
      <c r="H25" s="928">
        <v>8.1300000000000008</v>
      </c>
      <c r="I25" s="928">
        <v>8.19</v>
      </c>
      <c r="J25" s="928">
        <v>7.97</v>
      </c>
      <c r="K25" s="928">
        <v>8.2100000000000009</v>
      </c>
      <c r="L25" s="928">
        <v>7.86</v>
      </c>
      <c r="M25" s="928">
        <v>8.0299999999999994</v>
      </c>
      <c r="N25" s="928">
        <v>7.84</v>
      </c>
      <c r="O25" s="928">
        <v>8.32</v>
      </c>
      <c r="P25" s="928">
        <v>8.7100000000000009</v>
      </c>
      <c r="Q25" s="1140">
        <f t="shared" ref="Q25:Q36" si="5">AVERAGE(B25:P25)</f>
        <v>8.0807142857142882</v>
      </c>
      <c r="R25" s="1141">
        <f t="shared" ref="R25:R36" si="6">MAX(B25:P25)</f>
        <v>8.7100000000000009</v>
      </c>
      <c r="S25" s="1141">
        <f t="shared" si="0"/>
        <v>8.0649999999999995</v>
      </c>
    </row>
    <row r="26" spans="1:19">
      <c r="A26" s="262" t="s">
        <v>151</v>
      </c>
      <c r="B26" s="658">
        <v>8.25</v>
      </c>
      <c r="C26" s="658"/>
      <c r="D26" s="658">
        <v>7.88</v>
      </c>
      <c r="E26" s="928">
        <v>8.24</v>
      </c>
      <c r="F26" s="928">
        <v>7.96</v>
      </c>
      <c r="G26" s="928">
        <v>7.53</v>
      </c>
      <c r="H26" s="928">
        <v>8.1</v>
      </c>
      <c r="I26" s="928">
        <v>8.2200000000000006</v>
      </c>
      <c r="J26" s="928">
        <v>8.01</v>
      </c>
      <c r="K26" s="928">
        <v>8.24</v>
      </c>
      <c r="L26" s="928">
        <v>7.86</v>
      </c>
      <c r="M26" s="928">
        <v>8.15</v>
      </c>
      <c r="N26" s="928">
        <v>7.83</v>
      </c>
      <c r="O26" s="928">
        <v>8.3000000000000007</v>
      </c>
      <c r="P26" s="928">
        <v>8.6999999999999993</v>
      </c>
      <c r="Q26" s="1140">
        <f t="shared" si="5"/>
        <v>8.0907142857142862</v>
      </c>
      <c r="R26" s="1141">
        <f t="shared" si="6"/>
        <v>8.6999999999999993</v>
      </c>
      <c r="S26" s="1141">
        <f t="shared" si="0"/>
        <v>8.0966666666666658</v>
      </c>
    </row>
    <row r="27" spans="1:19">
      <c r="A27" s="262" t="s">
        <v>271</v>
      </c>
      <c r="B27" s="658">
        <v>8.16</v>
      </c>
      <c r="C27" s="658"/>
      <c r="D27" s="658">
        <v>7.89</v>
      </c>
      <c r="E27" s="928">
        <v>8.25</v>
      </c>
      <c r="F27" s="928">
        <v>7.94</v>
      </c>
      <c r="G27" s="928">
        <v>7.56</v>
      </c>
      <c r="H27" s="928">
        <v>8.09</v>
      </c>
      <c r="I27" s="928">
        <v>8.2100000000000009</v>
      </c>
      <c r="J27" s="928">
        <v>7.98</v>
      </c>
      <c r="K27" s="928">
        <v>8.2200000000000006</v>
      </c>
      <c r="L27" s="928">
        <v>7.88</v>
      </c>
      <c r="M27" s="928">
        <v>8.15</v>
      </c>
      <c r="N27" s="928">
        <v>7.83</v>
      </c>
      <c r="O27" s="928">
        <v>8.3000000000000007</v>
      </c>
      <c r="P27" s="928">
        <v>8.69</v>
      </c>
      <c r="Q27" s="1140">
        <f t="shared" si="5"/>
        <v>8.0821428571428573</v>
      </c>
      <c r="R27" s="1141">
        <f t="shared" si="6"/>
        <v>8.69</v>
      </c>
      <c r="S27" s="1141">
        <f t="shared" si="0"/>
        <v>8.0883333333333329</v>
      </c>
    </row>
    <row r="28" spans="1:19">
      <c r="A28" s="262" t="s">
        <v>152</v>
      </c>
      <c r="B28" s="658">
        <v>8.14</v>
      </c>
      <c r="C28" s="658"/>
      <c r="D28" s="658">
        <v>7.9</v>
      </c>
      <c r="E28" s="928">
        <v>8.25</v>
      </c>
      <c r="F28" s="928">
        <v>7.93</v>
      </c>
      <c r="G28" s="928">
        <v>7.58</v>
      </c>
      <c r="H28" s="928">
        <v>8.1</v>
      </c>
      <c r="I28" s="928">
        <v>8.1999999999999993</v>
      </c>
      <c r="J28" s="928">
        <v>7.96</v>
      </c>
      <c r="K28" s="928">
        <v>8.19</v>
      </c>
      <c r="L28" s="928">
        <v>7.88</v>
      </c>
      <c r="M28" s="928">
        <v>8.11</v>
      </c>
      <c r="N28" s="928">
        <v>7.81</v>
      </c>
      <c r="O28" s="928">
        <v>8.2899999999999991</v>
      </c>
      <c r="P28" s="928">
        <v>8.81</v>
      </c>
      <c r="Q28" s="1140">
        <f t="shared" si="5"/>
        <v>8.0821428571428555</v>
      </c>
      <c r="R28" s="1141">
        <f t="shared" si="6"/>
        <v>8.81</v>
      </c>
      <c r="S28" s="1141">
        <f t="shared" si="0"/>
        <v>8.0733333333333324</v>
      </c>
    </row>
    <row r="29" spans="1:19">
      <c r="A29" s="262" t="s">
        <v>272</v>
      </c>
      <c r="B29" s="658">
        <v>8.1300000000000008</v>
      </c>
      <c r="C29" s="658"/>
      <c r="D29" s="658">
        <v>7.91</v>
      </c>
      <c r="E29" s="928">
        <v>8.26</v>
      </c>
      <c r="F29" s="928">
        <v>7.92</v>
      </c>
      <c r="G29" s="928">
        <v>7.63</v>
      </c>
      <c r="H29" s="928">
        <v>8.1</v>
      </c>
      <c r="I29" s="928">
        <v>8.16</v>
      </c>
      <c r="J29" s="928">
        <v>7.91</v>
      </c>
      <c r="K29" s="928">
        <v>8.16</v>
      </c>
      <c r="L29" s="928">
        <v>7.87</v>
      </c>
      <c r="M29" s="928">
        <v>8.08</v>
      </c>
      <c r="N29" s="928">
        <v>7.81</v>
      </c>
      <c r="O29" s="928">
        <v>8.2899999999999991</v>
      </c>
      <c r="P29" s="928">
        <v>8.57</v>
      </c>
      <c r="Q29" s="1140">
        <f t="shared" si="5"/>
        <v>8.0571428571428552</v>
      </c>
      <c r="R29" s="1141">
        <f t="shared" si="6"/>
        <v>8.57</v>
      </c>
      <c r="S29" s="1141">
        <f t="shared" si="0"/>
        <v>8.0466666666666651</v>
      </c>
    </row>
    <row r="30" spans="1:19">
      <c r="A30" s="262" t="s">
        <v>153</v>
      </c>
      <c r="B30" s="661">
        <v>8.1199999999999992</v>
      </c>
      <c r="C30" s="658"/>
      <c r="D30" s="658">
        <v>7.91</v>
      </c>
      <c r="E30" s="928">
        <v>8.26</v>
      </c>
      <c r="F30" s="928">
        <v>7.89</v>
      </c>
      <c r="G30" s="928">
        <v>7.58</v>
      </c>
      <c r="H30" s="928">
        <v>8.06</v>
      </c>
      <c r="I30" s="928">
        <v>8.1199999999999992</v>
      </c>
      <c r="J30" s="928">
        <v>7.89</v>
      </c>
      <c r="K30" s="928">
        <v>8.1300000000000008</v>
      </c>
      <c r="L30" s="928">
        <v>7.87</v>
      </c>
      <c r="M30" s="928">
        <v>8.02</v>
      </c>
      <c r="N30" s="928">
        <v>7.8</v>
      </c>
      <c r="O30" s="928">
        <v>8.2799999999999994</v>
      </c>
      <c r="P30" s="928">
        <v>8.6300000000000008</v>
      </c>
      <c r="Q30" s="1140">
        <f t="shared" si="5"/>
        <v>8.0399999999999991</v>
      </c>
      <c r="R30" s="1141">
        <f t="shared" si="6"/>
        <v>8.6300000000000008</v>
      </c>
      <c r="S30" s="1141">
        <f t="shared" si="0"/>
        <v>8.0150000000000006</v>
      </c>
    </row>
    <row r="31" spans="1:19">
      <c r="A31" s="262" t="s">
        <v>273</v>
      </c>
      <c r="B31" s="658">
        <v>8.08</v>
      </c>
      <c r="C31" s="658"/>
      <c r="D31" s="658">
        <v>7.92</v>
      </c>
      <c r="E31" s="1149">
        <v>8.26</v>
      </c>
      <c r="F31" s="928">
        <v>7.89</v>
      </c>
      <c r="G31" s="928">
        <v>7.58</v>
      </c>
      <c r="H31" s="928">
        <v>8.06</v>
      </c>
      <c r="I31" s="928">
        <v>8.1</v>
      </c>
      <c r="J31" s="928">
        <v>7.86</v>
      </c>
      <c r="K31" s="928">
        <v>8.09</v>
      </c>
      <c r="L31" s="928">
        <v>7.87</v>
      </c>
      <c r="M31" s="928">
        <v>7.99</v>
      </c>
      <c r="N31" s="928">
        <v>7.8</v>
      </c>
      <c r="O31" s="928">
        <v>8.27</v>
      </c>
      <c r="P31" s="928">
        <v>8.5</v>
      </c>
      <c r="Q31" s="1140">
        <f t="shared" si="5"/>
        <v>8.0192857142857132</v>
      </c>
      <c r="R31" s="1141">
        <f t="shared" si="6"/>
        <v>8.5</v>
      </c>
      <c r="S31" s="1141">
        <f t="shared" si="0"/>
        <v>7.9950000000000001</v>
      </c>
    </row>
    <row r="32" spans="1:19">
      <c r="A32" s="262" t="s">
        <v>154</v>
      </c>
      <c r="B32" s="658">
        <v>8.07</v>
      </c>
      <c r="C32" s="658"/>
      <c r="D32" s="658">
        <v>7.93</v>
      </c>
      <c r="E32" s="928">
        <v>8.2200000000000006</v>
      </c>
      <c r="F32" s="928">
        <v>7.89</v>
      </c>
      <c r="G32" s="928">
        <v>7.59</v>
      </c>
      <c r="H32" s="928">
        <v>8.02</v>
      </c>
      <c r="I32" s="928">
        <v>8.0399999999999991</v>
      </c>
      <c r="J32" s="928">
        <v>7.84</v>
      </c>
      <c r="K32" s="928">
        <v>8.07</v>
      </c>
      <c r="L32" s="928">
        <v>7.86</v>
      </c>
      <c r="M32" s="928">
        <v>7.96</v>
      </c>
      <c r="N32" s="928">
        <v>7.79</v>
      </c>
      <c r="O32" s="928">
        <v>8.27</v>
      </c>
      <c r="P32" s="928">
        <v>8.48</v>
      </c>
      <c r="Q32" s="1140">
        <f t="shared" si="5"/>
        <v>8.0021428571428554</v>
      </c>
      <c r="R32" s="1141">
        <f t="shared" si="6"/>
        <v>8.48</v>
      </c>
      <c r="S32" s="1141">
        <f t="shared" si="0"/>
        <v>7.9649999999999999</v>
      </c>
    </row>
    <row r="33" spans="1:19">
      <c r="A33" s="262" t="s">
        <v>155</v>
      </c>
      <c r="B33" s="658">
        <v>8.01</v>
      </c>
      <c r="C33" s="658"/>
      <c r="D33" s="658">
        <v>7.88</v>
      </c>
      <c r="E33" s="928">
        <v>8.1999999999999993</v>
      </c>
      <c r="F33" s="928">
        <v>7.89</v>
      </c>
      <c r="G33" s="928">
        <v>7.68</v>
      </c>
      <c r="H33" s="928">
        <v>8.0299999999999994</v>
      </c>
      <c r="I33" s="928">
        <v>7.98</v>
      </c>
      <c r="J33" s="928">
        <v>7.82</v>
      </c>
      <c r="K33" s="928">
        <v>8</v>
      </c>
      <c r="L33" s="928">
        <v>7.86</v>
      </c>
      <c r="M33" s="928">
        <v>7.93</v>
      </c>
      <c r="N33" s="928">
        <v>7.78</v>
      </c>
      <c r="O33" s="928">
        <v>8.26</v>
      </c>
      <c r="P33" s="928">
        <v>8.41</v>
      </c>
      <c r="Q33" s="1140">
        <f t="shared" si="5"/>
        <v>7.9807142857142859</v>
      </c>
      <c r="R33" s="1141">
        <f t="shared" si="6"/>
        <v>8.41</v>
      </c>
      <c r="S33" s="1141">
        <f t="shared" si="0"/>
        <v>7.9366666666666665</v>
      </c>
    </row>
    <row r="34" spans="1:19">
      <c r="A34" s="262" t="s">
        <v>156</v>
      </c>
      <c r="B34" s="658">
        <v>8.07</v>
      </c>
      <c r="C34" s="658"/>
      <c r="D34" s="658">
        <v>7.85</v>
      </c>
      <c r="E34" s="928">
        <v>8.17</v>
      </c>
      <c r="F34" s="928">
        <v>7.91</v>
      </c>
      <c r="G34" s="928">
        <v>7.68</v>
      </c>
      <c r="H34" s="928">
        <v>7.98</v>
      </c>
      <c r="I34" s="928">
        <v>7.97</v>
      </c>
      <c r="J34" s="928">
        <v>7.8</v>
      </c>
      <c r="K34" s="928">
        <v>7.94</v>
      </c>
      <c r="L34" s="928">
        <v>7.86</v>
      </c>
      <c r="M34" s="928">
        <v>7.88</v>
      </c>
      <c r="N34" s="928">
        <v>7.77</v>
      </c>
      <c r="O34" s="928"/>
      <c r="P34" s="928">
        <v>8.42</v>
      </c>
      <c r="Q34" s="1140">
        <f t="shared" si="5"/>
        <v>7.9461538461538446</v>
      </c>
      <c r="R34" s="1141">
        <f t="shared" si="6"/>
        <v>8.42</v>
      </c>
      <c r="S34" s="1141">
        <f t="shared" si="0"/>
        <v>7.9050000000000011</v>
      </c>
    </row>
    <row r="35" spans="1:19">
      <c r="A35" s="262" t="s">
        <v>157</v>
      </c>
      <c r="B35" s="658">
        <v>8.0500000000000007</v>
      </c>
      <c r="C35" s="658"/>
      <c r="D35" s="658">
        <v>7.84</v>
      </c>
      <c r="E35" s="928"/>
      <c r="F35" s="928">
        <v>7.9</v>
      </c>
      <c r="G35" s="928">
        <v>7.68</v>
      </c>
      <c r="H35" s="928">
        <v>7.97</v>
      </c>
      <c r="I35" s="928">
        <v>7.97</v>
      </c>
      <c r="J35" s="928">
        <v>7.78</v>
      </c>
      <c r="K35" s="928">
        <v>7.89</v>
      </c>
      <c r="L35" s="928"/>
      <c r="M35" s="928">
        <v>7.82</v>
      </c>
      <c r="N35" s="928">
        <v>7.76</v>
      </c>
      <c r="O35" s="928"/>
      <c r="P35" s="928">
        <v>8.39</v>
      </c>
      <c r="Q35" s="1140">
        <f t="shared" si="5"/>
        <v>7.9136363636363649</v>
      </c>
      <c r="R35" s="1141">
        <f t="shared" si="6"/>
        <v>8.39</v>
      </c>
      <c r="S35" s="1141">
        <f t="shared" si="0"/>
        <v>7.8860000000000001</v>
      </c>
    </row>
    <row r="36" spans="1:19">
      <c r="A36" s="262" t="s">
        <v>158</v>
      </c>
      <c r="B36" s="658">
        <v>8</v>
      </c>
      <c r="C36" s="658"/>
      <c r="D36" s="658">
        <v>7.83</v>
      </c>
      <c r="E36" s="928"/>
      <c r="F36" s="928">
        <v>7.89</v>
      </c>
      <c r="G36" s="928">
        <v>7.68</v>
      </c>
      <c r="H36" s="928">
        <v>7.99</v>
      </c>
      <c r="I36" s="928">
        <v>7.93</v>
      </c>
      <c r="J36" s="928"/>
      <c r="K36" s="928">
        <v>7.84</v>
      </c>
      <c r="L36" s="928"/>
      <c r="M36" s="928"/>
      <c r="N36" s="928">
        <v>7.75</v>
      </c>
      <c r="O36" s="928"/>
      <c r="P36" s="928">
        <v>8.35</v>
      </c>
      <c r="Q36" s="1140">
        <f t="shared" si="5"/>
        <v>7.9177777777777765</v>
      </c>
      <c r="R36" s="1141">
        <f t="shared" si="6"/>
        <v>8.35</v>
      </c>
      <c r="S36" s="1141">
        <f t="shared" si="0"/>
        <v>7.919999999999999</v>
      </c>
    </row>
    <row r="37" spans="1:19">
      <c r="A37" s="269" t="s">
        <v>364</v>
      </c>
      <c r="B37" s="658">
        <f>AVERAGE(B25:B28)</f>
        <v>8.2250000000000014</v>
      </c>
      <c r="C37" s="658"/>
      <c r="D37" s="658">
        <f>AVERAGE(D25:D28)</f>
        <v>7.8849999999999998</v>
      </c>
      <c r="E37" s="658">
        <f t="shared" ref="E37:P37" si="7">AVERAGE(E25:E28)</f>
        <v>8.24</v>
      </c>
      <c r="F37" s="658">
        <f t="shared" si="7"/>
        <v>7.9350000000000005</v>
      </c>
      <c r="G37" s="658">
        <f t="shared" si="7"/>
        <v>7.5474999999999994</v>
      </c>
      <c r="H37" s="658">
        <f t="shared" si="7"/>
        <v>8.1050000000000004</v>
      </c>
      <c r="I37" s="658">
        <f t="shared" si="7"/>
        <v>8.2050000000000001</v>
      </c>
      <c r="J37" s="658">
        <f t="shared" si="7"/>
        <v>7.98</v>
      </c>
      <c r="K37" s="658">
        <f t="shared" si="7"/>
        <v>8.2149999999999999</v>
      </c>
      <c r="L37" s="658">
        <f t="shared" si="7"/>
        <v>7.87</v>
      </c>
      <c r="M37" s="658">
        <f t="shared" si="7"/>
        <v>8.11</v>
      </c>
      <c r="N37" s="658">
        <f t="shared" si="7"/>
        <v>7.8274999999999997</v>
      </c>
      <c r="O37" s="658">
        <f t="shared" si="7"/>
        <v>8.3025000000000002</v>
      </c>
      <c r="P37" s="658">
        <f t="shared" si="7"/>
        <v>8.7275000000000009</v>
      </c>
      <c r="Q37" s="658">
        <f>AVERAGE(Q25:Q28)</f>
        <v>8.0839285714285722</v>
      </c>
      <c r="R37" s="658">
        <f>AVERAGE(R25:R28)</f>
        <v>8.7275000000000009</v>
      </c>
      <c r="S37" s="658">
        <f>AVERAGE(S25:S28)</f>
        <v>8.0808333333333326</v>
      </c>
    </row>
    <row r="38" spans="1:19">
      <c r="A38" s="269" t="s">
        <v>365</v>
      </c>
      <c r="B38" s="658">
        <f>AVERAGE(B25:B36)</f>
        <v>8.1191666666666684</v>
      </c>
      <c r="C38" s="658"/>
      <c r="D38" s="658">
        <f t="shared" ref="D38:P38" si="8">AVERAGE(D25:D36)</f>
        <v>7.8841666666666663</v>
      </c>
      <c r="E38" s="658">
        <f t="shared" si="8"/>
        <v>8.2330000000000005</v>
      </c>
      <c r="F38" s="658">
        <f t="shared" si="8"/>
        <v>7.91</v>
      </c>
      <c r="G38" s="658">
        <f t="shared" si="8"/>
        <v>7.6075000000000017</v>
      </c>
      <c r="H38" s="658">
        <f t="shared" si="8"/>
        <v>8.0525000000000002</v>
      </c>
      <c r="I38" s="658">
        <f t="shared" si="8"/>
        <v>8.0908333333333342</v>
      </c>
      <c r="J38" s="658">
        <f t="shared" si="8"/>
        <v>7.8927272727272735</v>
      </c>
      <c r="K38" s="658">
        <f t="shared" si="8"/>
        <v>8.081666666666667</v>
      </c>
      <c r="L38" s="658">
        <f t="shared" si="8"/>
        <v>7.867</v>
      </c>
      <c r="M38" s="658">
        <f t="shared" si="8"/>
        <v>8.0109090909090881</v>
      </c>
      <c r="N38" s="658">
        <f t="shared" si="8"/>
        <v>7.7974999999999994</v>
      </c>
      <c r="O38" s="658">
        <f t="shared" si="8"/>
        <v>8.2866666666666671</v>
      </c>
      <c r="P38" s="658">
        <f t="shared" si="8"/>
        <v>8.5549999999999997</v>
      </c>
      <c r="Q38" s="658">
        <f>AVERAGE(Q25:Q36)</f>
        <v>8.0177139989640001</v>
      </c>
      <c r="R38" s="658">
        <f>AVERAGE(R25:R36)</f>
        <v>8.5549999999999997</v>
      </c>
      <c r="S38" s="658">
        <f>AVERAGE(S25:S36)</f>
        <v>7.9993888888888884</v>
      </c>
    </row>
    <row r="39" spans="1:19" ht="15.5">
      <c r="A39" s="1450" t="s">
        <v>351</v>
      </c>
      <c r="B39" s="1451"/>
      <c r="C39" s="1451"/>
      <c r="D39" s="1451"/>
      <c r="E39" s="1451"/>
      <c r="F39" s="1451"/>
      <c r="G39" s="1451"/>
      <c r="H39" s="1451"/>
      <c r="I39" s="1451"/>
      <c r="J39" s="1451"/>
      <c r="K39" s="1451"/>
      <c r="L39" s="1451"/>
      <c r="M39" s="1451"/>
      <c r="N39" s="1451"/>
      <c r="O39" s="1451"/>
      <c r="P39" s="1451"/>
      <c r="Q39" s="1451"/>
      <c r="R39" s="1451"/>
      <c r="S39" s="1452"/>
    </row>
    <row r="40" spans="1:19">
      <c r="A40" s="262" t="s">
        <v>270</v>
      </c>
      <c r="B40" s="658">
        <v>8.07</v>
      </c>
      <c r="C40" s="658"/>
      <c r="D40" s="658">
        <v>7.91</v>
      </c>
      <c r="E40" s="928">
        <v>8.1999999999999993</v>
      </c>
      <c r="F40" s="928">
        <v>7.88</v>
      </c>
      <c r="G40" s="928">
        <v>7.5</v>
      </c>
      <c r="H40" s="928">
        <v>7.98</v>
      </c>
      <c r="I40" s="928">
        <v>8.33</v>
      </c>
      <c r="J40" s="928">
        <v>7.81</v>
      </c>
      <c r="K40" s="928">
        <v>8.2100000000000009</v>
      </c>
      <c r="L40" s="928">
        <v>7.88</v>
      </c>
      <c r="M40" s="928">
        <v>7.97</v>
      </c>
      <c r="N40" s="928">
        <v>7.75</v>
      </c>
      <c r="O40" s="928">
        <v>8.25</v>
      </c>
      <c r="P40" s="928">
        <v>8.51</v>
      </c>
      <c r="Q40" s="1140">
        <f t="shared" ref="Q40:Q51" si="9">AVERAGE(B40:P40)</f>
        <v>8.0178571428571441</v>
      </c>
      <c r="R40" s="1141">
        <f t="shared" ref="R40:R51" si="10">MAX(B40:P40)</f>
        <v>8.51</v>
      </c>
      <c r="S40" s="1141">
        <f t="shared" si="0"/>
        <v>8.0299999999999994</v>
      </c>
    </row>
    <row r="41" spans="1:19">
      <c r="A41" s="262" t="s">
        <v>151</v>
      </c>
      <c r="B41" s="658">
        <v>8.0399999999999991</v>
      </c>
      <c r="C41" s="658"/>
      <c r="D41" s="658">
        <v>7.9</v>
      </c>
      <c r="E41" s="928">
        <v>8.1999999999999993</v>
      </c>
      <c r="F41" s="928">
        <v>7.86</v>
      </c>
      <c r="G41" s="928">
        <v>7.51</v>
      </c>
      <c r="H41" s="928">
        <v>7.99</v>
      </c>
      <c r="I41" s="928">
        <v>8.36</v>
      </c>
      <c r="J41" s="928">
        <v>7.82</v>
      </c>
      <c r="K41" s="928">
        <v>8.27</v>
      </c>
      <c r="L41" s="928">
        <v>7.86</v>
      </c>
      <c r="M41" s="928">
        <v>8.01</v>
      </c>
      <c r="N41" s="928">
        <v>7.74</v>
      </c>
      <c r="O41" s="928">
        <v>8.24</v>
      </c>
      <c r="P41" s="928">
        <v>8.48</v>
      </c>
      <c r="Q41" s="1140">
        <f t="shared" si="9"/>
        <v>8.02</v>
      </c>
      <c r="R41" s="1141">
        <f t="shared" si="10"/>
        <v>8.48</v>
      </c>
      <c r="S41" s="1141">
        <f t="shared" si="0"/>
        <v>8.0516666666666659</v>
      </c>
    </row>
    <row r="42" spans="1:19">
      <c r="A42" s="262" t="s">
        <v>271</v>
      </c>
      <c r="B42" s="658">
        <v>8.09</v>
      </c>
      <c r="C42" s="658"/>
      <c r="D42" s="658">
        <v>7.92</v>
      </c>
      <c r="E42" s="928">
        <v>8.2100000000000009</v>
      </c>
      <c r="F42" s="928">
        <v>7.83</v>
      </c>
      <c r="G42" s="928">
        <v>7.55</v>
      </c>
      <c r="H42" s="928">
        <v>7.99</v>
      </c>
      <c r="I42" s="928">
        <v>8.2100000000000009</v>
      </c>
      <c r="J42" s="928">
        <v>7.83</v>
      </c>
      <c r="K42" s="928">
        <v>8.26</v>
      </c>
      <c r="L42" s="928">
        <v>7.88</v>
      </c>
      <c r="M42" s="928">
        <v>8.01</v>
      </c>
      <c r="N42" s="928">
        <v>7.74</v>
      </c>
      <c r="O42" s="928">
        <v>8.24</v>
      </c>
      <c r="P42" s="928">
        <v>8.44</v>
      </c>
      <c r="Q42" s="1140">
        <f t="shared" si="9"/>
        <v>8.0142857142857142</v>
      </c>
      <c r="R42" s="1141">
        <f t="shared" si="10"/>
        <v>8.44</v>
      </c>
      <c r="S42" s="1141">
        <f t="shared" si="0"/>
        <v>8.0299999999999994</v>
      </c>
    </row>
    <row r="43" spans="1:19">
      <c r="A43" s="262" t="s">
        <v>152</v>
      </c>
      <c r="B43" s="658">
        <v>8.09</v>
      </c>
      <c r="C43" s="658"/>
      <c r="D43" s="658">
        <v>7.92</v>
      </c>
      <c r="E43" s="928">
        <v>8.2100000000000009</v>
      </c>
      <c r="F43" s="928">
        <v>7.84</v>
      </c>
      <c r="G43" s="928">
        <v>7.56</v>
      </c>
      <c r="H43" s="928">
        <v>8</v>
      </c>
      <c r="I43" s="928">
        <v>8.26</v>
      </c>
      <c r="J43" s="928">
        <v>7.8</v>
      </c>
      <c r="K43" s="928">
        <v>8.17</v>
      </c>
      <c r="L43" s="928">
        <v>7.84</v>
      </c>
      <c r="M43" s="928">
        <v>7.99</v>
      </c>
      <c r="N43" s="928">
        <v>7.73</v>
      </c>
      <c r="O43" s="928">
        <v>8.1999999999999993</v>
      </c>
      <c r="P43" s="928">
        <v>8.39</v>
      </c>
      <c r="Q43" s="1140">
        <f t="shared" si="9"/>
        <v>8</v>
      </c>
      <c r="R43" s="1141">
        <f t="shared" si="10"/>
        <v>8.39</v>
      </c>
      <c r="S43" s="1141">
        <f t="shared" si="0"/>
        <v>8.01</v>
      </c>
    </row>
    <row r="44" spans="1:19">
      <c r="A44" s="262" t="s">
        <v>272</v>
      </c>
      <c r="B44" s="658">
        <v>8.08</v>
      </c>
      <c r="C44" s="658"/>
      <c r="D44" s="658">
        <v>7.93</v>
      </c>
      <c r="E44" s="928">
        <v>8.1999999999999993</v>
      </c>
      <c r="F44" s="928">
        <v>7.82</v>
      </c>
      <c r="G44" s="928">
        <v>7.54</v>
      </c>
      <c r="H44" s="928">
        <v>8.02</v>
      </c>
      <c r="I44" s="928">
        <v>8.2200000000000006</v>
      </c>
      <c r="J44" s="928">
        <v>7.78</v>
      </c>
      <c r="K44" s="928">
        <v>8.1199999999999992</v>
      </c>
      <c r="L44" s="928">
        <v>7.84</v>
      </c>
      <c r="M44" s="928">
        <v>7.95</v>
      </c>
      <c r="N44" s="928">
        <v>7.73</v>
      </c>
      <c r="O44" s="928">
        <v>8.2100000000000009</v>
      </c>
      <c r="P44" s="928">
        <v>8.36</v>
      </c>
      <c r="Q44" s="1140">
        <f t="shared" si="9"/>
        <v>7.9857142857142875</v>
      </c>
      <c r="R44" s="1141">
        <f t="shared" si="10"/>
        <v>8.36</v>
      </c>
      <c r="S44" s="1141">
        <f t="shared" si="0"/>
        <v>7.9883333333333342</v>
      </c>
    </row>
    <row r="45" spans="1:19">
      <c r="A45" s="262" t="s">
        <v>153</v>
      </c>
      <c r="B45" s="658">
        <v>8.07</v>
      </c>
      <c r="C45" s="658"/>
      <c r="D45" s="658">
        <v>7.92</v>
      </c>
      <c r="E45" s="928">
        <v>8.1999999999999993</v>
      </c>
      <c r="F45" s="928">
        <v>7.82</v>
      </c>
      <c r="G45" s="928">
        <v>7.46</v>
      </c>
      <c r="H45" s="928">
        <v>8.01</v>
      </c>
      <c r="I45" s="928">
        <v>8.19</v>
      </c>
      <c r="J45" s="928">
        <v>7.77</v>
      </c>
      <c r="K45" s="928">
        <v>8.09</v>
      </c>
      <c r="L45" s="928">
        <v>7.84</v>
      </c>
      <c r="M45" s="928">
        <v>7.93</v>
      </c>
      <c r="N45" s="928">
        <v>7.72</v>
      </c>
      <c r="O45" s="928">
        <v>8.1999999999999993</v>
      </c>
      <c r="P45" s="928">
        <v>8.35</v>
      </c>
      <c r="Q45" s="1140">
        <f t="shared" si="9"/>
        <v>7.9692857142857152</v>
      </c>
      <c r="R45" s="1141">
        <f t="shared" si="10"/>
        <v>8.35</v>
      </c>
      <c r="S45" s="1141">
        <f t="shared" si="0"/>
        <v>7.9716666666666676</v>
      </c>
    </row>
    <row r="46" spans="1:19">
      <c r="A46" s="262" t="s">
        <v>273</v>
      </c>
      <c r="B46" s="658">
        <v>8.0399999999999991</v>
      </c>
      <c r="C46" s="658"/>
      <c r="D46" s="658">
        <v>7.91</v>
      </c>
      <c r="E46" s="928">
        <v>8.19</v>
      </c>
      <c r="F46" s="928">
        <v>7.81</v>
      </c>
      <c r="G46" s="928">
        <v>7.55</v>
      </c>
      <c r="H46" s="928">
        <v>8</v>
      </c>
      <c r="I46" s="928">
        <v>8.15</v>
      </c>
      <c r="J46" s="928">
        <v>7.76</v>
      </c>
      <c r="K46" s="928">
        <v>8.01</v>
      </c>
      <c r="L46" s="928">
        <v>7.83</v>
      </c>
      <c r="M46" s="928">
        <v>7.9</v>
      </c>
      <c r="N46" s="928">
        <v>7.72</v>
      </c>
      <c r="O46" s="928">
        <v>8.1999999999999993</v>
      </c>
      <c r="P46" s="928">
        <v>8.33</v>
      </c>
      <c r="Q46" s="1140">
        <f t="shared" si="9"/>
        <v>7.9571428571428573</v>
      </c>
      <c r="R46" s="1141">
        <f t="shared" si="10"/>
        <v>8.33</v>
      </c>
      <c r="S46" s="1141">
        <f t="shared" si="0"/>
        <v>7.9416666666666655</v>
      </c>
    </row>
    <row r="47" spans="1:19">
      <c r="A47" s="262" t="s">
        <v>154</v>
      </c>
      <c r="B47" s="658">
        <v>8.01</v>
      </c>
      <c r="C47" s="658"/>
      <c r="D47" s="658">
        <v>7.89</v>
      </c>
      <c r="E47" s="928">
        <v>8.18</v>
      </c>
      <c r="F47" s="928">
        <v>7.8</v>
      </c>
      <c r="G47" s="928">
        <v>7.56</v>
      </c>
      <c r="H47" s="928">
        <v>8</v>
      </c>
      <c r="I47" s="928">
        <v>8.1</v>
      </c>
      <c r="J47" s="928">
        <v>7.75</v>
      </c>
      <c r="K47" s="928">
        <v>7.97</v>
      </c>
      <c r="L47" s="928">
        <v>7.83</v>
      </c>
      <c r="M47" s="928">
        <v>7.86</v>
      </c>
      <c r="N47" s="928">
        <v>7.71</v>
      </c>
      <c r="O47" s="928">
        <v>8.1999999999999993</v>
      </c>
      <c r="P47" s="928">
        <v>8.3699999999999992</v>
      </c>
      <c r="Q47" s="1140">
        <f t="shared" si="9"/>
        <v>7.9450000000000003</v>
      </c>
      <c r="R47" s="1141">
        <f t="shared" si="10"/>
        <v>8.3699999999999992</v>
      </c>
      <c r="S47" s="1141">
        <f t="shared" si="0"/>
        <v>7.918333333333333</v>
      </c>
    </row>
    <row r="48" spans="1:19" s="710" customFormat="1">
      <c r="A48" s="409" t="s">
        <v>155</v>
      </c>
      <c r="B48" s="658">
        <v>7.97</v>
      </c>
      <c r="C48" s="658"/>
      <c r="D48" s="658">
        <v>7.85</v>
      </c>
      <c r="E48" s="928">
        <v>8.14</v>
      </c>
      <c r="F48" s="928">
        <v>7.81</v>
      </c>
      <c r="G48" s="928">
        <v>7.56</v>
      </c>
      <c r="H48" s="928">
        <v>7.96</v>
      </c>
      <c r="I48" s="928">
        <v>8.0399999999999991</v>
      </c>
      <c r="J48" s="928">
        <v>7.73</v>
      </c>
      <c r="K48" s="928">
        <v>7.92</v>
      </c>
      <c r="L48" s="928">
        <v>7.83</v>
      </c>
      <c r="M48" s="928">
        <v>7.82</v>
      </c>
      <c r="N48" s="928">
        <v>7.71</v>
      </c>
      <c r="O48" s="928">
        <v>8.1999999999999993</v>
      </c>
      <c r="P48" s="928">
        <v>8.31</v>
      </c>
      <c r="Q48" s="1140">
        <f t="shared" si="9"/>
        <v>7.9178571428571427</v>
      </c>
      <c r="R48" s="1141">
        <f t="shared" si="10"/>
        <v>8.31</v>
      </c>
      <c r="S48" s="1141">
        <f t="shared" si="0"/>
        <v>7.8833333333333329</v>
      </c>
    </row>
    <row r="49" spans="1:19" s="710" customFormat="1">
      <c r="A49" s="409" t="s">
        <v>156</v>
      </c>
      <c r="B49" s="658">
        <v>7.94</v>
      </c>
      <c r="C49" s="658"/>
      <c r="D49" s="658"/>
      <c r="E49" s="928"/>
      <c r="F49" s="928">
        <v>7.81</v>
      </c>
      <c r="G49" s="928">
        <v>7.56</v>
      </c>
      <c r="H49" s="928">
        <v>7.96</v>
      </c>
      <c r="I49" s="928">
        <v>8.06</v>
      </c>
      <c r="J49" s="928"/>
      <c r="K49" s="928"/>
      <c r="L49" s="928"/>
      <c r="M49" s="928"/>
      <c r="N49" s="928">
        <v>7.66</v>
      </c>
      <c r="O49" s="928"/>
      <c r="P49" s="928"/>
      <c r="Q49" s="1140">
        <f t="shared" si="9"/>
        <v>7.8316666666666661</v>
      </c>
      <c r="R49" s="1141">
        <f t="shared" si="10"/>
        <v>8.06</v>
      </c>
      <c r="S49" s="1141">
        <f t="shared" si="0"/>
        <v>8.01</v>
      </c>
    </row>
    <row r="50" spans="1:19" s="710" customFormat="1">
      <c r="A50" s="262" t="s">
        <v>157</v>
      </c>
      <c r="B50" s="658">
        <v>7.88</v>
      </c>
      <c r="C50" s="658"/>
      <c r="D50" s="658"/>
      <c r="E50" s="928"/>
      <c r="F50" s="928">
        <v>7.81</v>
      </c>
      <c r="G50" s="928">
        <v>7.56</v>
      </c>
      <c r="H50" s="928">
        <v>7.94</v>
      </c>
      <c r="I50" s="928">
        <v>8.02</v>
      </c>
      <c r="J50" s="928"/>
      <c r="K50" s="928"/>
      <c r="L50" s="928"/>
      <c r="M50" s="928"/>
      <c r="N50" s="928"/>
      <c r="O50" s="928"/>
      <c r="P50" s="928"/>
      <c r="Q50" s="1140">
        <f t="shared" si="9"/>
        <v>7.8420000000000005</v>
      </c>
      <c r="R50" s="1141">
        <f t="shared" si="10"/>
        <v>8.02</v>
      </c>
      <c r="S50" s="1141">
        <f t="shared" si="0"/>
        <v>7.98</v>
      </c>
    </row>
    <row r="51" spans="1:19">
      <c r="A51" s="1148" t="s">
        <v>158</v>
      </c>
      <c r="B51" s="962"/>
      <c r="C51" s="962"/>
      <c r="D51" s="962"/>
      <c r="E51" s="962"/>
      <c r="F51" s="962"/>
      <c r="G51" s="962"/>
      <c r="H51" s="1149">
        <v>7.93</v>
      </c>
      <c r="I51" s="928">
        <v>7.97</v>
      </c>
      <c r="J51" s="928"/>
      <c r="K51" s="928"/>
      <c r="L51" s="928"/>
      <c r="M51" s="928"/>
      <c r="N51" s="928"/>
      <c r="O51" s="928"/>
      <c r="P51" s="928"/>
      <c r="Q51" s="1140">
        <f t="shared" si="9"/>
        <v>7.9499999999999993</v>
      </c>
      <c r="R51" s="1141">
        <f t="shared" si="10"/>
        <v>7.97</v>
      </c>
      <c r="S51" s="1141">
        <f t="shared" si="0"/>
        <v>7.9499999999999993</v>
      </c>
    </row>
    <row r="52" spans="1:19">
      <c r="A52" s="269" t="s">
        <v>364</v>
      </c>
      <c r="B52" s="658">
        <f>AVERAGE(B40:B43)</f>
        <v>8.0724999999999998</v>
      </c>
      <c r="C52" s="658"/>
      <c r="D52" s="658">
        <f>AVERAGE(D40:D43)</f>
        <v>7.9124999999999996</v>
      </c>
      <c r="E52" s="658">
        <f t="shared" ref="E52:P52" si="11">AVERAGE(E40:E43)</f>
        <v>8.2050000000000001</v>
      </c>
      <c r="F52" s="658">
        <f t="shared" si="11"/>
        <v>7.8525</v>
      </c>
      <c r="G52" s="658">
        <f t="shared" si="11"/>
        <v>7.5299999999999994</v>
      </c>
      <c r="H52" s="658">
        <f t="shared" si="11"/>
        <v>7.99</v>
      </c>
      <c r="I52" s="658">
        <f t="shared" si="11"/>
        <v>8.2899999999999991</v>
      </c>
      <c r="J52" s="658">
        <f t="shared" si="11"/>
        <v>7.8150000000000004</v>
      </c>
      <c r="K52" s="658">
        <f t="shared" si="11"/>
        <v>8.2275000000000009</v>
      </c>
      <c r="L52" s="658">
        <f t="shared" si="11"/>
        <v>7.8650000000000002</v>
      </c>
      <c r="M52" s="658">
        <f t="shared" si="11"/>
        <v>7.995000000000001</v>
      </c>
      <c r="N52" s="658">
        <f t="shared" si="11"/>
        <v>7.74</v>
      </c>
      <c r="O52" s="658">
        <f t="shared" si="11"/>
        <v>8.2325000000000017</v>
      </c>
      <c r="P52" s="658">
        <f t="shared" si="11"/>
        <v>8.4550000000000001</v>
      </c>
      <c r="Q52" s="658">
        <f>AVERAGE(Q40:Q43)</f>
        <v>8.0130357142857136</v>
      </c>
      <c r="R52" s="658">
        <f>AVERAGE(R40:R43)</f>
        <v>8.4550000000000001</v>
      </c>
      <c r="S52" s="658">
        <f>AVERAGE(S40:S43)</f>
        <v>8.0304166666666656</v>
      </c>
    </row>
    <row r="53" spans="1:19">
      <c r="A53" s="262" t="s">
        <v>362</v>
      </c>
      <c r="B53" s="658">
        <f>AVERAGE(B40:B51)</f>
        <v>8.0254545454545436</v>
      </c>
      <c r="C53" s="658"/>
      <c r="D53" s="658">
        <f>AVERAGE(D40:D51)</f>
        <v>7.905555555555555</v>
      </c>
      <c r="E53" s="658">
        <f t="shared" ref="E53:P53" si="12">AVERAGE(E40:E51)</f>
        <v>8.1922222222222221</v>
      </c>
      <c r="F53" s="658">
        <f t="shared" si="12"/>
        <v>7.8263636363636371</v>
      </c>
      <c r="G53" s="658">
        <f t="shared" si="12"/>
        <v>7.5372727272727271</v>
      </c>
      <c r="H53" s="658">
        <f t="shared" si="12"/>
        <v>7.9816666666666665</v>
      </c>
      <c r="I53" s="658">
        <f t="shared" si="12"/>
        <v>8.1591666666666658</v>
      </c>
      <c r="J53" s="658">
        <f t="shared" si="12"/>
        <v>7.7833333333333332</v>
      </c>
      <c r="K53" s="658">
        <f t="shared" si="12"/>
        <v>8.1133333333333351</v>
      </c>
      <c r="L53" s="658">
        <f t="shared" si="12"/>
        <v>7.8477777777777771</v>
      </c>
      <c r="M53" s="658">
        <f t="shared" si="12"/>
        <v>7.9377777777777778</v>
      </c>
      <c r="N53" s="658">
        <f t="shared" si="12"/>
        <v>7.7209999999999992</v>
      </c>
      <c r="O53" s="658">
        <f t="shared" si="12"/>
        <v>8.2155555555555573</v>
      </c>
      <c r="P53" s="658">
        <f t="shared" si="12"/>
        <v>8.3933333333333344</v>
      </c>
      <c r="Q53" s="658">
        <f>AVERAGE(Q40:Q51)</f>
        <v>7.9542341269841268</v>
      </c>
      <c r="R53" s="658">
        <f>AVERAGE(R40:R51)</f>
        <v>8.2991666666666664</v>
      </c>
      <c r="S53" s="658">
        <f>AVERAGE(S40:S51)</f>
        <v>7.9804166666666667</v>
      </c>
    </row>
    <row r="54" spans="1:19" ht="15.5">
      <c r="A54" s="1450" t="s">
        <v>352</v>
      </c>
      <c r="B54" s="1451"/>
      <c r="C54" s="1451"/>
      <c r="D54" s="1451"/>
      <c r="E54" s="1451"/>
      <c r="F54" s="1451"/>
      <c r="G54" s="1451"/>
      <c r="H54" s="145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2"/>
    </row>
    <row r="55" spans="1:19">
      <c r="A55" s="262" t="s">
        <v>270</v>
      </c>
      <c r="B55" s="658">
        <v>8.6199999999999992</v>
      </c>
      <c r="C55" s="658"/>
      <c r="D55" s="658">
        <v>7.91</v>
      </c>
      <c r="E55" s="928">
        <v>8.1300000000000008</v>
      </c>
      <c r="F55" s="928">
        <v>7.78</v>
      </c>
      <c r="G55" s="928">
        <v>7.48</v>
      </c>
      <c r="H55" s="928">
        <v>7.96</v>
      </c>
      <c r="I55" s="928">
        <v>8.2100000000000009</v>
      </c>
      <c r="J55" s="928">
        <v>7.89</v>
      </c>
      <c r="K55" s="928">
        <v>8.1199999999999992</v>
      </c>
      <c r="L55" s="928">
        <v>7.79</v>
      </c>
      <c r="M55" s="928">
        <v>7.99</v>
      </c>
      <c r="N55" s="928">
        <v>7.72</v>
      </c>
      <c r="O55" s="928">
        <v>8.19</v>
      </c>
      <c r="P55" s="928">
        <v>8.31</v>
      </c>
      <c r="Q55" s="1140">
        <f t="shared" ref="Q55:Q63" si="13">AVERAGE(B55:P55)</f>
        <v>8.007142857142858</v>
      </c>
      <c r="R55" s="1141">
        <f t="shared" ref="R55:R63" si="14">MAX(B55:P55)</f>
        <v>8.6199999999999992</v>
      </c>
      <c r="S55" s="1141">
        <f t="shared" si="0"/>
        <v>7.9933333333333332</v>
      </c>
    </row>
    <row r="56" spans="1:19">
      <c r="A56" s="262" t="s">
        <v>151</v>
      </c>
      <c r="B56" s="658">
        <v>8.6300000000000008</v>
      </c>
      <c r="C56" s="658"/>
      <c r="D56" s="658">
        <v>7.9</v>
      </c>
      <c r="E56" s="928">
        <v>8.1199999999999992</v>
      </c>
      <c r="F56" s="928">
        <v>7.8</v>
      </c>
      <c r="G56" s="928">
        <v>7.48</v>
      </c>
      <c r="H56" s="928">
        <v>7.97</v>
      </c>
      <c r="I56" s="928">
        <v>8.23</v>
      </c>
      <c r="J56" s="928">
        <v>7.94</v>
      </c>
      <c r="K56" s="928">
        <v>8.14</v>
      </c>
      <c r="L56" s="928">
        <v>7.78</v>
      </c>
      <c r="M56" s="928">
        <v>8.0500000000000007</v>
      </c>
      <c r="N56" s="928">
        <v>7.72</v>
      </c>
      <c r="O56" s="928">
        <v>8.18</v>
      </c>
      <c r="P56" s="928">
        <v>8.33</v>
      </c>
      <c r="Q56" s="1140">
        <f t="shared" si="13"/>
        <v>8.0192857142857132</v>
      </c>
      <c r="R56" s="1141">
        <f t="shared" si="14"/>
        <v>8.6300000000000008</v>
      </c>
      <c r="S56" s="1141">
        <f t="shared" si="0"/>
        <v>8.0183333333333326</v>
      </c>
    </row>
    <row r="57" spans="1:19">
      <c r="A57" s="262" t="s">
        <v>271</v>
      </c>
      <c r="B57" s="658">
        <v>8.56</v>
      </c>
      <c r="C57" s="658"/>
      <c r="D57" s="658">
        <v>7.91</v>
      </c>
      <c r="E57" s="928">
        <v>8.1</v>
      </c>
      <c r="F57" s="928">
        <v>7.79</v>
      </c>
      <c r="G57" s="928">
        <v>7.49</v>
      </c>
      <c r="H57" s="928">
        <v>7.96</v>
      </c>
      <c r="I57" s="928">
        <v>8.23</v>
      </c>
      <c r="J57" s="928">
        <v>7.96</v>
      </c>
      <c r="K57" s="928">
        <v>8.16</v>
      </c>
      <c r="L57" s="928">
        <v>7.78</v>
      </c>
      <c r="M57" s="928">
        <v>8.06</v>
      </c>
      <c r="N57" s="928">
        <v>7.71</v>
      </c>
      <c r="O57" s="928">
        <v>8.18</v>
      </c>
      <c r="P57" s="928">
        <v>8.34</v>
      </c>
      <c r="Q57" s="1140">
        <f t="shared" si="13"/>
        <v>8.0164285714285715</v>
      </c>
      <c r="R57" s="1141">
        <f t="shared" si="14"/>
        <v>8.56</v>
      </c>
      <c r="S57" s="1141">
        <f t="shared" si="0"/>
        <v>8.0250000000000004</v>
      </c>
    </row>
    <row r="58" spans="1:19">
      <c r="A58" s="262" t="s">
        <v>152</v>
      </c>
      <c r="B58" s="658">
        <v>8.42</v>
      </c>
      <c r="C58" s="658"/>
      <c r="D58" s="658">
        <v>7.91</v>
      </c>
      <c r="E58" s="928">
        <v>8.14</v>
      </c>
      <c r="F58" s="928">
        <v>7.77</v>
      </c>
      <c r="G58" s="928">
        <v>7.49</v>
      </c>
      <c r="H58" s="928">
        <v>7.96</v>
      </c>
      <c r="I58" s="928">
        <v>8.1</v>
      </c>
      <c r="J58" s="928">
        <v>7.94</v>
      </c>
      <c r="K58" s="928">
        <v>8.1300000000000008</v>
      </c>
      <c r="L58" s="928">
        <v>7.77</v>
      </c>
      <c r="M58" s="928">
        <v>8.08</v>
      </c>
      <c r="N58" s="928">
        <v>7.7</v>
      </c>
      <c r="O58" s="928">
        <v>8.17</v>
      </c>
      <c r="P58" s="928">
        <v>8.2899999999999991</v>
      </c>
      <c r="Q58" s="1140">
        <f t="shared" si="13"/>
        <v>7.9907142857142857</v>
      </c>
      <c r="R58" s="1141">
        <f t="shared" si="14"/>
        <v>8.42</v>
      </c>
      <c r="S58" s="1141">
        <f t="shared" si="0"/>
        <v>7.996666666666667</v>
      </c>
    </row>
    <row r="59" spans="1:19">
      <c r="A59" s="262" t="s">
        <v>272</v>
      </c>
      <c r="B59" s="658">
        <v>8.32</v>
      </c>
      <c r="C59" s="658"/>
      <c r="D59" s="658">
        <v>7.91</v>
      </c>
      <c r="E59" s="928">
        <v>8.1300000000000008</v>
      </c>
      <c r="F59" s="928">
        <v>7.78</v>
      </c>
      <c r="G59" s="928">
        <v>7.48</v>
      </c>
      <c r="H59" s="928">
        <v>7.96</v>
      </c>
      <c r="I59" s="928">
        <v>8.0399999999999991</v>
      </c>
      <c r="J59" s="928">
        <v>7.89</v>
      </c>
      <c r="K59" s="928">
        <v>8.02</v>
      </c>
      <c r="L59" s="928">
        <v>7.76</v>
      </c>
      <c r="M59" s="928">
        <v>8.09</v>
      </c>
      <c r="N59" s="928">
        <v>7.69</v>
      </c>
      <c r="O59" s="928">
        <v>8.16</v>
      </c>
      <c r="P59" s="928">
        <v>8.27</v>
      </c>
      <c r="Q59" s="1140">
        <f t="shared" si="13"/>
        <v>7.9642857142857144</v>
      </c>
      <c r="R59" s="1141">
        <f t="shared" si="14"/>
        <v>8.32</v>
      </c>
      <c r="S59" s="1141">
        <f t="shared" si="0"/>
        <v>7.9600000000000009</v>
      </c>
    </row>
    <row r="60" spans="1:19">
      <c r="A60" s="262" t="s">
        <v>153</v>
      </c>
      <c r="B60" s="658"/>
      <c r="C60" s="658"/>
      <c r="D60" s="658"/>
      <c r="E60" s="928">
        <v>8.1300000000000008</v>
      </c>
      <c r="F60" s="928">
        <v>7.79</v>
      </c>
      <c r="G60" s="928">
        <v>7.47</v>
      </c>
      <c r="H60" s="928">
        <v>7.92</v>
      </c>
      <c r="I60" s="928">
        <v>7.96</v>
      </c>
      <c r="J60" s="928">
        <v>7.87</v>
      </c>
      <c r="K60" s="928">
        <v>8.02</v>
      </c>
      <c r="L60" s="928"/>
      <c r="M60" s="928">
        <v>8.1</v>
      </c>
      <c r="N60" s="928">
        <v>7.69</v>
      </c>
      <c r="O60" s="928">
        <v>8.16</v>
      </c>
      <c r="P60" s="928">
        <v>8.26</v>
      </c>
      <c r="Q60" s="1140">
        <f t="shared" si="13"/>
        <v>7.9427272727272733</v>
      </c>
      <c r="R60" s="1141">
        <f t="shared" si="14"/>
        <v>8.26</v>
      </c>
      <c r="S60" s="1141">
        <f t="shared" si="0"/>
        <v>7.9739999999999993</v>
      </c>
    </row>
    <row r="61" spans="1:19">
      <c r="A61" s="262" t="s">
        <v>273</v>
      </c>
      <c r="B61" s="658"/>
      <c r="C61" s="658"/>
      <c r="D61" s="658"/>
      <c r="E61" s="928">
        <v>8.1300000000000008</v>
      </c>
      <c r="F61" s="928">
        <v>7.78</v>
      </c>
      <c r="G61" s="928">
        <v>7.53</v>
      </c>
      <c r="H61" s="928">
        <v>8</v>
      </c>
      <c r="I61" s="928">
        <v>7.88</v>
      </c>
      <c r="J61" s="928">
        <v>7.85</v>
      </c>
      <c r="K61" s="928">
        <v>8.01</v>
      </c>
      <c r="L61" s="928"/>
      <c r="M61" s="928"/>
      <c r="N61" s="928">
        <v>7.68</v>
      </c>
      <c r="O61" s="928"/>
      <c r="P61" s="928"/>
      <c r="Q61" s="1140">
        <f t="shared" si="13"/>
        <v>7.8574999999999999</v>
      </c>
      <c r="R61" s="1141">
        <f t="shared" si="14"/>
        <v>8.1300000000000008</v>
      </c>
      <c r="S61" s="1141">
        <f t="shared" si="0"/>
        <v>7.9349999999999987</v>
      </c>
    </row>
    <row r="62" spans="1:19" s="710" customFormat="1">
      <c r="A62" s="409" t="s">
        <v>154</v>
      </c>
      <c r="B62" s="658"/>
      <c r="C62" s="658"/>
      <c r="D62" s="658"/>
      <c r="E62" s="928">
        <v>8.1199999999999992</v>
      </c>
      <c r="F62" s="928">
        <v>7.82</v>
      </c>
      <c r="G62" s="928">
        <v>7.5</v>
      </c>
      <c r="H62" s="928">
        <v>7.97</v>
      </c>
      <c r="I62" s="928">
        <v>7.87</v>
      </c>
      <c r="J62" s="928">
        <v>7.83</v>
      </c>
      <c r="K62" s="928"/>
      <c r="L62" s="928"/>
      <c r="M62" s="928"/>
      <c r="N62" s="928"/>
      <c r="O62" s="928"/>
      <c r="P62" s="928"/>
      <c r="Q62" s="1140">
        <f t="shared" si="13"/>
        <v>7.8516666666666657</v>
      </c>
      <c r="R62" s="1141">
        <f t="shared" si="14"/>
        <v>8.1199999999999992</v>
      </c>
      <c r="S62" s="1141">
        <f t="shared" si="0"/>
        <v>7.8900000000000006</v>
      </c>
    </row>
    <row r="63" spans="1:19">
      <c r="A63" s="262" t="s">
        <v>155</v>
      </c>
      <c r="B63" s="658"/>
      <c r="C63" s="658"/>
      <c r="D63" s="658"/>
      <c r="E63" s="928"/>
      <c r="F63" s="928">
        <v>7.8</v>
      </c>
      <c r="G63" s="928">
        <v>7.61</v>
      </c>
      <c r="H63" s="928">
        <v>7.95</v>
      </c>
      <c r="I63" s="928">
        <v>7.84</v>
      </c>
      <c r="J63" s="928"/>
      <c r="K63" s="928"/>
      <c r="L63" s="928"/>
      <c r="M63" s="928"/>
      <c r="N63" s="928"/>
      <c r="O63" s="928"/>
      <c r="P63" s="928"/>
      <c r="Q63" s="1140">
        <f t="shared" si="13"/>
        <v>7.8</v>
      </c>
      <c r="R63" s="1141">
        <f t="shared" si="14"/>
        <v>7.95</v>
      </c>
      <c r="S63" s="1141">
        <f t="shared" si="0"/>
        <v>7.8949999999999996</v>
      </c>
    </row>
    <row r="64" spans="1:19" s="710" customFormat="1">
      <c r="A64" s="409" t="s">
        <v>156</v>
      </c>
      <c r="B64" s="658"/>
      <c r="C64" s="658"/>
      <c r="D64" s="658"/>
      <c r="E64" s="928"/>
      <c r="F64" s="928"/>
      <c r="G64" s="928"/>
      <c r="H64" s="928">
        <v>7.8</v>
      </c>
      <c r="I64" s="928">
        <v>7.7</v>
      </c>
      <c r="J64" s="928"/>
      <c r="K64" s="928"/>
      <c r="L64" s="928"/>
      <c r="M64" s="928"/>
      <c r="N64" s="928"/>
      <c r="O64" s="928"/>
      <c r="P64" s="928"/>
      <c r="Q64" s="1140"/>
      <c r="R64" s="1141"/>
      <c r="S64" s="1141">
        <f t="shared" si="0"/>
        <v>7.75</v>
      </c>
    </row>
    <row r="65" spans="1:19">
      <c r="A65" s="269" t="s">
        <v>364</v>
      </c>
      <c r="B65" s="658">
        <f>AVERAGE(B55:B59)</f>
        <v>8.5100000000000016</v>
      </c>
      <c r="C65" s="658"/>
      <c r="D65" s="658">
        <f t="shared" ref="D65:P65" si="15">AVERAGE(D55:D58)</f>
        <v>7.9074999999999998</v>
      </c>
      <c r="E65" s="658">
        <f t="shared" si="15"/>
        <v>8.1225000000000005</v>
      </c>
      <c r="F65" s="658">
        <f t="shared" si="15"/>
        <v>7.7850000000000001</v>
      </c>
      <c r="G65" s="658">
        <f t="shared" si="15"/>
        <v>7.4850000000000012</v>
      </c>
      <c r="H65" s="658">
        <f t="shared" si="15"/>
        <v>7.9625000000000004</v>
      </c>
      <c r="I65" s="658">
        <f t="shared" si="15"/>
        <v>8.1925000000000008</v>
      </c>
      <c r="J65" s="658">
        <f t="shared" si="15"/>
        <v>7.9325000000000001</v>
      </c>
      <c r="K65" s="658">
        <f t="shared" si="15"/>
        <v>8.1374999999999993</v>
      </c>
      <c r="L65" s="658">
        <f t="shared" si="15"/>
        <v>7.78</v>
      </c>
      <c r="M65" s="658">
        <f t="shared" si="15"/>
        <v>8.0449999999999999</v>
      </c>
      <c r="N65" s="658">
        <f t="shared" si="15"/>
        <v>7.7124999999999995</v>
      </c>
      <c r="O65" s="658">
        <f t="shared" si="15"/>
        <v>8.18</v>
      </c>
      <c r="P65" s="658">
        <f t="shared" si="15"/>
        <v>8.317499999999999</v>
      </c>
      <c r="Q65" s="658">
        <f>AVERAGE(Q55:Q58)</f>
        <v>8.0083928571428569</v>
      </c>
      <c r="R65" s="658">
        <f>AVERAGE(R55:R58)</f>
        <v>8.557500000000001</v>
      </c>
      <c r="S65" s="658">
        <f>AVERAGE(S55:S58)</f>
        <v>8.0083333333333346</v>
      </c>
    </row>
    <row r="66" spans="1:19">
      <c r="A66" s="262" t="s">
        <v>362</v>
      </c>
      <c r="B66" s="928">
        <f>AVERAGE(B55:B64)</f>
        <v>8.5100000000000016</v>
      </c>
      <c r="C66" s="928"/>
      <c r="D66" s="928">
        <f>AVERAGE(D55:D64)</f>
        <v>7.9079999999999995</v>
      </c>
      <c r="E66" s="928">
        <f t="shared" ref="E66:P66" si="16">AVERAGE(E55:E64)</f>
        <v>8.1250000000000018</v>
      </c>
      <c r="F66" s="928">
        <f t="shared" si="16"/>
        <v>7.79</v>
      </c>
      <c r="G66" s="928">
        <f t="shared" si="16"/>
        <v>7.5033333333333339</v>
      </c>
      <c r="H66" s="928">
        <f t="shared" si="16"/>
        <v>7.9450000000000003</v>
      </c>
      <c r="I66" s="928">
        <f t="shared" si="16"/>
        <v>8.006000000000002</v>
      </c>
      <c r="J66" s="928">
        <f t="shared" si="16"/>
        <v>7.8962499999999993</v>
      </c>
      <c r="K66" s="928">
        <f t="shared" si="16"/>
        <v>8.0857142857142836</v>
      </c>
      <c r="L66" s="928">
        <f t="shared" si="16"/>
        <v>7.7760000000000007</v>
      </c>
      <c r="M66" s="928">
        <f t="shared" si="16"/>
        <v>8.0616666666666656</v>
      </c>
      <c r="N66" s="928">
        <f t="shared" si="16"/>
        <v>7.7014285714285711</v>
      </c>
      <c r="O66" s="928">
        <f t="shared" si="16"/>
        <v>8.173333333333332</v>
      </c>
      <c r="P66" s="928">
        <f t="shared" si="16"/>
        <v>8.2999999999999989</v>
      </c>
      <c r="Q66" s="928">
        <f t="shared" ref="Q66:S66" si="17">AVERAGE(Q55:Q63)</f>
        <v>7.9388612313612317</v>
      </c>
      <c r="R66" s="928">
        <f t="shared" si="17"/>
        <v>8.3344444444444452</v>
      </c>
      <c r="S66" s="928">
        <f t="shared" si="17"/>
        <v>7.965259259259259</v>
      </c>
    </row>
    <row r="67" spans="1:19" ht="15.5">
      <c r="A67" s="1450" t="s">
        <v>353</v>
      </c>
      <c r="B67" s="1451"/>
      <c r="C67" s="1451"/>
      <c r="D67" s="1451"/>
      <c r="E67" s="1451"/>
      <c r="F67" s="1451"/>
      <c r="G67" s="1451"/>
      <c r="H67" s="1451"/>
      <c r="I67" s="1451"/>
      <c r="J67" s="1451"/>
      <c r="K67" s="1451"/>
      <c r="L67" s="1451"/>
      <c r="M67" s="1451"/>
      <c r="N67" s="1451"/>
      <c r="O67" s="1451"/>
      <c r="P67" s="1451"/>
      <c r="Q67" s="1451"/>
      <c r="R67" s="1451"/>
      <c r="S67" s="1452"/>
    </row>
    <row r="68" spans="1:19">
      <c r="A68" s="262" t="s">
        <v>270</v>
      </c>
      <c r="B68" s="658">
        <v>8.4</v>
      </c>
      <c r="C68" s="658"/>
      <c r="D68" s="658">
        <v>7.95</v>
      </c>
      <c r="E68" s="928">
        <v>8.15</v>
      </c>
      <c r="F68" s="928">
        <v>7.87</v>
      </c>
      <c r="G68" s="928">
        <v>7.54</v>
      </c>
      <c r="H68" s="928">
        <v>7.93</v>
      </c>
      <c r="I68" s="928">
        <v>8.24</v>
      </c>
      <c r="J68" s="928">
        <v>7.96</v>
      </c>
      <c r="K68" s="928">
        <v>8.2200000000000006</v>
      </c>
      <c r="L68" s="928">
        <v>7.8</v>
      </c>
      <c r="M68" s="928">
        <v>8.1300000000000008</v>
      </c>
      <c r="N68" s="928">
        <v>7.68</v>
      </c>
      <c r="O68" s="928">
        <v>8.15</v>
      </c>
      <c r="P68" s="928">
        <v>9.18</v>
      </c>
      <c r="Q68" s="1140">
        <f t="shared" ref="Q68:Q78" si="18">AVERAGE(B68:P68)</f>
        <v>8.0857142857142854</v>
      </c>
      <c r="R68" s="1141">
        <f t="shared" ref="R68:R78" si="19">MAX(B68:P68)</f>
        <v>9.18</v>
      </c>
      <c r="S68" s="1141">
        <f t="shared" si="0"/>
        <v>8.0466666666666669</v>
      </c>
    </row>
    <row r="69" spans="1:19">
      <c r="A69" s="262" t="s">
        <v>151</v>
      </c>
      <c r="B69" s="658">
        <v>8.2799999999999994</v>
      </c>
      <c r="C69" s="658"/>
      <c r="D69" s="658">
        <v>7.94</v>
      </c>
      <c r="E69" s="928">
        <v>8.15</v>
      </c>
      <c r="F69" s="928">
        <v>7.89</v>
      </c>
      <c r="G69" s="928">
        <v>7.53</v>
      </c>
      <c r="H69" s="928">
        <v>7.93</v>
      </c>
      <c r="I69" s="928">
        <v>8.24</v>
      </c>
      <c r="J69" s="928">
        <v>7.95</v>
      </c>
      <c r="K69" s="928">
        <v>8.25</v>
      </c>
      <c r="L69" s="928">
        <v>7.8</v>
      </c>
      <c r="M69" s="928">
        <v>8.16</v>
      </c>
      <c r="N69" s="928">
        <v>7.67</v>
      </c>
      <c r="O69" s="928">
        <v>8.15</v>
      </c>
      <c r="P69" s="928">
        <v>9.0500000000000007</v>
      </c>
      <c r="Q69" s="1140">
        <f t="shared" si="18"/>
        <v>8.0707142857142848</v>
      </c>
      <c r="R69" s="1141">
        <f t="shared" si="19"/>
        <v>9.0500000000000007</v>
      </c>
      <c r="S69" s="1141">
        <f t="shared" si="0"/>
        <v>8.0549999999999997</v>
      </c>
    </row>
    <row r="70" spans="1:19">
      <c r="A70" s="262" t="s">
        <v>271</v>
      </c>
      <c r="B70" s="658">
        <v>8.2799999999999994</v>
      </c>
      <c r="C70" s="658"/>
      <c r="D70" s="658">
        <v>7.94</v>
      </c>
      <c r="E70" s="928">
        <v>8.16</v>
      </c>
      <c r="F70" s="928">
        <v>7.8</v>
      </c>
      <c r="G70" s="928">
        <v>7.54</v>
      </c>
      <c r="H70" s="928">
        <v>7.93</v>
      </c>
      <c r="I70" s="928">
        <v>8.39</v>
      </c>
      <c r="J70" s="928">
        <v>7.99</v>
      </c>
      <c r="K70" s="928">
        <v>8.27</v>
      </c>
      <c r="L70" s="928">
        <v>7.8</v>
      </c>
      <c r="M70" s="928">
        <v>8.15</v>
      </c>
      <c r="N70" s="928">
        <v>7.67</v>
      </c>
      <c r="O70" s="928">
        <v>8.14</v>
      </c>
      <c r="P70" s="928">
        <v>8.9600000000000009</v>
      </c>
      <c r="Q70" s="1140">
        <f t="shared" si="18"/>
        <v>8.0728571428571438</v>
      </c>
      <c r="R70" s="1141">
        <f t="shared" si="19"/>
        <v>8.9600000000000009</v>
      </c>
      <c r="S70" s="1141">
        <f t="shared" si="0"/>
        <v>8.0883333333333329</v>
      </c>
    </row>
    <row r="71" spans="1:19">
      <c r="A71" s="262" t="s">
        <v>152</v>
      </c>
      <c r="B71" s="658">
        <v>8.24</v>
      </c>
      <c r="C71" s="658"/>
      <c r="D71" s="658">
        <v>7.94</v>
      </c>
      <c r="E71" s="928">
        <v>8.16</v>
      </c>
      <c r="F71" s="928">
        <v>7.8</v>
      </c>
      <c r="G71" s="928">
        <v>7.54</v>
      </c>
      <c r="H71" s="928">
        <v>7.93</v>
      </c>
      <c r="I71" s="928">
        <v>8.3699999999999992</v>
      </c>
      <c r="J71" s="928">
        <v>7.99</v>
      </c>
      <c r="K71" s="928">
        <v>8.16</v>
      </c>
      <c r="L71" s="928">
        <v>7.79</v>
      </c>
      <c r="M71" s="928">
        <v>7.1</v>
      </c>
      <c r="N71" s="928">
        <v>7.68</v>
      </c>
      <c r="O71" s="928">
        <v>8.14</v>
      </c>
      <c r="P71" s="928">
        <v>8.94</v>
      </c>
      <c r="Q71" s="1140">
        <f t="shared" si="18"/>
        <v>7.9842857142857131</v>
      </c>
      <c r="R71" s="1141">
        <f t="shared" si="19"/>
        <v>8.94</v>
      </c>
      <c r="S71" s="1141">
        <f t="shared" si="0"/>
        <v>7.8900000000000006</v>
      </c>
    </row>
    <row r="72" spans="1:19">
      <c r="A72" s="262" t="s">
        <v>272</v>
      </c>
      <c r="B72" s="658">
        <v>8.24</v>
      </c>
      <c r="C72" s="658"/>
      <c r="D72" s="658">
        <v>7.94</v>
      </c>
      <c r="E72" s="928">
        <v>8.16</v>
      </c>
      <c r="F72" s="928">
        <v>7.79</v>
      </c>
      <c r="G72" s="928">
        <v>7.56</v>
      </c>
      <c r="H72" s="928">
        <v>7.94</v>
      </c>
      <c r="I72" s="928">
        <v>8.31</v>
      </c>
      <c r="J72" s="928">
        <v>7.97</v>
      </c>
      <c r="K72" s="928">
        <v>8.14</v>
      </c>
      <c r="L72" s="928">
        <v>7.78</v>
      </c>
      <c r="M72" s="928">
        <v>8.0399999999999991</v>
      </c>
      <c r="N72" s="928">
        <v>7.63</v>
      </c>
      <c r="O72" s="928">
        <v>8.1300000000000008</v>
      </c>
      <c r="P72" s="928">
        <v>8.8699999999999992</v>
      </c>
      <c r="Q72" s="1140">
        <f t="shared" si="18"/>
        <v>8.0357142857142865</v>
      </c>
      <c r="R72" s="1141">
        <f t="shared" si="19"/>
        <v>8.8699999999999992</v>
      </c>
      <c r="S72" s="1141">
        <f t="shared" ref="S72:S79" si="20">AVERAGE(H72:M72)</f>
        <v>8.0299999999999994</v>
      </c>
    </row>
    <row r="73" spans="1:19">
      <c r="A73" s="262" t="s">
        <v>153</v>
      </c>
      <c r="B73" s="658">
        <v>8.07</v>
      </c>
      <c r="C73" s="658"/>
      <c r="D73" s="658">
        <v>7.94</v>
      </c>
      <c r="E73" s="928">
        <v>8.16</v>
      </c>
      <c r="F73" s="928">
        <v>7.77</v>
      </c>
      <c r="G73" s="928">
        <v>7.59</v>
      </c>
      <c r="H73" s="928">
        <v>7.96</v>
      </c>
      <c r="I73" s="928">
        <v>8.24</v>
      </c>
      <c r="J73" s="928">
        <v>7.94</v>
      </c>
      <c r="K73" s="928">
        <v>8.09</v>
      </c>
      <c r="L73" s="928">
        <v>7.74</v>
      </c>
      <c r="M73" s="928">
        <v>8</v>
      </c>
      <c r="N73" s="928">
        <v>7.63</v>
      </c>
      <c r="O73" s="928">
        <v>8.1300000000000008</v>
      </c>
      <c r="P73" s="928">
        <v>8.82</v>
      </c>
      <c r="Q73" s="1140">
        <f t="shared" si="18"/>
        <v>8.0057142857142853</v>
      </c>
      <c r="R73" s="1141">
        <f t="shared" si="19"/>
        <v>8.82</v>
      </c>
      <c r="S73" s="1141">
        <f t="shared" si="20"/>
        <v>7.995000000000001</v>
      </c>
    </row>
    <row r="74" spans="1:19">
      <c r="A74" s="262" t="s">
        <v>273</v>
      </c>
      <c r="B74" s="658">
        <v>8.08</v>
      </c>
      <c r="C74" s="658"/>
      <c r="D74" s="658">
        <v>7.94</v>
      </c>
      <c r="E74" s="928">
        <v>8.16</v>
      </c>
      <c r="F74" s="928">
        <v>7.77</v>
      </c>
      <c r="G74" s="928">
        <v>7.58</v>
      </c>
      <c r="H74" s="928">
        <v>7.94</v>
      </c>
      <c r="I74" s="928">
        <v>8.17</v>
      </c>
      <c r="J74" s="928">
        <v>7.93</v>
      </c>
      <c r="K74" s="928">
        <v>8.0399999999999991</v>
      </c>
      <c r="L74" s="928">
        <v>7.75</v>
      </c>
      <c r="M74" s="928">
        <v>7.98</v>
      </c>
      <c r="N74" s="928">
        <v>7.63</v>
      </c>
      <c r="O74" s="928">
        <v>8.1300000000000008</v>
      </c>
      <c r="P74" s="928">
        <v>8.7899999999999991</v>
      </c>
      <c r="Q74" s="1140">
        <f t="shared" si="18"/>
        <v>7.9921428571428565</v>
      </c>
      <c r="R74" s="1141">
        <f t="shared" si="19"/>
        <v>8.7899999999999991</v>
      </c>
      <c r="S74" s="1141">
        <f t="shared" si="20"/>
        <v>7.9683333333333337</v>
      </c>
    </row>
    <row r="75" spans="1:19">
      <c r="A75" s="262" t="s">
        <v>154</v>
      </c>
      <c r="B75" s="658">
        <v>8.16</v>
      </c>
      <c r="C75" s="658"/>
      <c r="D75" s="658">
        <v>7.94</v>
      </c>
      <c r="E75" s="928">
        <v>8.15</v>
      </c>
      <c r="F75" s="928">
        <v>7.78</v>
      </c>
      <c r="G75" s="928">
        <v>7.6</v>
      </c>
      <c r="H75" s="928">
        <v>7.95</v>
      </c>
      <c r="I75" s="928">
        <v>8.14</v>
      </c>
      <c r="J75" s="928">
        <v>7.91</v>
      </c>
      <c r="K75" s="928">
        <v>8.01</v>
      </c>
      <c r="L75" s="928">
        <v>7.74</v>
      </c>
      <c r="M75" s="928">
        <v>7.95</v>
      </c>
      <c r="N75" s="928">
        <v>7.63</v>
      </c>
      <c r="O75" s="928">
        <v>8.1300000000000008</v>
      </c>
      <c r="P75" s="928">
        <v>8.75</v>
      </c>
      <c r="Q75" s="1140">
        <f t="shared" si="18"/>
        <v>7.9885714285714284</v>
      </c>
      <c r="R75" s="1141">
        <f t="shared" si="19"/>
        <v>8.75</v>
      </c>
      <c r="S75" s="1141">
        <f t="shared" si="20"/>
        <v>7.95</v>
      </c>
    </row>
    <row r="76" spans="1:19">
      <c r="A76" s="262" t="s">
        <v>155</v>
      </c>
      <c r="B76" s="658">
        <v>8.08</v>
      </c>
      <c r="C76" s="658"/>
      <c r="D76" s="658">
        <v>7.92</v>
      </c>
      <c r="E76" s="928">
        <v>8.15</v>
      </c>
      <c r="F76" s="928">
        <v>7.8</v>
      </c>
      <c r="G76" s="928">
        <v>7.66</v>
      </c>
      <c r="H76" s="928">
        <v>7.94</v>
      </c>
      <c r="I76" s="928">
        <v>8.1</v>
      </c>
      <c r="J76" s="928">
        <v>7.9</v>
      </c>
      <c r="K76" s="928">
        <v>7.95</v>
      </c>
      <c r="L76" s="928">
        <v>7.74</v>
      </c>
      <c r="M76" s="928">
        <v>7.91</v>
      </c>
      <c r="N76" s="928">
        <v>7.63</v>
      </c>
      <c r="O76" s="928">
        <v>8.1300000000000008</v>
      </c>
      <c r="P76" s="928">
        <v>8.7100000000000009</v>
      </c>
      <c r="Q76" s="1140">
        <f t="shared" si="18"/>
        <v>7.9728571428571415</v>
      </c>
      <c r="R76" s="1141">
        <f t="shared" si="19"/>
        <v>8.7100000000000009</v>
      </c>
      <c r="S76" s="1141">
        <f t="shared" si="20"/>
        <v>7.923333333333332</v>
      </c>
    </row>
    <row r="77" spans="1:19" s="710" customFormat="1">
      <c r="A77" s="409" t="s">
        <v>156</v>
      </c>
      <c r="B77" s="658">
        <v>8.0500000000000007</v>
      </c>
      <c r="C77" s="658"/>
      <c r="D77" s="658">
        <v>7.86</v>
      </c>
      <c r="E77" s="928">
        <v>8.14</v>
      </c>
      <c r="F77" s="928">
        <v>7.78</v>
      </c>
      <c r="G77" s="928">
        <v>7.66</v>
      </c>
      <c r="H77" s="928">
        <v>7.93</v>
      </c>
      <c r="I77" s="928">
        <v>8</v>
      </c>
      <c r="J77" s="928">
        <v>7.85</v>
      </c>
      <c r="K77" s="928">
        <v>7.93</v>
      </c>
      <c r="L77" s="928">
        <v>7.73</v>
      </c>
      <c r="M77" s="928">
        <v>7.89</v>
      </c>
      <c r="N77" s="928">
        <v>7.63</v>
      </c>
      <c r="O77" s="928"/>
      <c r="P77" s="928">
        <v>8.67</v>
      </c>
      <c r="Q77" s="1140">
        <f t="shared" si="18"/>
        <v>7.9323076923076927</v>
      </c>
      <c r="R77" s="1141">
        <f t="shared" si="19"/>
        <v>8.67</v>
      </c>
      <c r="S77" s="1141">
        <f t="shared" si="20"/>
        <v>7.8883333333333328</v>
      </c>
    </row>
    <row r="78" spans="1:19">
      <c r="A78" s="262" t="s">
        <v>157</v>
      </c>
      <c r="B78" s="658">
        <v>8.02</v>
      </c>
      <c r="C78" s="658"/>
      <c r="D78" s="658"/>
      <c r="E78" s="928"/>
      <c r="F78" s="928">
        <v>7.76</v>
      </c>
      <c r="G78" s="928">
        <v>7.66</v>
      </c>
      <c r="H78" s="928">
        <v>7.82</v>
      </c>
      <c r="I78" s="928">
        <v>7.98</v>
      </c>
      <c r="J78" s="928"/>
      <c r="K78" s="928"/>
      <c r="L78" s="928"/>
      <c r="M78" s="928"/>
      <c r="N78" s="928"/>
      <c r="O78" s="928"/>
      <c r="P78" s="928"/>
      <c r="Q78" s="1140">
        <f t="shared" si="18"/>
        <v>7.847999999999999</v>
      </c>
      <c r="R78" s="1141">
        <f t="shared" si="19"/>
        <v>8.02</v>
      </c>
      <c r="S78" s="1141">
        <f t="shared" si="20"/>
        <v>7.9</v>
      </c>
    </row>
    <row r="79" spans="1:19" s="710" customFormat="1">
      <c r="A79" s="409" t="s">
        <v>158</v>
      </c>
      <c r="B79" s="658"/>
      <c r="C79" s="658"/>
      <c r="D79" s="658"/>
      <c r="E79" s="928"/>
      <c r="F79" s="928"/>
      <c r="G79" s="928"/>
      <c r="H79" s="928">
        <v>7.84</v>
      </c>
      <c r="I79" s="928">
        <v>7.96</v>
      </c>
      <c r="J79" s="928"/>
      <c r="K79" s="928"/>
      <c r="L79" s="928"/>
      <c r="M79" s="928"/>
      <c r="N79" s="928"/>
      <c r="O79" s="928"/>
      <c r="P79" s="928"/>
      <c r="Q79" s="1140"/>
      <c r="R79" s="1141"/>
      <c r="S79" s="1141">
        <f t="shared" si="20"/>
        <v>7.9</v>
      </c>
    </row>
    <row r="80" spans="1:19">
      <c r="A80" s="269" t="s">
        <v>364</v>
      </c>
      <c r="B80" s="658">
        <f>AVERAGE(B68:B71)</f>
        <v>8.3000000000000007</v>
      </c>
      <c r="C80" s="658"/>
      <c r="D80" s="658">
        <f t="shared" ref="D80:P80" si="21">AVERAGE(D68:D71)</f>
        <v>7.9425000000000008</v>
      </c>
      <c r="E80" s="658">
        <f t="shared" si="21"/>
        <v>8.1550000000000011</v>
      </c>
      <c r="F80" s="658">
        <f t="shared" si="21"/>
        <v>7.84</v>
      </c>
      <c r="G80" s="658">
        <f t="shared" si="21"/>
        <v>7.5374999999999996</v>
      </c>
      <c r="H80" s="658">
        <f t="shared" si="21"/>
        <v>7.93</v>
      </c>
      <c r="I80" s="658">
        <f t="shared" si="21"/>
        <v>8.31</v>
      </c>
      <c r="J80" s="658">
        <f t="shared" si="21"/>
        <v>7.9725000000000001</v>
      </c>
      <c r="K80" s="658">
        <f t="shared" si="21"/>
        <v>8.2249999999999996</v>
      </c>
      <c r="L80" s="658">
        <f t="shared" si="21"/>
        <v>7.7974999999999994</v>
      </c>
      <c r="M80" s="658">
        <f t="shared" si="21"/>
        <v>7.8849999999999998</v>
      </c>
      <c r="N80" s="658">
        <f t="shared" si="21"/>
        <v>7.6749999999999998</v>
      </c>
      <c r="O80" s="658">
        <f t="shared" si="21"/>
        <v>8.1449999999999996</v>
      </c>
      <c r="P80" s="658">
        <f t="shared" si="21"/>
        <v>9.0325000000000006</v>
      </c>
      <c r="Q80" s="658">
        <f>AVERAGE(Q68:Q71)</f>
        <v>8.0533928571428568</v>
      </c>
      <c r="R80" s="658">
        <f>AVERAGE(R68:R71)</f>
        <v>9.0325000000000006</v>
      </c>
      <c r="S80" s="658">
        <f>AVERAGE(S68:S71)</f>
        <v>8.02</v>
      </c>
    </row>
    <row r="81" spans="1:19">
      <c r="A81" s="262" t="s">
        <v>362</v>
      </c>
      <c r="B81" s="928">
        <f>AVERAGE(B68:B79)</f>
        <v>8.172727272727272</v>
      </c>
      <c r="C81" s="928"/>
      <c r="D81" s="928">
        <f>AVERAGE(D68:D79)</f>
        <v>7.9309999999999992</v>
      </c>
      <c r="E81" s="928">
        <f t="shared" ref="E81:P81" si="22">AVERAGE(E68:E79)</f>
        <v>8.1539999999999999</v>
      </c>
      <c r="F81" s="928">
        <f t="shared" si="22"/>
        <v>7.8009090909090908</v>
      </c>
      <c r="G81" s="928">
        <f t="shared" si="22"/>
        <v>7.5872727272727269</v>
      </c>
      <c r="H81" s="928">
        <f t="shared" si="22"/>
        <v>7.919999999999999</v>
      </c>
      <c r="I81" s="928">
        <f t="shared" si="22"/>
        <v>8.1783333333333328</v>
      </c>
      <c r="J81" s="928">
        <f t="shared" si="22"/>
        <v>7.9390000000000001</v>
      </c>
      <c r="K81" s="928">
        <f t="shared" si="22"/>
        <v>8.1059999999999999</v>
      </c>
      <c r="L81" s="928">
        <f t="shared" si="22"/>
        <v>7.7670000000000003</v>
      </c>
      <c r="M81" s="928">
        <f t="shared" si="22"/>
        <v>7.931</v>
      </c>
      <c r="N81" s="928">
        <f t="shared" si="22"/>
        <v>7.6480000000000006</v>
      </c>
      <c r="O81" s="928">
        <f t="shared" si="22"/>
        <v>8.1366666666666667</v>
      </c>
      <c r="P81" s="928">
        <f t="shared" si="22"/>
        <v>8.8739999999999988</v>
      </c>
      <c r="Q81" s="928">
        <f>AVERAGE(Q68:Q78)</f>
        <v>7.9989890109890096</v>
      </c>
      <c r="R81" s="928">
        <f>AVERAGE(R68:R78)</f>
        <v>8.7963636363636351</v>
      </c>
      <c r="S81" s="928">
        <f>AVERAGE(S68:S78)</f>
        <v>7.9759090909090924</v>
      </c>
    </row>
  </sheetData>
  <mergeCells count="6">
    <mergeCell ref="A67:S67"/>
    <mergeCell ref="A24:S24"/>
    <mergeCell ref="A39:S39"/>
    <mergeCell ref="A54:S54"/>
    <mergeCell ref="A1:P1"/>
    <mergeCell ref="A6:S6"/>
  </mergeCells>
  <phoneticPr fontId="0" type="noConversion"/>
  <pageMargins left="0.75" right="0.75" top="1" bottom="1" header="0.5" footer="0.5"/>
  <pageSetup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theme="5" tint="0.59999389629810485"/>
    <pageSetUpPr fitToPage="1"/>
  </sheetPr>
  <dimension ref="A1:Y81"/>
  <sheetViews>
    <sheetView topLeftCell="I13" zoomScale="75" zoomScaleNormal="75" workbookViewId="0">
      <selection activeCell="B5" sqref="B5:P5"/>
    </sheetView>
  </sheetViews>
  <sheetFormatPr defaultRowHeight="14"/>
  <cols>
    <col min="1" max="1" width="27.36328125" style="1" bestFit="1" customWidth="1"/>
    <col min="2" max="2" width="6.36328125" bestFit="1" customWidth="1"/>
    <col min="3" max="3" width="7.1796875" bestFit="1" customWidth="1"/>
    <col min="4" max="16" width="7.81640625" bestFit="1" customWidth="1"/>
    <col min="17" max="17" width="10.1796875" customWidth="1"/>
    <col min="18" max="18" width="6.36328125" bestFit="1" customWidth="1"/>
    <col min="19" max="19" width="17.90625" bestFit="1" customWidth="1"/>
    <col min="20" max="20" width="11.08984375" customWidth="1"/>
    <col min="21" max="21" width="11.36328125" customWidth="1"/>
    <col min="22" max="22" width="12.54296875" customWidth="1"/>
    <col min="23" max="23" width="11.90625" customWidth="1"/>
    <col min="24" max="24" width="11.453125" customWidth="1"/>
    <col min="25" max="25" width="10.90625" customWidth="1"/>
  </cols>
  <sheetData>
    <row r="1" spans="1:25" ht="15.5">
      <c r="A1" s="1428" t="s">
        <v>354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</row>
    <row r="2" spans="1:25" ht="26">
      <c r="A2" s="69"/>
      <c r="B2" s="1134">
        <v>42009</v>
      </c>
      <c r="C2" s="1134">
        <v>42052</v>
      </c>
      <c r="D2" s="1134">
        <v>42086</v>
      </c>
      <c r="E2" s="1134">
        <v>42114</v>
      </c>
      <c r="F2" s="1134">
        <v>42142</v>
      </c>
      <c r="G2" s="1134">
        <v>42170</v>
      </c>
      <c r="H2" s="1135">
        <v>42191</v>
      </c>
      <c r="I2" s="1135">
        <v>42205</v>
      </c>
      <c r="J2" s="1135">
        <v>42227</v>
      </c>
      <c r="K2" s="1134">
        <v>42241</v>
      </c>
      <c r="L2" s="1134">
        <v>42261</v>
      </c>
      <c r="M2" s="1135">
        <v>42275</v>
      </c>
      <c r="N2" s="1135">
        <v>42296</v>
      </c>
      <c r="O2" s="1135">
        <v>42324</v>
      </c>
      <c r="P2" s="1135">
        <v>42345</v>
      </c>
      <c r="Q2" s="70" t="s">
        <v>90</v>
      </c>
      <c r="R2" s="71" t="s">
        <v>82</v>
      </c>
      <c r="S2" s="71" t="s">
        <v>108</v>
      </c>
    </row>
    <row r="3" spans="1:25">
      <c r="A3" s="72" t="s">
        <v>357</v>
      </c>
      <c r="B3" s="658">
        <v>13.31</v>
      </c>
      <c r="C3" s="658">
        <v>16.489999999999998</v>
      </c>
      <c r="D3" s="658">
        <v>14.58</v>
      </c>
      <c r="E3" s="658">
        <v>12.02</v>
      </c>
      <c r="F3" s="658">
        <v>11.42</v>
      </c>
      <c r="G3" s="658">
        <v>11.74</v>
      </c>
      <c r="H3" s="658">
        <v>9.9499999999999993</v>
      </c>
      <c r="I3" s="658">
        <v>9.9600000000000009</v>
      </c>
      <c r="J3" s="506">
        <v>9.6</v>
      </c>
      <c r="K3" s="658">
        <v>9.65</v>
      </c>
      <c r="L3" s="658">
        <v>10.47</v>
      </c>
      <c r="M3" s="658">
        <v>11.09</v>
      </c>
      <c r="N3" s="658">
        <v>9.8699999999999992</v>
      </c>
      <c r="O3" s="658">
        <v>12.66</v>
      </c>
      <c r="P3" s="658">
        <v>15.15</v>
      </c>
      <c r="Q3" s="1140">
        <f>AVERAGE(B3:P3)</f>
        <v>11.864000000000001</v>
      </c>
      <c r="R3" s="1141">
        <f>MAX(B3:P3)</f>
        <v>16.489999999999998</v>
      </c>
      <c r="S3" s="1141">
        <f>AVERAGE(H3:M3)</f>
        <v>10.119999999999999</v>
      </c>
    </row>
    <row r="4" spans="1:25">
      <c r="A4" s="73" t="s">
        <v>358</v>
      </c>
      <c r="B4" s="658">
        <v>14.1</v>
      </c>
      <c r="C4" s="658">
        <v>16.12</v>
      </c>
      <c r="D4" s="658">
        <v>14.39</v>
      </c>
      <c r="E4" s="658">
        <v>11.86</v>
      </c>
      <c r="F4" s="658">
        <v>12</v>
      </c>
      <c r="G4" s="658">
        <v>11.72</v>
      </c>
      <c r="H4" s="658">
        <v>10.34</v>
      </c>
      <c r="I4" s="658">
        <v>10.31</v>
      </c>
      <c r="J4" s="506">
        <v>9.41</v>
      </c>
      <c r="K4" s="658">
        <v>9.5299999999999994</v>
      </c>
      <c r="L4" s="658">
        <v>10.27</v>
      </c>
      <c r="M4" s="658">
        <v>12.34</v>
      </c>
      <c r="N4" s="658">
        <v>11.14</v>
      </c>
      <c r="O4" s="658">
        <v>13.46</v>
      </c>
      <c r="P4" s="658">
        <v>16.010000000000002</v>
      </c>
      <c r="Q4" s="1140">
        <f>AVERAGE(B4:P4)</f>
        <v>12.200000000000001</v>
      </c>
      <c r="R4" s="1141">
        <f>MAX(B4:P4)</f>
        <v>16.12</v>
      </c>
      <c r="S4" s="1141">
        <f t="shared" ref="S4:S71" si="0">AVERAGE(H4:M4)</f>
        <v>10.366666666666667</v>
      </c>
    </row>
    <row r="5" spans="1:25" s="7" customFormat="1">
      <c r="A5" s="73" t="s">
        <v>359</v>
      </c>
      <c r="B5" s="658">
        <v>12.78</v>
      </c>
      <c r="C5" s="658">
        <v>15.49</v>
      </c>
      <c r="D5" s="658">
        <v>11.83</v>
      </c>
      <c r="E5" s="658">
        <v>10.4</v>
      </c>
      <c r="F5" s="658">
        <v>12.29</v>
      </c>
      <c r="G5" s="658">
        <v>11.96</v>
      </c>
      <c r="H5" s="658">
        <v>10.95</v>
      </c>
      <c r="I5" s="658">
        <v>7.61</v>
      </c>
      <c r="J5" s="506">
        <v>8.5299999999999994</v>
      </c>
      <c r="K5" s="658">
        <v>6.14</v>
      </c>
      <c r="L5" s="658">
        <v>5.89</v>
      </c>
      <c r="M5" s="658">
        <v>8.2100000000000009</v>
      </c>
      <c r="N5" s="658">
        <v>10.67</v>
      </c>
      <c r="O5" s="658">
        <v>3.28</v>
      </c>
      <c r="P5" s="658">
        <v>14.14</v>
      </c>
      <c r="Q5" s="1140">
        <f>AVERAGE(B5:P5)</f>
        <v>10.011333333333335</v>
      </c>
      <c r="R5" s="1141">
        <f>MAX(B5:P5)</f>
        <v>15.49</v>
      </c>
      <c r="S5" s="1141">
        <f t="shared" si="0"/>
        <v>7.8883333333333328</v>
      </c>
    </row>
    <row r="6" spans="1:25" ht="15.5">
      <c r="A6" s="1456" t="s">
        <v>349</v>
      </c>
      <c r="B6" s="1457"/>
      <c r="C6" s="1457"/>
      <c r="D6" s="1457"/>
      <c r="E6" s="1457"/>
      <c r="F6" s="1457"/>
      <c r="G6" s="1457"/>
      <c r="H6" s="1457"/>
      <c r="I6" s="1457"/>
      <c r="J6" s="1457"/>
      <c r="K6" s="1457"/>
      <c r="L6" s="1457"/>
      <c r="M6" s="1457"/>
      <c r="N6" s="1457"/>
      <c r="O6" s="1457"/>
      <c r="P6" s="1457"/>
      <c r="Q6" s="1457"/>
      <c r="R6" s="1457"/>
      <c r="S6" s="1458"/>
      <c r="T6" s="6"/>
      <c r="U6" s="6"/>
      <c r="V6" s="6"/>
      <c r="W6" s="6"/>
      <c r="X6" s="6"/>
      <c r="Y6" s="6"/>
    </row>
    <row r="7" spans="1:25">
      <c r="A7" s="262" t="s">
        <v>270</v>
      </c>
      <c r="B7" s="658">
        <v>15.88</v>
      </c>
      <c r="C7" s="658">
        <v>16.21</v>
      </c>
      <c r="D7" s="658">
        <v>15.72</v>
      </c>
      <c r="E7" s="658">
        <v>10.47</v>
      </c>
      <c r="F7" s="658">
        <v>8.75</v>
      </c>
      <c r="G7" s="658">
        <v>8</v>
      </c>
      <c r="H7" s="658">
        <v>8.0399999999999991</v>
      </c>
      <c r="I7" s="658">
        <v>8.42</v>
      </c>
      <c r="J7" s="505">
        <v>9.0399999999999991</v>
      </c>
      <c r="K7" s="658">
        <v>8.14</v>
      </c>
      <c r="L7" s="658">
        <v>8.1199999999999992</v>
      </c>
      <c r="M7" s="658">
        <v>8.77</v>
      </c>
      <c r="N7" s="658">
        <v>6.71</v>
      </c>
      <c r="O7" s="658">
        <v>11.36</v>
      </c>
      <c r="P7" s="658">
        <v>15.13</v>
      </c>
      <c r="Q7" s="1140">
        <f t="shared" ref="Q7:Q21" si="1">AVERAGE(B7:P7)</f>
        <v>10.584</v>
      </c>
      <c r="R7" s="1141">
        <f t="shared" ref="R7:R21" si="2">MAX(B7:P7)</f>
        <v>16.21</v>
      </c>
      <c r="S7" s="1141">
        <f t="shared" si="0"/>
        <v>8.4216666666666669</v>
      </c>
      <c r="T7" s="6"/>
      <c r="U7" s="6"/>
      <c r="V7" s="6"/>
      <c r="W7" s="6"/>
      <c r="X7" s="6"/>
      <c r="Y7" s="6"/>
    </row>
    <row r="8" spans="1:25">
      <c r="A8" s="262" t="s">
        <v>151</v>
      </c>
      <c r="B8" s="658">
        <v>14.51</v>
      </c>
      <c r="C8" s="658">
        <v>15.14</v>
      </c>
      <c r="D8" s="658">
        <v>15.31</v>
      </c>
      <c r="E8" s="658">
        <v>10.29</v>
      </c>
      <c r="F8" s="658">
        <v>8.86</v>
      </c>
      <c r="G8" s="658">
        <v>7.69</v>
      </c>
      <c r="H8" s="658">
        <v>8.24</v>
      </c>
      <c r="I8" s="658">
        <v>8.7200000000000006</v>
      </c>
      <c r="J8" s="505">
        <v>8</v>
      </c>
      <c r="K8" s="658">
        <v>8.11</v>
      </c>
      <c r="L8" s="658">
        <v>8.14</v>
      </c>
      <c r="M8" s="658">
        <v>8.7899999999999991</v>
      </c>
      <c r="N8" s="658">
        <v>6.74</v>
      </c>
      <c r="O8" s="658">
        <v>10.98</v>
      </c>
      <c r="P8" s="658">
        <v>14.72</v>
      </c>
      <c r="Q8" s="1140">
        <f t="shared" si="1"/>
        <v>10.282666666666666</v>
      </c>
      <c r="R8" s="1141">
        <f t="shared" si="2"/>
        <v>15.31</v>
      </c>
      <c r="S8" s="1141">
        <f t="shared" si="0"/>
        <v>8.3333333333333339</v>
      </c>
      <c r="T8" s="6"/>
      <c r="U8" s="6"/>
      <c r="V8" s="6"/>
      <c r="W8" s="6"/>
      <c r="X8" s="6"/>
      <c r="Y8" s="6"/>
    </row>
    <row r="9" spans="1:25">
      <c r="A9" s="262" t="s">
        <v>271</v>
      </c>
      <c r="B9" s="658">
        <v>13.19</v>
      </c>
      <c r="C9" s="658">
        <v>14.82</v>
      </c>
      <c r="D9" s="658">
        <v>15.12</v>
      </c>
      <c r="E9" s="658">
        <v>10.210000000000001</v>
      </c>
      <c r="F9" s="658">
        <v>8.84</v>
      </c>
      <c r="G9" s="658">
        <v>7.85</v>
      </c>
      <c r="H9" s="658">
        <v>8.16</v>
      </c>
      <c r="I9" s="658">
        <v>8.51</v>
      </c>
      <c r="J9" s="505">
        <v>7.45</v>
      </c>
      <c r="K9" s="658">
        <v>8.61</v>
      </c>
      <c r="L9" s="658">
        <v>6.11</v>
      </c>
      <c r="M9" s="658">
        <v>8.82</v>
      </c>
      <c r="N9" s="658">
        <v>6.46</v>
      </c>
      <c r="O9" s="658">
        <v>10.81</v>
      </c>
      <c r="P9" s="658">
        <v>13.96</v>
      </c>
      <c r="Q9" s="1140">
        <f t="shared" si="1"/>
        <v>9.927999999999999</v>
      </c>
      <c r="R9" s="1141">
        <f t="shared" si="2"/>
        <v>15.12</v>
      </c>
      <c r="S9" s="1141">
        <f t="shared" si="0"/>
        <v>7.9433333333333342</v>
      </c>
      <c r="T9" s="6"/>
      <c r="U9" s="6"/>
      <c r="V9" s="6"/>
      <c r="W9" s="6"/>
    </row>
    <row r="10" spans="1:25">
      <c r="A10" s="262" t="s">
        <v>152</v>
      </c>
      <c r="B10" s="658">
        <v>12.64</v>
      </c>
      <c r="C10" s="658">
        <v>14.73</v>
      </c>
      <c r="D10" s="658">
        <v>15.1</v>
      </c>
      <c r="E10" s="658">
        <v>10.01</v>
      </c>
      <c r="F10" s="658">
        <v>8.91</v>
      </c>
      <c r="G10" s="658">
        <v>7.35</v>
      </c>
      <c r="H10" s="658">
        <v>8.1999999999999993</v>
      </c>
      <c r="I10" s="658">
        <v>8.49</v>
      </c>
      <c r="J10" s="505">
        <v>7.61</v>
      </c>
      <c r="K10" s="658">
        <v>8.61</v>
      </c>
      <c r="L10" s="658">
        <v>5.41</v>
      </c>
      <c r="M10" s="658">
        <v>8.7100000000000009</v>
      </c>
      <c r="N10" s="658">
        <v>6.54</v>
      </c>
      <c r="O10" s="658">
        <v>10.69</v>
      </c>
      <c r="P10" s="658">
        <v>12.41</v>
      </c>
      <c r="Q10" s="1140">
        <f t="shared" si="1"/>
        <v>9.6939999999999991</v>
      </c>
      <c r="R10" s="1141">
        <f t="shared" si="2"/>
        <v>15.1</v>
      </c>
      <c r="S10" s="1141">
        <f t="shared" si="0"/>
        <v>7.838333333333332</v>
      </c>
      <c r="T10" s="6"/>
      <c r="U10" s="6"/>
      <c r="V10" s="6"/>
      <c r="W10" s="6"/>
      <c r="X10" s="6"/>
    </row>
    <row r="11" spans="1:25">
      <c r="A11" s="262" t="s">
        <v>272</v>
      </c>
      <c r="B11" s="658">
        <v>11.79</v>
      </c>
      <c r="C11" s="658">
        <v>14.71</v>
      </c>
      <c r="D11" s="658">
        <v>15.22</v>
      </c>
      <c r="E11" s="658">
        <v>9.9700000000000006</v>
      </c>
      <c r="F11" s="658">
        <v>8.86</v>
      </c>
      <c r="G11" s="658">
        <v>7.48</v>
      </c>
      <c r="H11" s="658">
        <v>8.16</v>
      </c>
      <c r="I11" s="658">
        <v>8.48</v>
      </c>
      <c r="J11" s="505">
        <v>7.81</v>
      </c>
      <c r="K11" s="658">
        <v>8.5500000000000007</v>
      </c>
      <c r="L11" s="658">
        <v>5.21</v>
      </c>
      <c r="M11" s="658">
        <v>8.6199999999999992</v>
      </c>
      <c r="N11" s="658">
        <v>6.44</v>
      </c>
      <c r="O11" s="658">
        <v>10.62</v>
      </c>
      <c r="P11" s="658">
        <v>10.11</v>
      </c>
      <c r="Q11" s="1140">
        <f t="shared" si="1"/>
        <v>9.4686666666666657</v>
      </c>
      <c r="R11" s="1141">
        <f t="shared" si="2"/>
        <v>15.22</v>
      </c>
      <c r="S11" s="1141">
        <f t="shared" si="0"/>
        <v>7.8049999999999997</v>
      </c>
      <c r="T11" s="6"/>
      <c r="U11" s="6"/>
      <c r="V11" s="6"/>
      <c r="W11" s="6"/>
      <c r="X11" s="6"/>
    </row>
    <row r="12" spans="1:25">
      <c r="A12" s="262" t="s">
        <v>153</v>
      </c>
      <c r="B12" s="1150">
        <v>11.35</v>
      </c>
      <c r="C12" s="658">
        <v>14.5</v>
      </c>
      <c r="D12" s="658">
        <v>15.3</v>
      </c>
      <c r="E12" s="658">
        <v>9.93</v>
      </c>
      <c r="F12" s="658">
        <v>8.9700000000000006</v>
      </c>
      <c r="G12" s="658">
        <v>8.14</v>
      </c>
      <c r="H12" s="658">
        <v>7.37</v>
      </c>
      <c r="I12" s="658">
        <v>8.18</v>
      </c>
      <c r="J12" s="505">
        <v>7.23</v>
      </c>
      <c r="K12" s="658">
        <v>8.43</v>
      </c>
      <c r="L12" s="658">
        <v>5.31</v>
      </c>
      <c r="M12" s="658">
        <v>8.76</v>
      </c>
      <c r="N12" s="658">
        <v>6.11</v>
      </c>
      <c r="O12" s="658">
        <v>10.51</v>
      </c>
      <c r="P12" s="658">
        <v>9.7200000000000006</v>
      </c>
      <c r="Q12" s="1140">
        <f t="shared" si="1"/>
        <v>9.320666666666666</v>
      </c>
      <c r="R12" s="1141">
        <f t="shared" si="2"/>
        <v>15.3</v>
      </c>
      <c r="S12" s="1141">
        <f t="shared" si="0"/>
        <v>7.5466666666666669</v>
      </c>
      <c r="T12" s="6"/>
      <c r="U12" s="6"/>
      <c r="V12" s="6"/>
      <c r="W12" s="6"/>
      <c r="X12" s="6"/>
    </row>
    <row r="13" spans="1:25">
      <c r="A13" s="262" t="s">
        <v>273</v>
      </c>
      <c r="B13" s="1150">
        <v>11.1</v>
      </c>
      <c r="C13" s="658">
        <v>14.36</v>
      </c>
      <c r="D13" s="658">
        <v>13.9</v>
      </c>
      <c r="E13" s="658">
        <v>9.1999999999999993</v>
      </c>
      <c r="F13" s="658">
        <v>8.98</v>
      </c>
      <c r="G13" s="658">
        <v>8.16</v>
      </c>
      <c r="H13" s="658">
        <v>7.04</v>
      </c>
      <c r="I13" s="658">
        <v>7.11</v>
      </c>
      <c r="J13" s="505">
        <v>7.11</v>
      </c>
      <c r="K13" s="658">
        <v>8.4499999999999993</v>
      </c>
      <c r="L13" s="661">
        <v>5.14</v>
      </c>
      <c r="M13" s="658">
        <v>7.79</v>
      </c>
      <c r="N13" s="658">
        <v>6.27</v>
      </c>
      <c r="O13" s="658">
        <v>10.29</v>
      </c>
      <c r="P13" s="658">
        <v>7.58</v>
      </c>
      <c r="Q13" s="1140">
        <f t="shared" si="1"/>
        <v>8.8320000000000007</v>
      </c>
      <c r="R13" s="1141">
        <f t="shared" si="2"/>
        <v>14.36</v>
      </c>
      <c r="S13" s="1141">
        <f t="shared" si="0"/>
        <v>7.1066666666666665</v>
      </c>
      <c r="T13" s="6"/>
      <c r="U13" s="6"/>
      <c r="V13" s="6"/>
      <c r="W13" s="6"/>
      <c r="X13" s="6"/>
    </row>
    <row r="14" spans="1:25">
      <c r="A14" s="262" t="s">
        <v>154</v>
      </c>
      <c r="B14" s="658">
        <v>11.16</v>
      </c>
      <c r="C14" s="658">
        <v>13.74</v>
      </c>
      <c r="D14" s="658">
        <v>13.82</v>
      </c>
      <c r="E14" s="658">
        <v>9.6</v>
      </c>
      <c r="F14" s="658">
        <v>9.3000000000000007</v>
      </c>
      <c r="G14" s="658">
        <v>8.42</v>
      </c>
      <c r="H14" s="658">
        <v>6.8</v>
      </c>
      <c r="I14" s="658">
        <v>7.46</v>
      </c>
      <c r="J14" s="505">
        <v>7.48</v>
      </c>
      <c r="K14" s="658">
        <v>8.4600000000000009</v>
      </c>
      <c r="L14" s="658">
        <v>5.15</v>
      </c>
      <c r="M14" s="658">
        <v>7.11</v>
      </c>
      <c r="N14" s="658">
        <v>6.26</v>
      </c>
      <c r="O14" s="658">
        <v>10.26</v>
      </c>
      <c r="P14" s="658">
        <v>9.56</v>
      </c>
      <c r="Q14" s="1140">
        <f t="shared" si="1"/>
        <v>8.9720000000000013</v>
      </c>
      <c r="R14" s="1141">
        <f t="shared" si="2"/>
        <v>13.82</v>
      </c>
      <c r="S14" s="1141">
        <f t="shared" si="0"/>
        <v>7.0766666666666671</v>
      </c>
      <c r="T14" s="6"/>
      <c r="U14" s="6"/>
      <c r="V14" s="6"/>
      <c r="W14" s="6"/>
      <c r="X14" s="6"/>
    </row>
    <row r="15" spans="1:25">
      <c r="A15" s="262" t="s">
        <v>155</v>
      </c>
      <c r="B15" s="658">
        <v>11.23</v>
      </c>
      <c r="C15" s="658">
        <v>11.23</v>
      </c>
      <c r="D15" s="658">
        <v>12.73</v>
      </c>
      <c r="E15" s="658">
        <v>9.2799999999999994</v>
      </c>
      <c r="F15" s="658">
        <v>9.6</v>
      </c>
      <c r="G15" s="658">
        <v>8.32</v>
      </c>
      <c r="H15" s="658">
        <v>8.01</v>
      </c>
      <c r="I15" s="658">
        <v>6.61</v>
      </c>
      <c r="J15" s="505">
        <v>7.93</v>
      </c>
      <c r="K15" s="658">
        <v>6.06</v>
      </c>
      <c r="L15" s="658">
        <v>4.57</v>
      </c>
      <c r="M15" s="658">
        <v>6.69</v>
      </c>
      <c r="N15" s="658">
        <v>6.11</v>
      </c>
      <c r="O15" s="658">
        <v>10.29</v>
      </c>
      <c r="P15" s="658">
        <v>9.75</v>
      </c>
      <c r="Q15" s="1140">
        <f t="shared" si="1"/>
        <v>8.5606666666666662</v>
      </c>
      <c r="R15" s="1141">
        <f t="shared" si="2"/>
        <v>12.73</v>
      </c>
      <c r="S15" s="1141">
        <f t="shared" si="0"/>
        <v>6.6449999999999996</v>
      </c>
      <c r="T15" s="6"/>
      <c r="U15" s="6"/>
      <c r="V15" s="6"/>
      <c r="W15" s="6"/>
      <c r="X15" s="6"/>
    </row>
    <row r="16" spans="1:25">
      <c r="A16" s="262" t="s">
        <v>156</v>
      </c>
      <c r="B16" s="658">
        <v>10.61</v>
      </c>
      <c r="C16" s="658">
        <v>9.7899999999999991</v>
      </c>
      <c r="D16" s="658">
        <v>11.05</v>
      </c>
      <c r="E16" s="658">
        <v>8.74</v>
      </c>
      <c r="F16" s="658">
        <v>9.8000000000000007</v>
      </c>
      <c r="G16" s="658">
        <v>7.91</v>
      </c>
      <c r="H16" s="658">
        <v>8.0399999999999991</v>
      </c>
      <c r="I16" s="658">
        <v>7.01</v>
      </c>
      <c r="J16" s="505">
        <v>6.53</v>
      </c>
      <c r="K16" s="658">
        <v>5.71</v>
      </c>
      <c r="L16" s="658">
        <v>3.97</v>
      </c>
      <c r="M16" s="658">
        <v>5.32</v>
      </c>
      <c r="N16" s="658">
        <v>6.3</v>
      </c>
      <c r="O16" s="658">
        <v>10.32</v>
      </c>
      <c r="P16" s="658">
        <v>9.91</v>
      </c>
      <c r="Q16" s="1140">
        <f t="shared" si="1"/>
        <v>8.0673333333333321</v>
      </c>
      <c r="R16" s="1141">
        <f t="shared" si="2"/>
        <v>11.05</v>
      </c>
      <c r="S16" s="1141">
        <f t="shared" si="0"/>
        <v>6.0966666666666667</v>
      </c>
      <c r="T16" s="6"/>
      <c r="U16" s="6"/>
      <c r="V16" s="6"/>
      <c r="W16" s="6"/>
      <c r="X16" s="6"/>
    </row>
    <row r="17" spans="1:24">
      <c r="A17" s="262" t="s">
        <v>157</v>
      </c>
      <c r="B17" s="658">
        <v>10.09</v>
      </c>
      <c r="C17" s="661">
        <v>7.94</v>
      </c>
      <c r="D17" s="658">
        <v>9.42</v>
      </c>
      <c r="E17" s="658">
        <v>8.8000000000000007</v>
      </c>
      <c r="F17" s="658">
        <v>9.65</v>
      </c>
      <c r="G17" s="658">
        <v>8.11</v>
      </c>
      <c r="H17" s="658">
        <v>6.25</v>
      </c>
      <c r="I17" s="658">
        <v>6.17</v>
      </c>
      <c r="J17" s="505">
        <v>4</v>
      </c>
      <c r="K17" s="658">
        <v>4.2</v>
      </c>
      <c r="L17" s="658">
        <v>4.92</v>
      </c>
      <c r="M17" s="658">
        <v>4.43</v>
      </c>
      <c r="N17" s="658">
        <v>6.3</v>
      </c>
      <c r="O17" s="658">
        <v>10.26</v>
      </c>
      <c r="P17" s="658">
        <v>9.4</v>
      </c>
      <c r="Q17" s="1140">
        <f t="shared" si="1"/>
        <v>7.3293333333333335</v>
      </c>
      <c r="R17" s="1141">
        <f t="shared" si="2"/>
        <v>10.26</v>
      </c>
      <c r="S17" s="1141">
        <f t="shared" si="0"/>
        <v>4.9950000000000001</v>
      </c>
      <c r="T17" s="6"/>
      <c r="U17" s="6"/>
      <c r="V17" s="6"/>
      <c r="W17" s="6"/>
      <c r="X17" s="6"/>
    </row>
    <row r="18" spans="1:24">
      <c r="A18" s="262" t="s">
        <v>158</v>
      </c>
      <c r="B18" s="658">
        <v>9.56</v>
      </c>
      <c r="C18" s="658">
        <v>7.6</v>
      </c>
      <c r="D18" s="658">
        <v>9.31</v>
      </c>
      <c r="E18" s="658">
        <v>8.1199999999999992</v>
      </c>
      <c r="F18" s="658">
        <v>9.9</v>
      </c>
      <c r="G18" s="658">
        <v>8.81</v>
      </c>
      <c r="H18" s="658">
        <v>6.3</v>
      </c>
      <c r="I18" s="658">
        <v>6.62</v>
      </c>
      <c r="J18" s="505">
        <v>3.2</v>
      </c>
      <c r="K18" s="658">
        <v>3.71</v>
      </c>
      <c r="L18" s="658">
        <v>3.27</v>
      </c>
      <c r="M18" s="658">
        <v>3.79</v>
      </c>
      <c r="N18" s="658">
        <v>6.22</v>
      </c>
      <c r="O18" s="658">
        <v>9.99</v>
      </c>
      <c r="P18" s="658">
        <v>7.9</v>
      </c>
      <c r="Q18" s="1140">
        <f t="shared" si="1"/>
        <v>6.9533333333333331</v>
      </c>
      <c r="R18" s="1141">
        <f t="shared" si="2"/>
        <v>9.99</v>
      </c>
      <c r="S18" s="1141">
        <f t="shared" si="0"/>
        <v>4.4816666666666665</v>
      </c>
      <c r="T18" s="6"/>
      <c r="U18" s="6"/>
      <c r="V18" s="6"/>
      <c r="W18" s="6"/>
      <c r="X18" s="6"/>
    </row>
    <row r="19" spans="1:24">
      <c r="A19" s="262" t="s">
        <v>159</v>
      </c>
      <c r="B19" s="658">
        <v>8.84</v>
      </c>
      <c r="C19" s="658">
        <v>6.26</v>
      </c>
      <c r="D19" s="658">
        <v>8.7200000000000006</v>
      </c>
      <c r="E19" s="658">
        <v>7.74</v>
      </c>
      <c r="F19" s="658">
        <v>9.74</v>
      </c>
      <c r="G19" s="658">
        <v>8.42</v>
      </c>
      <c r="H19" s="658">
        <v>3.39</v>
      </c>
      <c r="I19" s="658">
        <v>5.45</v>
      </c>
      <c r="J19" s="505">
        <v>2.17</v>
      </c>
      <c r="K19" s="658">
        <v>2.2799999999999998</v>
      </c>
      <c r="L19" s="658">
        <v>2.2200000000000002</v>
      </c>
      <c r="M19" s="658">
        <v>3.98</v>
      </c>
      <c r="N19" s="658">
        <v>6.32</v>
      </c>
      <c r="O19" s="658">
        <v>10.029999999999999</v>
      </c>
      <c r="P19" s="658">
        <v>7.31</v>
      </c>
      <c r="Q19" s="1140">
        <f t="shared" si="1"/>
        <v>6.1913333333333354</v>
      </c>
      <c r="R19" s="1141">
        <f t="shared" si="2"/>
        <v>10.029999999999999</v>
      </c>
      <c r="S19" s="1141">
        <f t="shared" si="0"/>
        <v>3.2483333333333331</v>
      </c>
      <c r="T19" s="6"/>
      <c r="U19" s="6"/>
      <c r="V19" s="6"/>
      <c r="W19" s="6"/>
      <c r="X19" s="6"/>
    </row>
    <row r="20" spans="1:24">
      <c r="A20" s="262" t="s">
        <v>179</v>
      </c>
      <c r="B20" s="658">
        <v>9.85</v>
      </c>
      <c r="C20" s="658">
        <v>3.32</v>
      </c>
      <c r="D20" s="658">
        <v>6.92</v>
      </c>
      <c r="E20" s="658">
        <v>6.96</v>
      </c>
      <c r="F20" s="658">
        <v>9.8699999999999992</v>
      </c>
      <c r="G20" s="658">
        <v>8</v>
      </c>
      <c r="H20" s="658">
        <v>2.58</v>
      </c>
      <c r="I20" s="658">
        <v>5.0199999999999996</v>
      </c>
      <c r="J20" s="505">
        <v>1.2</v>
      </c>
      <c r="K20" s="658">
        <v>0.86</v>
      </c>
      <c r="L20" s="658">
        <v>1.5</v>
      </c>
      <c r="M20" s="658">
        <v>3.48</v>
      </c>
      <c r="N20" s="658">
        <v>5.55</v>
      </c>
      <c r="O20" s="658"/>
      <c r="P20" s="658">
        <v>6.26</v>
      </c>
      <c r="Q20" s="1140">
        <f t="shared" si="1"/>
        <v>5.0978571428571433</v>
      </c>
      <c r="R20" s="1141">
        <f t="shared" si="2"/>
        <v>9.8699999999999992</v>
      </c>
      <c r="S20" s="1141">
        <f t="shared" si="0"/>
        <v>2.44</v>
      </c>
      <c r="T20" s="6"/>
      <c r="U20" s="6"/>
      <c r="V20" s="6"/>
      <c r="W20" s="6"/>
      <c r="X20" s="6"/>
    </row>
    <row r="21" spans="1:24">
      <c r="A21" s="262" t="s">
        <v>180</v>
      </c>
      <c r="B21" s="658">
        <v>4.12</v>
      </c>
      <c r="C21" s="658">
        <v>2.6</v>
      </c>
      <c r="D21" s="658">
        <v>6.25</v>
      </c>
      <c r="E21" s="658">
        <v>7.06</v>
      </c>
      <c r="F21" s="658">
        <v>9.85</v>
      </c>
      <c r="G21" s="658">
        <v>8.69</v>
      </c>
      <c r="H21" s="658">
        <v>1.7</v>
      </c>
      <c r="I21" s="658">
        <v>3.7</v>
      </c>
      <c r="J21" s="505">
        <v>0.56000000000000005</v>
      </c>
      <c r="K21" s="658"/>
      <c r="L21" s="658"/>
      <c r="M21" s="658"/>
      <c r="N21" s="658"/>
      <c r="O21" s="658"/>
      <c r="P21" s="658"/>
      <c r="Q21" s="1140">
        <f t="shared" si="1"/>
        <v>4.9477777777777785</v>
      </c>
      <c r="R21" s="1141">
        <f t="shared" si="2"/>
        <v>9.85</v>
      </c>
      <c r="S21" s="1141">
        <f t="shared" si="0"/>
        <v>1.986666666666667</v>
      </c>
      <c r="T21" s="6"/>
      <c r="U21" s="6"/>
      <c r="V21" s="6"/>
      <c r="W21" s="6"/>
    </row>
    <row r="22" spans="1:24">
      <c r="A22" s="269" t="s">
        <v>364</v>
      </c>
      <c r="B22" s="658">
        <f>AVERAGE(B7:B10)</f>
        <v>14.055</v>
      </c>
      <c r="C22" s="658">
        <f t="shared" ref="C22:P22" si="3">AVERAGE(C7:C10)</f>
        <v>15.225000000000001</v>
      </c>
      <c r="D22" s="658">
        <f t="shared" si="3"/>
        <v>15.3125</v>
      </c>
      <c r="E22" s="658">
        <f t="shared" si="3"/>
        <v>10.244999999999999</v>
      </c>
      <c r="F22" s="658">
        <f t="shared" si="3"/>
        <v>8.84</v>
      </c>
      <c r="G22" s="658">
        <f t="shared" si="3"/>
        <v>7.7225000000000001</v>
      </c>
      <c r="H22" s="658">
        <f t="shared" si="3"/>
        <v>8.16</v>
      </c>
      <c r="I22" s="658">
        <f t="shared" si="3"/>
        <v>8.5350000000000001</v>
      </c>
      <c r="J22" s="658">
        <f t="shared" si="3"/>
        <v>8.0250000000000004</v>
      </c>
      <c r="K22" s="658">
        <f t="shared" si="3"/>
        <v>8.3674999999999997</v>
      </c>
      <c r="L22" s="658">
        <f t="shared" si="3"/>
        <v>6.9449999999999994</v>
      </c>
      <c r="M22" s="658">
        <f t="shared" si="3"/>
        <v>8.7725000000000009</v>
      </c>
      <c r="N22" s="658">
        <f t="shared" si="3"/>
        <v>6.6124999999999998</v>
      </c>
      <c r="O22" s="658">
        <f t="shared" si="3"/>
        <v>10.959999999999999</v>
      </c>
      <c r="P22" s="658">
        <f t="shared" si="3"/>
        <v>14.055</v>
      </c>
      <c r="Q22" s="658">
        <f>AVERAGE(Q7:Q10)</f>
        <v>10.122166666666665</v>
      </c>
      <c r="R22" s="658">
        <f>AVERAGE(R7:R10)</f>
        <v>15.435</v>
      </c>
      <c r="S22" s="658">
        <f>AVERAGE(S7:S10)</f>
        <v>8.1341666666666672</v>
      </c>
    </row>
    <row r="23" spans="1:24">
      <c r="A23" s="269" t="s">
        <v>365</v>
      </c>
      <c r="B23" s="658">
        <f>AVERAGE(B7:B21)</f>
        <v>11.061333333333332</v>
      </c>
      <c r="C23" s="658">
        <f t="shared" ref="C23:P23" si="4">AVERAGE(C7:C21)</f>
        <v>11.129999999999997</v>
      </c>
      <c r="D23" s="658">
        <f t="shared" si="4"/>
        <v>12.259333333333332</v>
      </c>
      <c r="E23" s="658">
        <f t="shared" si="4"/>
        <v>9.0920000000000005</v>
      </c>
      <c r="F23" s="658">
        <f t="shared" si="4"/>
        <v>9.325333333333333</v>
      </c>
      <c r="G23" s="658">
        <f t="shared" si="4"/>
        <v>8.09</v>
      </c>
      <c r="H23" s="658">
        <f t="shared" si="4"/>
        <v>6.5520000000000005</v>
      </c>
      <c r="I23" s="658">
        <f t="shared" si="4"/>
        <v>7.0633333333333344</v>
      </c>
      <c r="J23" s="658">
        <f t="shared" si="4"/>
        <v>5.8213333333333335</v>
      </c>
      <c r="K23" s="658">
        <f t="shared" si="4"/>
        <v>6.4414285714285695</v>
      </c>
      <c r="L23" s="658">
        <f t="shared" si="4"/>
        <v>4.9314285714285706</v>
      </c>
      <c r="M23" s="658">
        <f t="shared" si="4"/>
        <v>6.7900000000000009</v>
      </c>
      <c r="N23" s="658">
        <f t="shared" si="4"/>
        <v>6.3092857142857142</v>
      </c>
      <c r="O23" s="658">
        <f t="shared" si="4"/>
        <v>10.493076923076924</v>
      </c>
      <c r="P23" s="658">
        <f t="shared" si="4"/>
        <v>10.265714285714285</v>
      </c>
      <c r="Q23" s="658">
        <f>AVERAGE(Q7:Q21)</f>
        <v>8.281975661375661</v>
      </c>
      <c r="R23" s="658">
        <f>AVERAGE(R7:R21)</f>
        <v>12.948</v>
      </c>
      <c r="S23" s="658">
        <f>AVERAGE(S7:S21)</f>
        <v>6.1310000000000002</v>
      </c>
    </row>
    <row r="24" spans="1:24" ht="15.5">
      <c r="A24" s="1450" t="s">
        <v>350</v>
      </c>
      <c r="B24" s="1451"/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2"/>
    </row>
    <row r="25" spans="1:24">
      <c r="A25" s="262" t="s">
        <v>270</v>
      </c>
      <c r="B25" s="658">
        <v>14.9</v>
      </c>
      <c r="C25" s="658"/>
      <c r="D25" s="658">
        <v>15.36</v>
      </c>
      <c r="E25" s="658">
        <v>10.58</v>
      </c>
      <c r="F25" s="658">
        <v>8.8699999999999992</v>
      </c>
      <c r="G25" s="658">
        <v>7.96</v>
      </c>
      <c r="H25" s="658">
        <v>8.4600000000000009</v>
      </c>
      <c r="I25" s="658">
        <v>9.61</v>
      </c>
      <c r="J25" s="658">
        <v>9.7100000000000009</v>
      </c>
      <c r="K25" s="658">
        <v>9.4499999999999993</v>
      </c>
      <c r="L25" s="658">
        <v>7.14</v>
      </c>
      <c r="M25" s="658">
        <v>12.57</v>
      </c>
      <c r="N25" s="658">
        <v>7</v>
      </c>
      <c r="O25" s="658">
        <v>10.59</v>
      </c>
      <c r="P25" s="658">
        <v>14.4</v>
      </c>
      <c r="Q25" s="1140">
        <f t="shared" ref="Q25:Q36" si="5">AVERAGE(B25:P25)</f>
        <v>10.471428571428572</v>
      </c>
      <c r="R25" s="1141">
        <f t="shared" ref="R25:R36" si="6">MAX(B25:P25)</f>
        <v>15.36</v>
      </c>
      <c r="S25" s="1141">
        <f t="shared" si="0"/>
        <v>9.49</v>
      </c>
    </row>
    <row r="26" spans="1:24">
      <c r="A26" s="262" t="s">
        <v>151</v>
      </c>
      <c r="B26" s="658">
        <v>13.82</v>
      </c>
      <c r="C26" s="658"/>
      <c r="D26" s="658">
        <v>15.26</v>
      </c>
      <c r="E26" s="658">
        <v>10.43</v>
      </c>
      <c r="F26" s="658">
        <v>8.58</v>
      </c>
      <c r="G26" s="658">
        <v>8.01</v>
      </c>
      <c r="H26" s="658">
        <v>8.67</v>
      </c>
      <c r="I26" s="658">
        <v>9.66</v>
      </c>
      <c r="J26" s="658">
        <v>9.4499999999999993</v>
      </c>
      <c r="K26" s="658">
        <v>9.91</v>
      </c>
      <c r="L26" s="658">
        <v>6.44</v>
      </c>
      <c r="M26" s="658">
        <v>12.48</v>
      </c>
      <c r="N26" s="658">
        <v>6.71</v>
      </c>
      <c r="O26" s="658">
        <v>10.49</v>
      </c>
      <c r="P26" s="658">
        <v>14.4</v>
      </c>
      <c r="Q26" s="1140">
        <f t="shared" si="5"/>
        <v>10.307857142857143</v>
      </c>
      <c r="R26" s="1141">
        <f t="shared" si="6"/>
        <v>15.26</v>
      </c>
      <c r="S26" s="1141">
        <f t="shared" si="0"/>
        <v>9.4350000000000005</v>
      </c>
    </row>
    <row r="27" spans="1:24">
      <c r="A27" s="262" t="s">
        <v>271</v>
      </c>
      <c r="B27" s="658">
        <v>12.78</v>
      </c>
      <c r="C27" s="658"/>
      <c r="D27" s="658">
        <v>15.28</v>
      </c>
      <c r="E27" s="658">
        <v>10.1</v>
      </c>
      <c r="F27" s="658">
        <v>8.6300000000000008</v>
      </c>
      <c r="G27" s="658">
        <v>7.67</v>
      </c>
      <c r="H27" s="658">
        <v>8.36</v>
      </c>
      <c r="I27" s="658">
        <v>9.6300000000000008</v>
      </c>
      <c r="J27" s="658">
        <v>8.35</v>
      </c>
      <c r="K27" s="658">
        <v>9.4700000000000006</v>
      </c>
      <c r="L27" s="658">
        <v>6.33</v>
      </c>
      <c r="M27" s="658">
        <v>10.57</v>
      </c>
      <c r="N27" s="658">
        <v>6.45</v>
      </c>
      <c r="O27" s="658">
        <v>10.25</v>
      </c>
      <c r="P27" s="658">
        <v>14.22</v>
      </c>
      <c r="Q27" s="1140">
        <f t="shared" si="5"/>
        <v>9.8635714285714293</v>
      </c>
      <c r="R27" s="1141">
        <f t="shared" si="6"/>
        <v>15.28</v>
      </c>
      <c r="S27" s="1141">
        <f t="shared" si="0"/>
        <v>8.7850000000000001</v>
      </c>
    </row>
    <row r="28" spans="1:24">
      <c r="A28" s="262" t="s">
        <v>152</v>
      </c>
      <c r="B28" s="658">
        <v>12.38</v>
      </c>
      <c r="C28" s="658"/>
      <c r="D28" s="658">
        <v>15.16</v>
      </c>
      <c r="E28" s="658">
        <v>10.09</v>
      </c>
      <c r="F28" s="658">
        <v>8.6199999999999992</v>
      </c>
      <c r="G28" s="658">
        <v>6.73</v>
      </c>
      <c r="H28" s="658">
        <v>7.55</v>
      </c>
      <c r="I28" s="658">
        <v>8.9499999999999993</v>
      </c>
      <c r="J28" s="658">
        <v>7.76</v>
      </c>
      <c r="K28" s="658">
        <v>9.1300000000000008</v>
      </c>
      <c r="L28" s="658">
        <v>5.65</v>
      </c>
      <c r="M28" s="658">
        <v>10.58</v>
      </c>
      <c r="N28" s="658">
        <v>6.66</v>
      </c>
      <c r="O28" s="658">
        <v>10.29</v>
      </c>
      <c r="P28" s="658">
        <v>14.14</v>
      </c>
      <c r="Q28" s="1140">
        <f t="shared" si="5"/>
        <v>9.5492857142857144</v>
      </c>
      <c r="R28" s="1141">
        <f t="shared" si="6"/>
        <v>15.16</v>
      </c>
      <c r="S28" s="1141">
        <f t="shared" si="0"/>
        <v>8.27</v>
      </c>
    </row>
    <row r="29" spans="1:24">
      <c r="A29" s="262" t="s">
        <v>272</v>
      </c>
      <c r="B29" s="658">
        <v>11.76</v>
      </c>
      <c r="C29" s="658"/>
      <c r="D29" s="658">
        <v>13.31</v>
      </c>
      <c r="E29" s="658">
        <v>9.61</v>
      </c>
      <c r="F29" s="658">
        <v>8.58</v>
      </c>
      <c r="G29" s="658">
        <v>8.56</v>
      </c>
      <c r="H29" s="658">
        <v>6.8</v>
      </c>
      <c r="I29" s="658">
        <v>8.61</v>
      </c>
      <c r="J29" s="658">
        <v>7.25</v>
      </c>
      <c r="K29" s="658">
        <v>8.6300000000000008</v>
      </c>
      <c r="L29" s="658">
        <v>5.51</v>
      </c>
      <c r="M29" s="658">
        <v>9.14</v>
      </c>
      <c r="N29" s="658">
        <v>6.28</v>
      </c>
      <c r="O29" s="658">
        <v>10.26</v>
      </c>
      <c r="P29" s="658">
        <v>11.21</v>
      </c>
      <c r="Q29" s="1140">
        <f t="shared" si="5"/>
        <v>8.9649999999999999</v>
      </c>
      <c r="R29" s="1141">
        <f t="shared" si="6"/>
        <v>13.31</v>
      </c>
      <c r="S29" s="1141">
        <f t="shared" si="0"/>
        <v>7.6566666666666663</v>
      </c>
    </row>
    <row r="30" spans="1:24">
      <c r="A30" s="262" t="s">
        <v>153</v>
      </c>
      <c r="B30" s="658">
        <v>11.27</v>
      </c>
      <c r="C30" s="658"/>
      <c r="D30" s="658">
        <v>15.29</v>
      </c>
      <c r="E30" s="658">
        <v>9.91</v>
      </c>
      <c r="F30" s="658">
        <v>9</v>
      </c>
      <c r="G30" s="658">
        <v>8.24</v>
      </c>
      <c r="H30" s="658">
        <v>7.1</v>
      </c>
      <c r="I30" s="658">
        <v>7.63</v>
      </c>
      <c r="J30" s="658">
        <v>6.61</v>
      </c>
      <c r="K30" s="658">
        <v>8.3699999999999992</v>
      </c>
      <c r="L30" s="658">
        <v>5.33</v>
      </c>
      <c r="M30" s="658">
        <v>8.75</v>
      </c>
      <c r="N30" s="658">
        <v>6.15</v>
      </c>
      <c r="O30" s="658">
        <v>10.42</v>
      </c>
      <c r="P30" s="658">
        <v>9.7100000000000009</v>
      </c>
      <c r="Q30" s="1140">
        <f t="shared" si="5"/>
        <v>8.8414285714285707</v>
      </c>
      <c r="R30" s="1141">
        <f t="shared" si="6"/>
        <v>15.29</v>
      </c>
      <c r="S30" s="1141">
        <f t="shared" si="0"/>
        <v>7.2983333333333329</v>
      </c>
    </row>
    <row r="31" spans="1:24">
      <c r="A31" s="262" t="s">
        <v>273</v>
      </c>
      <c r="B31" s="658">
        <v>11.06</v>
      </c>
      <c r="C31" s="658"/>
      <c r="D31" s="658">
        <v>15.31</v>
      </c>
      <c r="E31" s="658">
        <v>9.86</v>
      </c>
      <c r="F31" s="658">
        <v>9.24</v>
      </c>
      <c r="G31" s="658">
        <v>7.74</v>
      </c>
      <c r="H31" s="658">
        <v>7.02</v>
      </c>
      <c r="I31" s="658">
        <v>7.42</v>
      </c>
      <c r="J31" s="658">
        <v>6.23</v>
      </c>
      <c r="K31" s="658">
        <v>7.93</v>
      </c>
      <c r="L31" s="658">
        <v>5.14</v>
      </c>
      <c r="M31" s="658">
        <v>8.9700000000000006</v>
      </c>
      <c r="N31" s="658">
        <v>6.42</v>
      </c>
      <c r="O31" s="658">
        <v>10.27</v>
      </c>
      <c r="P31" s="658">
        <v>9.17</v>
      </c>
      <c r="Q31" s="1140">
        <f t="shared" si="5"/>
        <v>8.6985714285714284</v>
      </c>
      <c r="R31" s="1141">
        <f t="shared" si="6"/>
        <v>15.31</v>
      </c>
      <c r="S31" s="1141">
        <f t="shared" si="0"/>
        <v>7.1183333333333332</v>
      </c>
    </row>
    <row r="32" spans="1:24">
      <c r="A32" s="262" t="s">
        <v>154</v>
      </c>
      <c r="B32" s="658">
        <v>10.82</v>
      </c>
      <c r="C32" s="658"/>
      <c r="D32" s="658">
        <v>15.12</v>
      </c>
      <c r="E32" s="658">
        <v>8.5500000000000007</v>
      </c>
      <c r="F32" s="658">
        <v>9.2200000000000006</v>
      </c>
      <c r="G32" s="658">
        <v>7.92</v>
      </c>
      <c r="H32" s="658">
        <v>6.84</v>
      </c>
      <c r="I32" s="658">
        <v>6.36</v>
      </c>
      <c r="J32" s="658">
        <v>6.23</v>
      </c>
      <c r="K32" s="658">
        <v>6.8</v>
      </c>
      <c r="L32" s="658">
        <v>5.57</v>
      </c>
      <c r="M32" s="658">
        <v>8.61</v>
      </c>
      <c r="N32" s="658">
        <v>6.29</v>
      </c>
      <c r="O32" s="658">
        <v>10.51</v>
      </c>
      <c r="P32" s="658">
        <v>9.6300000000000008</v>
      </c>
      <c r="Q32" s="1140">
        <f t="shared" si="5"/>
        <v>8.4621428571428581</v>
      </c>
      <c r="R32" s="1141">
        <f t="shared" si="6"/>
        <v>15.12</v>
      </c>
      <c r="S32" s="1141">
        <f t="shared" si="0"/>
        <v>6.7349999999999994</v>
      </c>
    </row>
    <row r="33" spans="1:19">
      <c r="A33" s="262" t="s">
        <v>155</v>
      </c>
      <c r="B33" s="658">
        <v>10.43</v>
      </c>
      <c r="C33" s="658"/>
      <c r="D33" s="658">
        <v>12.94</v>
      </c>
      <c r="E33" s="658">
        <v>8.75</v>
      </c>
      <c r="F33" s="658">
        <v>9.35</v>
      </c>
      <c r="G33" s="658">
        <v>8.31</v>
      </c>
      <c r="H33" s="658">
        <v>7.7</v>
      </c>
      <c r="I33" s="658">
        <v>6.51</v>
      </c>
      <c r="J33" s="658">
        <v>5.6</v>
      </c>
      <c r="K33" s="658">
        <v>4.8600000000000003</v>
      </c>
      <c r="L33" s="658">
        <v>5.82</v>
      </c>
      <c r="M33" s="658">
        <v>6.43</v>
      </c>
      <c r="N33" s="658">
        <v>6.08</v>
      </c>
      <c r="O33" s="658">
        <v>10.55</v>
      </c>
      <c r="P33" s="658">
        <v>9.83</v>
      </c>
      <c r="Q33" s="1140">
        <f t="shared" si="5"/>
        <v>8.0828571428571436</v>
      </c>
      <c r="R33" s="1141">
        <f t="shared" si="6"/>
        <v>12.94</v>
      </c>
      <c r="S33" s="1141">
        <f t="shared" si="0"/>
        <v>6.1533333333333333</v>
      </c>
    </row>
    <row r="34" spans="1:19">
      <c r="A34" s="262" t="s">
        <v>156</v>
      </c>
      <c r="B34" s="658">
        <v>9.6</v>
      </c>
      <c r="C34" s="658"/>
      <c r="D34" s="658">
        <v>11.91</v>
      </c>
      <c r="E34" s="658">
        <v>7.32</v>
      </c>
      <c r="F34" s="658">
        <v>10.18</v>
      </c>
      <c r="G34" s="658">
        <v>8.31</v>
      </c>
      <c r="H34" s="658">
        <v>7.23</v>
      </c>
      <c r="I34" s="658">
        <v>6.45</v>
      </c>
      <c r="J34" s="658">
        <v>4.67</v>
      </c>
      <c r="K34" s="658">
        <v>4.3</v>
      </c>
      <c r="L34" s="658">
        <v>5.66</v>
      </c>
      <c r="M34" s="658">
        <v>5.19</v>
      </c>
      <c r="N34" s="658">
        <v>6.42</v>
      </c>
      <c r="O34" s="658"/>
      <c r="P34" s="658">
        <v>7.8</v>
      </c>
      <c r="Q34" s="1140">
        <f t="shared" si="5"/>
        <v>7.31076923076923</v>
      </c>
      <c r="R34" s="1141">
        <f t="shared" si="6"/>
        <v>11.91</v>
      </c>
      <c r="S34" s="1141">
        <f t="shared" si="0"/>
        <v>5.583333333333333</v>
      </c>
    </row>
    <row r="35" spans="1:19">
      <c r="A35" s="262" t="s">
        <v>157</v>
      </c>
      <c r="B35" s="658">
        <v>6.84</v>
      </c>
      <c r="C35" s="658"/>
      <c r="D35" s="658">
        <v>9.86</v>
      </c>
      <c r="E35" s="658"/>
      <c r="F35" s="658">
        <v>9.9499999999999993</v>
      </c>
      <c r="G35" s="658">
        <v>8.31</v>
      </c>
      <c r="H35" s="658">
        <v>5.97</v>
      </c>
      <c r="I35" s="658">
        <v>7.02</v>
      </c>
      <c r="J35" s="658">
        <v>4.51</v>
      </c>
      <c r="K35" s="658">
        <v>2.86</v>
      </c>
      <c r="L35" s="658"/>
      <c r="M35" s="658">
        <v>4.51</v>
      </c>
      <c r="N35" s="658">
        <v>5.96</v>
      </c>
      <c r="O35" s="658"/>
      <c r="P35" s="658">
        <v>6.4</v>
      </c>
      <c r="Q35" s="1140">
        <f t="shared" si="5"/>
        <v>6.5627272727272725</v>
      </c>
      <c r="R35" s="1141">
        <f t="shared" si="6"/>
        <v>9.9499999999999993</v>
      </c>
      <c r="S35" s="1141">
        <f t="shared" si="0"/>
        <v>4.9739999999999993</v>
      </c>
    </row>
    <row r="36" spans="1:19">
      <c r="A36" s="262" t="s">
        <v>158</v>
      </c>
      <c r="B36" s="658">
        <v>4.05</v>
      </c>
      <c r="C36" s="658"/>
      <c r="D36" s="658">
        <v>9.56</v>
      </c>
      <c r="E36" s="658"/>
      <c r="F36" s="658">
        <v>9.9499999999999993</v>
      </c>
      <c r="G36" s="658">
        <v>8.31</v>
      </c>
      <c r="H36" s="658">
        <v>4.97</v>
      </c>
      <c r="I36" s="658">
        <v>6.57</v>
      </c>
      <c r="J36" s="658"/>
      <c r="K36" s="658"/>
      <c r="L36" s="658"/>
      <c r="M36" s="658"/>
      <c r="N36" s="658">
        <v>5.98</v>
      </c>
      <c r="O36" s="658"/>
      <c r="P36" s="658">
        <v>6.05</v>
      </c>
      <c r="Q36" s="1140">
        <f t="shared" si="5"/>
        <v>6.93</v>
      </c>
      <c r="R36" s="1141">
        <f t="shared" si="6"/>
        <v>9.9499999999999993</v>
      </c>
      <c r="S36" s="1141">
        <f t="shared" si="0"/>
        <v>5.77</v>
      </c>
    </row>
    <row r="37" spans="1:19">
      <c r="A37" s="269" t="s">
        <v>364</v>
      </c>
      <c r="B37" s="658">
        <f>AVERAGE(B25:B28)</f>
        <v>13.47</v>
      </c>
      <c r="C37" s="658"/>
      <c r="D37" s="658">
        <f>AVERAGE(D25:D28)</f>
        <v>15.265000000000001</v>
      </c>
      <c r="E37" s="658">
        <f t="shared" ref="E37:P37" si="7">AVERAGE(E25:E28)</f>
        <v>10.3</v>
      </c>
      <c r="F37" s="658">
        <f t="shared" si="7"/>
        <v>8.6749999999999989</v>
      </c>
      <c r="G37" s="658">
        <f t="shared" si="7"/>
        <v>7.5925000000000002</v>
      </c>
      <c r="H37" s="658">
        <f t="shared" si="7"/>
        <v>8.26</v>
      </c>
      <c r="I37" s="658">
        <f t="shared" si="7"/>
        <v>9.4624999999999986</v>
      </c>
      <c r="J37" s="658">
        <f t="shared" si="7"/>
        <v>8.817499999999999</v>
      </c>
      <c r="K37" s="658">
        <f t="shared" si="7"/>
        <v>9.49</v>
      </c>
      <c r="L37" s="658">
        <f t="shared" si="7"/>
        <v>6.3900000000000006</v>
      </c>
      <c r="M37" s="658">
        <f t="shared" si="7"/>
        <v>11.55</v>
      </c>
      <c r="N37" s="658">
        <f t="shared" si="7"/>
        <v>6.7050000000000001</v>
      </c>
      <c r="O37" s="658">
        <f t="shared" si="7"/>
        <v>10.404999999999999</v>
      </c>
      <c r="P37" s="658">
        <f t="shared" si="7"/>
        <v>14.290000000000001</v>
      </c>
      <c r="Q37" s="658">
        <f>AVERAGE(Q25:Q28)</f>
        <v>10.048035714285714</v>
      </c>
      <c r="R37" s="658">
        <f>AVERAGE(R25:R28)</f>
        <v>15.265000000000001</v>
      </c>
      <c r="S37" s="658">
        <f>AVERAGE(S25:S28)</f>
        <v>8.995000000000001</v>
      </c>
    </row>
    <row r="38" spans="1:19">
      <c r="A38" s="262" t="s">
        <v>362</v>
      </c>
      <c r="B38" s="658">
        <f t="shared" ref="B38:P38" si="8">AVERAGE(B25:B36)</f>
        <v>10.809166666666668</v>
      </c>
      <c r="C38" s="658"/>
      <c r="D38" s="658">
        <f t="shared" si="8"/>
        <v>13.696666666666667</v>
      </c>
      <c r="E38" s="658">
        <f t="shared" si="8"/>
        <v>9.52</v>
      </c>
      <c r="F38" s="658">
        <f t="shared" si="8"/>
        <v>9.1808333333333323</v>
      </c>
      <c r="G38" s="658">
        <f t="shared" si="8"/>
        <v>8.0058333333333334</v>
      </c>
      <c r="H38" s="658">
        <f t="shared" si="8"/>
        <v>7.2225000000000001</v>
      </c>
      <c r="I38" s="658">
        <f t="shared" si="8"/>
        <v>7.868333333333335</v>
      </c>
      <c r="J38" s="658">
        <f t="shared" si="8"/>
        <v>6.9427272727272733</v>
      </c>
      <c r="K38" s="658">
        <f t="shared" si="8"/>
        <v>7.4281818181818178</v>
      </c>
      <c r="L38" s="658">
        <f t="shared" si="8"/>
        <v>5.859</v>
      </c>
      <c r="M38" s="658">
        <f t="shared" si="8"/>
        <v>8.8909090909090907</v>
      </c>
      <c r="N38" s="658">
        <f t="shared" si="8"/>
        <v>6.3666666666666663</v>
      </c>
      <c r="O38" s="658">
        <f t="shared" si="8"/>
        <v>10.403333333333332</v>
      </c>
      <c r="P38" s="658">
        <f t="shared" si="8"/>
        <v>10.58</v>
      </c>
      <c r="Q38" s="658">
        <f>AVERAGE(Q25:Q36)</f>
        <v>8.6704699467199458</v>
      </c>
      <c r="R38" s="658">
        <f>AVERAGE(R25:R36)</f>
        <v>13.736666666666665</v>
      </c>
      <c r="S38" s="658">
        <f>AVERAGE(S25:S36)</f>
        <v>7.2724166666666656</v>
      </c>
    </row>
    <row r="39" spans="1:19" ht="15.5">
      <c r="A39" s="1450" t="s">
        <v>351</v>
      </c>
      <c r="B39" s="1451"/>
      <c r="C39" s="1451"/>
      <c r="D39" s="1451"/>
      <c r="E39" s="1451"/>
      <c r="F39" s="1451"/>
      <c r="G39" s="1451"/>
      <c r="H39" s="1451"/>
      <c r="I39" s="1451"/>
      <c r="J39" s="1451"/>
      <c r="K39" s="1451"/>
      <c r="L39" s="1451"/>
      <c r="M39" s="1451"/>
      <c r="N39" s="1451"/>
      <c r="O39" s="1451"/>
      <c r="P39" s="1451"/>
      <c r="Q39" s="1451"/>
      <c r="R39" s="1451"/>
      <c r="S39" s="1452"/>
    </row>
    <row r="40" spans="1:19">
      <c r="A40" s="262" t="s">
        <v>270</v>
      </c>
      <c r="B40" s="658">
        <v>13.57</v>
      </c>
      <c r="C40" s="658"/>
      <c r="D40" s="658">
        <v>15.43</v>
      </c>
      <c r="E40" s="658">
        <v>10.34</v>
      </c>
      <c r="F40" s="658">
        <v>8.85</v>
      </c>
      <c r="G40" s="658">
        <v>7.65</v>
      </c>
      <c r="H40" s="658">
        <v>9.1</v>
      </c>
      <c r="I40" s="658">
        <v>9.86</v>
      </c>
      <c r="J40" s="658">
        <v>7.91</v>
      </c>
      <c r="K40" s="658">
        <v>10.210000000000001</v>
      </c>
      <c r="L40" s="658">
        <v>6.33</v>
      </c>
      <c r="M40" s="658">
        <v>11.56</v>
      </c>
      <c r="N40" s="658">
        <v>6.89</v>
      </c>
      <c r="O40" s="658">
        <v>10.93</v>
      </c>
      <c r="P40" s="658">
        <v>14.43</v>
      </c>
      <c r="Q40" s="1140">
        <f t="shared" ref="Q40:Q51" si="9">AVERAGE(B40:P40)</f>
        <v>10.218571428571428</v>
      </c>
      <c r="R40" s="1141">
        <f t="shared" ref="R40:R51" si="10">MAX(B40:P40)</f>
        <v>15.43</v>
      </c>
      <c r="S40" s="1141">
        <f t="shared" si="0"/>
        <v>9.1616666666666671</v>
      </c>
    </row>
    <row r="41" spans="1:19">
      <c r="A41" s="262" t="s">
        <v>151</v>
      </c>
      <c r="B41" s="658">
        <v>13.13</v>
      </c>
      <c r="C41" s="658"/>
      <c r="D41" s="658">
        <v>15.37</v>
      </c>
      <c r="E41" s="658">
        <v>10.26</v>
      </c>
      <c r="F41" s="658">
        <v>8.9700000000000006</v>
      </c>
      <c r="G41" s="658">
        <v>7.81</v>
      </c>
      <c r="H41" s="658">
        <v>8.4499999999999993</v>
      </c>
      <c r="I41" s="658">
        <v>9.86</v>
      </c>
      <c r="J41" s="658">
        <v>8.23</v>
      </c>
      <c r="K41" s="658">
        <v>10.199999999999999</v>
      </c>
      <c r="L41" s="658">
        <v>6.22</v>
      </c>
      <c r="M41" s="658">
        <v>10.86</v>
      </c>
      <c r="N41" s="658">
        <v>6.8</v>
      </c>
      <c r="O41" s="658">
        <v>10.74</v>
      </c>
      <c r="P41" s="658">
        <v>14.11</v>
      </c>
      <c r="Q41" s="1140">
        <f t="shared" si="9"/>
        <v>10.072142857142856</v>
      </c>
      <c r="R41" s="1141">
        <f t="shared" si="10"/>
        <v>15.37</v>
      </c>
      <c r="S41" s="1141">
        <f t="shared" si="0"/>
        <v>8.9699999999999989</v>
      </c>
    </row>
    <row r="42" spans="1:19">
      <c r="A42" s="262" t="s">
        <v>271</v>
      </c>
      <c r="B42" s="658">
        <v>12.67</v>
      </c>
      <c r="C42" s="658"/>
      <c r="D42" s="658">
        <v>15.22</v>
      </c>
      <c r="E42" s="658">
        <v>10.36</v>
      </c>
      <c r="F42" s="658">
        <v>9.06</v>
      </c>
      <c r="G42" s="658">
        <v>7.93</v>
      </c>
      <c r="H42" s="658">
        <v>8.4</v>
      </c>
      <c r="I42" s="658">
        <v>9.0299999999999994</v>
      </c>
      <c r="J42" s="658">
        <v>8.1</v>
      </c>
      <c r="K42" s="658">
        <v>9.41</v>
      </c>
      <c r="L42" s="658">
        <v>6.14</v>
      </c>
      <c r="M42" s="658">
        <v>9.89</v>
      </c>
      <c r="N42" s="658">
        <v>6.32</v>
      </c>
      <c r="O42" s="658">
        <v>10.65</v>
      </c>
      <c r="P42" s="658">
        <v>14.36</v>
      </c>
      <c r="Q42" s="1140">
        <f t="shared" si="9"/>
        <v>9.8242857142857165</v>
      </c>
      <c r="R42" s="1141">
        <f t="shared" si="10"/>
        <v>15.22</v>
      </c>
      <c r="S42" s="1141">
        <f t="shared" si="0"/>
        <v>8.4949999999999992</v>
      </c>
    </row>
    <row r="43" spans="1:19">
      <c r="A43" s="262" t="s">
        <v>152</v>
      </c>
      <c r="B43" s="658">
        <v>12.07</v>
      </c>
      <c r="C43" s="658"/>
      <c r="D43" s="658">
        <v>15.21</v>
      </c>
      <c r="E43" s="658">
        <v>10.15</v>
      </c>
      <c r="F43" s="658">
        <v>9.0299999999999994</v>
      </c>
      <c r="G43" s="658">
        <v>8.1999999999999993</v>
      </c>
      <c r="H43" s="658">
        <v>8.41</v>
      </c>
      <c r="I43" s="658">
        <v>8.58</v>
      </c>
      <c r="J43" s="658">
        <v>8.1999999999999993</v>
      </c>
      <c r="K43" s="658">
        <v>8.25</v>
      </c>
      <c r="L43" s="658">
        <v>5.83</v>
      </c>
      <c r="M43" s="658">
        <v>9.6999999999999993</v>
      </c>
      <c r="N43" s="658">
        <v>6.5</v>
      </c>
      <c r="O43" s="658">
        <v>10.49</v>
      </c>
      <c r="P43" s="658">
        <v>12.87</v>
      </c>
      <c r="Q43" s="1140">
        <f t="shared" si="9"/>
        <v>9.5349999999999984</v>
      </c>
      <c r="R43" s="1141">
        <f t="shared" si="10"/>
        <v>15.21</v>
      </c>
      <c r="S43" s="1141">
        <f t="shared" si="0"/>
        <v>8.1616666666666671</v>
      </c>
    </row>
    <row r="44" spans="1:19">
      <c r="A44" s="262" t="s">
        <v>272</v>
      </c>
      <c r="B44" s="658">
        <v>11.73</v>
      </c>
      <c r="C44" s="658"/>
      <c r="D44" s="658">
        <v>15.26</v>
      </c>
      <c r="E44" s="658">
        <v>9.6199999999999992</v>
      </c>
      <c r="F44" s="658">
        <v>8.73</v>
      </c>
      <c r="G44" s="658">
        <v>6.16</v>
      </c>
      <c r="H44" s="658">
        <v>6.51</v>
      </c>
      <c r="I44" s="658">
        <v>8.44</v>
      </c>
      <c r="J44" s="658">
        <v>7.53</v>
      </c>
      <c r="K44" s="658">
        <v>8.66</v>
      </c>
      <c r="L44" s="658">
        <v>5.8</v>
      </c>
      <c r="M44" s="658">
        <v>9.17</v>
      </c>
      <c r="N44" s="658">
        <v>6.62</v>
      </c>
      <c r="O44" s="658">
        <v>10.63</v>
      </c>
      <c r="P44" s="658">
        <v>10.97</v>
      </c>
      <c r="Q44" s="1140">
        <f t="shared" si="9"/>
        <v>8.987857142857143</v>
      </c>
      <c r="R44" s="1141">
        <f t="shared" si="10"/>
        <v>15.26</v>
      </c>
      <c r="S44" s="1141">
        <f t="shared" si="0"/>
        <v>7.6849999999999996</v>
      </c>
    </row>
    <row r="45" spans="1:19">
      <c r="A45" s="262" t="s">
        <v>153</v>
      </c>
      <c r="B45" s="658">
        <v>10.91</v>
      </c>
      <c r="C45" s="658"/>
      <c r="D45" s="658">
        <v>15.16</v>
      </c>
      <c r="E45" s="658">
        <v>9.09</v>
      </c>
      <c r="F45" s="658">
        <v>8.99</v>
      </c>
      <c r="G45" s="658">
        <v>7.27</v>
      </c>
      <c r="H45" s="658">
        <v>6.73</v>
      </c>
      <c r="I45" s="658">
        <v>7.76</v>
      </c>
      <c r="J45" s="658">
        <v>7.3</v>
      </c>
      <c r="K45" s="658">
        <v>8.3699999999999992</v>
      </c>
      <c r="L45" s="658">
        <v>5.72</v>
      </c>
      <c r="M45" s="658">
        <v>8.92</v>
      </c>
      <c r="N45" s="658">
        <v>6.71</v>
      </c>
      <c r="O45" s="658">
        <v>10.55</v>
      </c>
      <c r="P45" s="658">
        <v>9.27</v>
      </c>
      <c r="Q45" s="1140">
        <f t="shared" si="9"/>
        <v>8.7678571428571423</v>
      </c>
      <c r="R45" s="1141">
        <f t="shared" si="10"/>
        <v>15.16</v>
      </c>
      <c r="S45" s="1141">
        <f t="shared" si="0"/>
        <v>7.4666666666666659</v>
      </c>
    </row>
    <row r="46" spans="1:19">
      <c r="A46" s="262" t="s">
        <v>273</v>
      </c>
      <c r="B46" s="658">
        <v>10.16</v>
      </c>
      <c r="C46" s="658"/>
      <c r="D46" s="658">
        <v>14.5</v>
      </c>
      <c r="E46" s="658">
        <v>8.4499999999999993</v>
      </c>
      <c r="F46" s="658">
        <v>9.41</v>
      </c>
      <c r="G46" s="658">
        <v>7.28</v>
      </c>
      <c r="H46" s="658">
        <v>6.22</v>
      </c>
      <c r="I46" s="658">
        <v>6.7</v>
      </c>
      <c r="J46" s="658">
        <v>6.72</v>
      </c>
      <c r="K46" s="658">
        <v>7.05</v>
      </c>
      <c r="L46" s="658">
        <v>5.92</v>
      </c>
      <c r="M46" s="658">
        <v>8.4700000000000006</v>
      </c>
      <c r="N46" s="658">
        <v>6.55</v>
      </c>
      <c r="O46" s="658">
        <v>10.49</v>
      </c>
      <c r="P46" s="658">
        <v>9.32</v>
      </c>
      <c r="Q46" s="1140">
        <f t="shared" si="9"/>
        <v>8.3742857142857137</v>
      </c>
      <c r="R46" s="1141">
        <f t="shared" si="10"/>
        <v>14.5</v>
      </c>
      <c r="S46" s="1141">
        <f t="shared" si="0"/>
        <v>6.8466666666666667</v>
      </c>
    </row>
    <row r="47" spans="1:19">
      <c r="A47" s="262" t="s">
        <v>154</v>
      </c>
      <c r="B47" s="658">
        <v>9.67</v>
      </c>
      <c r="C47" s="658"/>
      <c r="D47" s="658">
        <v>14.06</v>
      </c>
      <c r="E47" s="658">
        <v>9.1</v>
      </c>
      <c r="F47" s="658">
        <v>9.43</v>
      </c>
      <c r="G47" s="658">
        <v>6.04</v>
      </c>
      <c r="H47" s="658">
        <v>6.45</v>
      </c>
      <c r="I47" s="658">
        <v>6.61</v>
      </c>
      <c r="J47" s="658">
        <v>6.34</v>
      </c>
      <c r="K47" s="658">
        <v>7.11</v>
      </c>
      <c r="L47" s="658">
        <v>5.94</v>
      </c>
      <c r="M47" s="658">
        <v>7.93</v>
      </c>
      <c r="N47" s="658">
        <v>6.42</v>
      </c>
      <c r="O47" s="658">
        <v>10.23</v>
      </c>
      <c r="P47" s="658">
        <v>9.61</v>
      </c>
      <c r="Q47" s="1140">
        <f t="shared" si="9"/>
        <v>8.2100000000000009</v>
      </c>
      <c r="R47" s="1141">
        <f t="shared" si="10"/>
        <v>14.06</v>
      </c>
      <c r="S47" s="1141">
        <f t="shared" si="0"/>
        <v>6.7299999999999995</v>
      </c>
    </row>
    <row r="48" spans="1:19" s="636" customFormat="1">
      <c r="A48" s="262" t="s">
        <v>155</v>
      </c>
      <c r="B48" s="658">
        <v>9.4</v>
      </c>
      <c r="C48" s="658"/>
      <c r="D48" s="658">
        <v>11.71</v>
      </c>
      <c r="E48" s="658">
        <v>9.35</v>
      </c>
      <c r="F48" s="658">
        <v>9.91</v>
      </c>
      <c r="G48" s="658">
        <v>6.64</v>
      </c>
      <c r="H48" s="658">
        <v>6.63</v>
      </c>
      <c r="I48" s="658">
        <v>6.6</v>
      </c>
      <c r="J48" s="658">
        <v>5.73</v>
      </c>
      <c r="K48" s="658">
        <v>4.71</v>
      </c>
      <c r="L48" s="658">
        <v>5.78</v>
      </c>
      <c r="M48" s="658">
        <v>5.5</v>
      </c>
      <c r="N48" s="658">
        <v>6.49</v>
      </c>
      <c r="O48" s="658"/>
      <c r="P48" s="658">
        <v>7.67</v>
      </c>
      <c r="Q48" s="1140">
        <f t="shared" si="9"/>
        <v>7.3938461538461544</v>
      </c>
      <c r="R48" s="1141">
        <f t="shared" si="10"/>
        <v>11.71</v>
      </c>
      <c r="S48" s="1141">
        <f t="shared" si="0"/>
        <v>5.8250000000000002</v>
      </c>
    </row>
    <row r="49" spans="1:19" s="710" customFormat="1">
      <c r="A49" s="409" t="s">
        <v>156</v>
      </c>
      <c r="B49" s="658">
        <v>9.27</v>
      </c>
      <c r="C49" s="658"/>
      <c r="D49" s="658"/>
      <c r="E49" s="658"/>
      <c r="F49" s="658">
        <v>9.5399999999999991</v>
      </c>
      <c r="G49" s="658">
        <v>7.17</v>
      </c>
      <c r="H49" s="658">
        <v>6.02</v>
      </c>
      <c r="I49" s="658">
        <v>7.3</v>
      </c>
      <c r="J49" s="658"/>
      <c r="K49" s="658"/>
      <c r="L49" s="658"/>
      <c r="M49" s="658"/>
      <c r="N49" s="658">
        <v>6.48</v>
      </c>
      <c r="O49" s="658"/>
      <c r="P49" s="658"/>
      <c r="Q49" s="1140">
        <f t="shared" si="9"/>
        <v>7.63</v>
      </c>
      <c r="R49" s="1141">
        <f t="shared" si="10"/>
        <v>9.5399999999999991</v>
      </c>
      <c r="S49" s="1141">
        <f t="shared" si="0"/>
        <v>6.66</v>
      </c>
    </row>
    <row r="50" spans="1:19" s="710" customFormat="1">
      <c r="A50" s="409" t="s">
        <v>157</v>
      </c>
      <c r="B50" s="658">
        <v>8.9</v>
      </c>
      <c r="C50" s="658"/>
      <c r="D50" s="658"/>
      <c r="E50" s="658"/>
      <c r="F50" s="658">
        <v>9.7200000000000006</v>
      </c>
      <c r="G50" s="658">
        <v>7.17</v>
      </c>
      <c r="H50" s="658">
        <v>6.94</v>
      </c>
      <c r="I50" s="658">
        <v>6.59</v>
      </c>
      <c r="J50" s="658"/>
      <c r="K50" s="658"/>
      <c r="L50" s="658"/>
      <c r="M50" s="658"/>
      <c r="N50" s="658"/>
      <c r="O50" s="658"/>
      <c r="P50" s="658"/>
      <c r="Q50" s="1140">
        <f t="shared" si="9"/>
        <v>7.863999999999999</v>
      </c>
      <c r="R50" s="1141">
        <f t="shared" si="10"/>
        <v>9.7200000000000006</v>
      </c>
      <c r="S50" s="1141">
        <f t="shared" si="0"/>
        <v>6.7650000000000006</v>
      </c>
    </row>
    <row r="51" spans="1:19">
      <c r="A51" s="1133" t="s">
        <v>158</v>
      </c>
      <c r="B51" s="1150">
        <v>4.95</v>
      </c>
      <c r="C51" s="1150"/>
      <c r="D51" s="658"/>
      <c r="E51" s="658"/>
      <c r="F51" s="658">
        <v>10.11</v>
      </c>
      <c r="G51" s="658">
        <v>7.17</v>
      </c>
      <c r="H51" s="658">
        <v>5.24</v>
      </c>
      <c r="I51" s="658">
        <v>6.6</v>
      </c>
      <c r="J51" s="658"/>
      <c r="K51" s="658"/>
      <c r="L51" s="658"/>
      <c r="M51" s="658"/>
      <c r="N51" s="658"/>
      <c r="O51" s="658"/>
      <c r="P51" s="658"/>
      <c r="Q51" s="1140">
        <f t="shared" si="9"/>
        <v>6.8140000000000001</v>
      </c>
      <c r="R51" s="1141">
        <f t="shared" si="10"/>
        <v>10.11</v>
      </c>
      <c r="S51" s="1141">
        <f t="shared" si="0"/>
        <v>5.92</v>
      </c>
    </row>
    <row r="52" spans="1:19">
      <c r="A52" s="269" t="s">
        <v>364</v>
      </c>
      <c r="B52" s="658">
        <f>AVERAGE(B40:B43)</f>
        <v>12.860000000000001</v>
      </c>
      <c r="C52" s="658"/>
      <c r="D52" s="658">
        <f>AVERAGE(D40:D43)</f>
        <v>15.307499999999999</v>
      </c>
      <c r="E52" s="658">
        <f t="shared" ref="E52:P52" si="11">AVERAGE(E40:E43)</f>
        <v>10.2775</v>
      </c>
      <c r="F52" s="658">
        <f t="shared" si="11"/>
        <v>8.9775000000000009</v>
      </c>
      <c r="G52" s="658">
        <f t="shared" si="11"/>
        <v>7.8975</v>
      </c>
      <c r="H52" s="658">
        <f t="shared" si="11"/>
        <v>8.59</v>
      </c>
      <c r="I52" s="658">
        <f t="shared" si="11"/>
        <v>9.3324999999999996</v>
      </c>
      <c r="J52" s="658">
        <f t="shared" si="11"/>
        <v>8.11</v>
      </c>
      <c r="K52" s="658">
        <f t="shared" si="11"/>
        <v>9.5175000000000001</v>
      </c>
      <c r="L52" s="658">
        <f t="shared" si="11"/>
        <v>6.1300000000000008</v>
      </c>
      <c r="M52" s="658">
        <f t="shared" si="11"/>
        <v>10.502500000000001</v>
      </c>
      <c r="N52" s="658">
        <f t="shared" si="11"/>
        <v>6.6274999999999995</v>
      </c>
      <c r="O52" s="658">
        <f t="shared" si="11"/>
        <v>10.702500000000001</v>
      </c>
      <c r="P52" s="658">
        <f t="shared" si="11"/>
        <v>13.942499999999999</v>
      </c>
      <c r="Q52" s="658">
        <f>AVERAGE(Q40:Q43)</f>
        <v>9.9124999999999996</v>
      </c>
      <c r="R52" s="658">
        <f>AVERAGE(R40:R43)</f>
        <v>15.307499999999999</v>
      </c>
      <c r="S52" s="658">
        <f>AVERAGE(S40:S43)</f>
        <v>8.6970833333333335</v>
      </c>
    </row>
    <row r="53" spans="1:19">
      <c r="A53" s="262" t="s">
        <v>362</v>
      </c>
      <c r="B53" s="658">
        <f t="shared" ref="B53:P53" si="12">AVERAGE(B40:B51)</f>
        <v>10.535833333333334</v>
      </c>
      <c r="C53" s="658"/>
      <c r="D53" s="658">
        <f t="shared" si="12"/>
        <v>14.657777777777776</v>
      </c>
      <c r="E53" s="658">
        <f t="shared" si="12"/>
        <v>9.6355555555555537</v>
      </c>
      <c r="F53" s="658">
        <f t="shared" si="12"/>
        <v>9.3124999999999982</v>
      </c>
      <c r="G53" s="658">
        <f t="shared" si="12"/>
        <v>7.2074999999999996</v>
      </c>
      <c r="H53" s="658">
        <f t="shared" si="12"/>
        <v>7.091666666666665</v>
      </c>
      <c r="I53" s="658">
        <f t="shared" si="12"/>
        <v>7.8274999999999997</v>
      </c>
      <c r="J53" s="658">
        <f t="shared" si="12"/>
        <v>7.34</v>
      </c>
      <c r="K53" s="658">
        <f t="shared" si="12"/>
        <v>8.2188888888888894</v>
      </c>
      <c r="L53" s="658">
        <f t="shared" si="12"/>
        <v>5.9644444444444451</v>
      </c>
      <c r="M53" s="658">
        <f t="shared" si="12"/>
        <v>9.1111111111111107</v>
      </c>
      <c r="N53" s="658">
        <f t="shared" si="12"/>
        <v>6.5780000000000003</v>
      </c>
      <c r="O53" s="658">
        <f t="shared" si="12"/>
        <v>10.588750000000001</v>
      </c>
      <c r="P53" s="658">
        <f t="shared" si="12"/>
        <v>11.40111111111111</v>
      </c>
      <c r="Q53" s="658">
        <f>AVERAGE(Q40:Q51)</f>
        <v>8.6409871794871815</v>
      </c>
      <c r="R53" s="658">
        <f>AVERAGE(R40:R51)</f>
        <v>13.44083333333333</v>
      </c>
      <c r="S53" s="658">
        <f>AVERAGE(S40:S51)</f>
        <v>7.3905555555555553</v>
      </c>
    </row>
    <row r="54" spans="1:19" ht="15.5">
      <c r="A54" s="1450" t="s">
        <v>352</v>
      </c>
      <c r="B54" s="1451"/>
      <c r="C54" s="1451"/>
      <c r="D54" s="1451"/>
      <c r="E54" s="1451"/>
      <c r="F54" s="1451"/>
      <c r="G54" s="1451"/>
      <c r="H54" s="145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2"/>
    </row>
    <row r="55" spans="1:19">
      <c r="A55" s="262" t="s">
        <v>270</v>
      </c>
      <c r="B55" s="658">
        <v>14.28</v>
      </c>
      <c r="C55" s="658"/>
      <c r="D55" s="658">
        <v>14.96</v>
      </c>
      <c r="E55" s="658">
        <v>10.57</v>
      </c>
      <c r="F55" s="658">
        <v>9.74</v>
      </c>
      <c r="G55" s="658">
        <v>7.14</v>
      </c>
      <c r="H55" s="658">
        <v>8.57</v>
      </c>
      <c r="I55" s="658">
        <v>9.7200000000000006</v>
      </c>
      <c r="J55" s="658">
        <v>9.7200000000000006</v>
      </c>
      <c r="K55" s="658">
        <v>9.73</v>
      </c>
      <c r="L55" s="658">
        <v>5.65</v>
      </c>
      <c r="M55" s="658">
        <v>12.02</v>
      </c>
      <c r="N55" s="658">
        <v>7.19</v>
      </c>
      <c r="O55" s="658">
        <v>10.56</v>
      </c>
      <c r="P55" s="658">
        <v>14.14</v>
      </c>
      <c r="Q55" s="1140">
        <f t="shared" ref="Q55:Q64" si="13">AVERAGE(B55:P55)</f>
        <v>10.285</v>
      </c>
      <c r="R55" s="1141">
        <f t="shared" ref="R55:R64" si="14">MAX(B55:P55)</f>
        <v>14.96</v>
      </c>
      <c r="S55" s="1141">
        <f t="shared" si="0"/>
        <v>9.2349999999999994</v>
      </c>
    </row>
    <row r="56" spans="1:19">
      <c r="A56" s="262" t="s">
        <v>151</v>
      </c>
      <c r="B56" s="658">
        <v>14.49</v>
      </c>
      <c r="C56" s="658"/>
      <c r="D56" s="658">
        <v>14.72</v>
      </c>
      <c r="E56" s="658">
        <v>10.199999999999999</v>
      </c>
      <c r="F56" s="658">
        <v>9.44</v>
      </c>
      <c r="G56" s="658">
        <v>7.31</v>
      </c>
      <c r="H56" s="658">
        <v>8.5399999999999991</v>
      </c>
      <c r="I56" s="658">
        <v>9.7100000000000009</v>
      </c>
      <c r="J56" s="658">
        <v>10.1</v>
      </c>
      <c r="K56" s="658">
        <v>9.77</v>
      </c>
      <c r="L56" s="658">
        <v>5.85</v>
      </c>
      <c r="M56" s="658">
        <v>11.52</v>
      </c>
      <c r="N56" s="658">
        <v>6.65</v>
      </c>
      <c r="O56" s="658">
        <v>10.52</v>
      </c>
      <c r="P56" s="658">
        <v>14.38</v>
      </c>
      <c r="Q56" s="1140">
        <f t="shared" si="13"/>
        <v>10.228571428571428</v>
      </c>
      <c r="R56" s="1141">
        <f t="shared" si="14"/>
        <v>14.72</v>
      </c>
      <c r="S56" s="1141">
        <f t="shared" si="0"/>
        <v>9.2483333333333348</v>
      </c>
    </row>
    <row r="57" spans="1:19">
      <c r="A57" s="262" t="s">
        <v>271</v>
      </c>
      <c r="B57" s="658">
        <v>14.05</v>
      </c>
      <c r="C57" s="658"/>
      <c r="D57" s="658">
        <v>14.95</v>
      </c>
      <c r="E57" s="658">
        <v>10.210000000000001</v>
      </c>
      <c r="F57" s="658">
        <v>9.5</v>
      </c>
      <c r="G57" s="658">
        <v>7.47</v>
      </c>
      <c r="H57" s="658">
        <v>8.67</v>
      </c>
      <c r="I57" s="658">
        <v>9.73</v>
      </c>
      <c r="J57" s="658">
        <v>9.5399999999999991</v>
      </c>
      <c r="K57" s="658">
        <v>9.5</v>
      </c>
      <c r="L57" s="658">
        <v>5.32</v>
      </c>
      <c r="M57" s="658">
        <v>11.72</v>
      </c>
      <c r="N57" s="658">
        <v>6.2</v>
      </c>
      <c r="O57" s="658">
        <v>10.36</v>
      </c>
      <c r="P57" s="658">
        <v>14.39</v>
      </c>
      <c r="Q57" s="1140">
        <f t="shared" si="13"/>
        <v>10.115</v>
      </c>
      <c r="R57" s="1141">
        <f t="shared" si="14"/>
        <v>14.95</v>
      </c>
      <c r="S57" s="1141">
        <f t="shared" si="0"/>
        <v>9.08</v>
      </c>
    </row>
    <row r="58" spans="1:19">
      <c r="A58" s="262" t="s">
        <v>152</v>
      </c>
      <c r="B58" s="658">
        <v>13.38</v>
      </c>
      <c r="C58" s="658"/>
      <c r="D58" s="658">
        <v>14.81</v>
      </c>
      <c r="E58" s="658">
        <v>10.02</v>
      </c>
      <c r="F58" s="658">
        <v>9.44</v>
      </c>
      <c r="G58" s="658">
        <v>7.76</v>
      </c>
      <c r="H58" s="658">
        <v>8.4600000000000009</v>
      </c>
      <c r="I58" s="658">
        <v>7.86</v>
      </c>
      <c r="J58" s="658">
        <v>8.0299999999999994</v>
      </c>
      <c r="K58" s="658">
        <v>8.6199999999999992</v>
      </c>
      <c r="L58" s="658">
        <v>5.22</v>
      </c>
      <c r="M58" s="658">
        <v>11.52</v>
      </c>
      <c r="N58" s="658">
        <v>6.05</v>
      </c>
      <c r="O58" s="658">
        <v>10.57</v>
      </c>
      <c r="P58" s="658">
        <v>13.19</v>
      </c>
      <c r="Q58" s="1140">
        <f t="shared" si="13"/>
        <v>9.6378571428571433</v>
      </c>
      <c r="R58" s="1141">
        <f t="shared" si="14"/>
        <v>14.81</v>
      </c>
      <c r="S58" s="1141">
        <f t="shared" si="0"/>
        <v>8.2849999999999984</v>
      </c>
    </row>
    <row r="59" spans="1:19">
      <c r="A59" s="262" t="s">
        <v>272</v>
      </c>
      <c r="B59" s="658">
        <v>12.48</v>
      </c>
      <c r="C59" s="658"/>
      <c r="D59" s="658">
        <v>14.51</v>
      </c>
      <c r="E59" s="658">
        <v>10.09</v>
      </c>
      <c r="F59" s="658">
        <v>9.32</v>
      </c>
      <c r="G59" s="658">
        <v>7.51</v>
      </c>
      <c r="H59" s="658">
        <v>8.36</v>
      </c>
      <c r="I59" s="658">
        <v>7.84</v>
      </c>
      <c r="J59" s="658">
        <v>7.03</v>
      </c>
      <c r="K59" s="658">
        <v>8.19</v>
      </c>
      <c r="L59" s="658">
        <v>5.0999999999999996</v>
      </c>
      <c r="M59" s="658">
        <v>11.4</v>
      </c>
      <c r="N59" s="658">
        <v>6.4</v>
      </c>
      <c r="O59" s="658">
        <v>10.41</v>
      </c>
      <c r="P59" s="658">
        <v>10.9</v>
      </c>
      <c r="Q59" s="1140">
        <f t="shared" si="13"/>
        <v>9.2528571428571418</v>
      </c>
      <c r="R59" s="1141">
        <f t="shared" si="14"/>
        <v>14.51</v>
      </c>
      <c r="S59" s="1141">
        <f t="shared" si="0"/>
        <v>7.9866666666666672</v>
      </c>
    </row>
    <row r="60" spans="1:19">
      <c r="A60" s="262" t="s">
        <v>153</v>
      </c>
      <c r="B60" s="658"/>
      <c r="C60" s="658"/>
      <c r="D60" s="658">
        <v>14.46</v>
      </c>
      <c r="E60" s="658">
        <v>10.050000000000001</v>
      </c>
      <c r="F60" s="658">
        <v>8.9600000000000009</v>
      </c>
      <c r="G60" s="658">
        <v>7.44</v>
      </c>
      <c r="H60" s="658">
        <v>5.75</v>
      </c>
      <c r="I60" s="658">
        <v>6.22</v>
      </c>
      <c r="J60" s="658">
        <v>6.82</v>
      </c>
      <c r="K60" s="658">
        <v>8.17</v>
      </c>
      <c r="L60" s="658"/>
      <c r="M60" s="658">
        <v>11.46</v>
      </c>
      <c r="N60" s="658">
        <v>6.02</v>
      </c>
      <c r="O60" s="658">
        <v>10.42</v>
      </c>
      <c r="P60" s="658">
        <v>10.56</v>
      </c>
      <c r="Q60" s="1140">
        <f t="shared" si="13"/>
        <v>8.860833333333332</v>
      </c>
      <c r="R60" s="1141">
        <f t="shared" si="14"/>
        <v>14.46</v>
      </c>
      <c r="S60" s="1141">
        <f t="shared" si="0"/>
        <v>7.6840000000000002</v>
      </c>
    </row>
    <row r="61" spans="1:19">
      <c r="A61" s="262" t="s">
        <v>273</v>
      </c>
      <c r="B61" s="658"/>
      <c r="C61" s="658"/>
      <c r="D61" s="658"/>
      <c r="E61" s="658">
        <v>9.91</v>
      </c>
      <c r="F61" s="658">
        <v>9.24</v>
      </c>
      <c r="G61" s="658">
        <v>7.25</v>
      </c>
      <c r="H61" s="658">
        <v>6.42</v>
      </c>
      <c r="I61" s="658">
        <v>7.72</v>
      </c>
      <c r="J61" s="658">
        <v>6.54</v>
      </c>
      <c r="K61" s="658">
        <v>8.64</v>
      </c>
      <c r="L61" s="658"/>
      <c r="M61" s="658"/>
      <c r="N61" s="658">
        <v>5.99</v>
      </c>
      <c r="O61" s="658"/>
      <c r="P61" s="658"/>
      <c r="Q61" s="1140">
        <f t="shared" si="13"/>
        <v>7.7137500000000001</v>
      </c>
      <c r="R61" s="1141">
        <f t="shared" si="14"/>
        <v>9.91</v>
      </c>
      <c r="S61" s="1141">
        <f t="shared" si="0"/>
        <v>7.33</v>
      </c>
    </row>
    <row r="62" spans="1:19" s="710" customFormat="1">
      <c r="A62" s="409" t="s">
        <v>154</v>
      </c>
      <c r="B62" s="658"/>
      <c r="C62" s="658"/>
      <c r="D62" s="658"/>
      <c r="E62" s="658">
        <v>10.72</v>
      </c>
      <c r="F62" s="658">
        <v>9.6300000000000008</v>
      </c>
      <c r="G62" s="658">
        <v>7.14</v>
      </c>
      <c r="H62" s="658">
        <v>6.68</v>
      </c>
      <c r="I62" s="658">
        <v>6.94</v>
      </c>
      <c r="J62" s="658">
        <v>6.25</v>
      </c>
      <c r="K62" s="658"/>
      <c r="L62" s="658"/>
      <c r="M62" s="658"/>
      <c r="N62" s="658"/>
      <c r="O62" s="658"/>
      <c r="P62" s="658"/>
      <c r="Q62" s="1140">
        <f t="shared" si="13"/>
        <v>7.8933333333333335</v>
      </c>
      <c r="R62" s="1141">
        <f t="shared" si="14"/>
        <v>10.72</v>
      </c>
      <c r="S62" s="1141">
        <f t="shared" si="0"/>
        <v>6.623333333333334</v>
      </c>
    </row>
    <row r="63" spans="1:19">
      <c r="A63" s="262" t="s">
        <v>155</v>
      </c>
      <c r="B63" s="658"/>
      <c r="C63" s="658"/>
      <c r="D63" s="658"/>
      <c r="E63" s="928"/>
      <c r="F63" s="658">
        <v>9.68</v>
      </c>
      <c r="G63" s="928">
        <v>7.59</v>
      </c>
      <c r="H63" s="928">
        <v>6.37</v>
      </c>
      <c r="I63" s="928">
        <v>7.11</v>
      </c>
      <c r="J63" s="928"/>
      <c r="K63" s="928"/>
      <c r="L63" s="928"/>
      <c r="M63" s="928"/>
      <c r="N63" s="928"/>
      <c r="O63" s="928"/>
      <c r="P63" s="928"/>
      <c r="Q63" s="1140">
        <f t="shared" si="13"/>
        <v>7.6875</v>
      </c>
      <c r="R63" s="1141">
        <f t="shared" si="14"/>
        <v>9.68</v>
      </c>
      <c r="S63" s="1141">
        <f t="shared" si="0"/>
        <v>6.74</v>
      </c>
    </row>
    <row r="64" spans="1:19" s="710" customFormat="1">
      <c r="A64" s="409" t="s">
        <v>156</v>
      </c>
      <c r="B64" s="658"/>
      <c r="C64" s="658"/>
      <c r="D64" s="658"/>
      <c r="E64" s="928"/>
      <c r="F64" s="658"/>
      <c r="G64" s="928"/>
      <c r="H64" s="928">
        <v>4.8899999999999997</v>
      </c>
      <c r="I64" s="928">
        <v>5.46</v>
      </c>
      <c r="J64" s="928"/>
      <c r="K64" s="928"/>
      <c r="L64" s="928"/>
      <c r="M64" s="928"/>
      <c r="N64" s="928"/>
      <c r="O64" s="928"/>
      <c r="P64" s="928"/>
      <c r="Q64" s="1140">
        <f t="shared" si="13"/>
        <v>5.1749999999999998</v>
      </c>
      <c r="R64" s="1141">
        <f t="shared" si="14"/>
        <v>5.46</v>
      </c>
      <c r="S64" s="667">
        <f t="shared" si="0"/>
        <v>5.1749999999999998</v>
      </c>
    </row>
    <row r="65" spans="1:19">
      <c r="A65" s="269" t="s">
        <v>364</v>
      </c>
      <c r="B65" s="658">
        <f>AVERAGE(B55:B58)</f>
        <v>14.05</v>
      </c>
      <c r="C65" s="658"/>
      <c r="D65" s="658">
        <f>AVERAGE(D55:D58)</f>
        <v>14.86</v>
      </c>
      <c r="E65" s="658">
        <f t="shared" ref="E65:P65" si="15">AVERAGE(E55:E58)</f>
        <v>10.25</v>
      </c>
      <c r="F65" s="658">
        <f t="shared" si="15"/>
        <v>9.5299999999999994</v>
      </c>
      <c r="G65" s="658">
        <f t="shared" si="15"/>
        <v>7.42</v>
      </c>
      <c r="H65" s="658">
        <f t="shared" si="15"/>
        <v>8.56</v>
      </c>
      <c r="I65" s="658">
        <f t="shared" si="15"/>
        <v>9.2550000000000008</v>
      </c>
      <c r="J65" s="658">
        <f t="shared" si="15"/>
        <v>9.3475000000000001</v>
      </c>
      <c r="K65" s="658">
        <f t="shared" si="15"/>
        <v>9.4049999999999994</v>
      </c>
      <c r="L65" s="658">
        <f t="shared" si="15"/>
        <v>5.51</v>
      </c>
      <c r="M65" s="658">
        <f t="shared" si="15"/>
        <v>11.695</v>
      </c>
      <c r="N65" s="658">
        <f t="shared" si="15"/>
        <v>6.5225</v>
      </c>
      <c r="O65" s="658">
        <f t="shared" si="15"/>
        <v>10.5025</v>
      </c>
      <c r="P65" s="658">
        <f t="shared" si="15"/>
        <v>14.025</v>
      </c>
      <c r="Q65" s="658">
        <f>AVERAGE(Q55:Q58)</f>
        <v>10.066607142857142</v>
      </c>
      <c r="R65" s="658">
        <f>AVERAGE(R55:R58)</f>
        <v>14.86</v>
      </c>
      <c r="S65" s="658">
        <f>AVERAGE(S55:S58)</f>
        <v>8.9620833333333323</v>
      </c>
    </row>
    <row r="66" spans="1:19">
      <c r="A66" s="262" t="s">
        <v>362</v>
      </c>
      <c r="B66" s="658">
        <f>AVERAGE(B55:B64)</f>
        <v>13.736000000000001</v>
      </c>
      <c r="C66" s="658"/>
      <c r="D66" s="658">
        <f>AVERAGE(D55:D64)</f>
        <v>14.734999999999999</v>
      </c>
      <c r="E66" s="658">
        <f t="shared" ref="E66:P66" si="16">AVERAGE(E55:E64)</f>
        <v>10.22125</v>
      </c>
      <c r="F66" s="658">
        <f t="shared" si="16"/>
        <v>9.4388888888888882</v>
      </c>
      <c r="G66" s="658">
        <f t="shared" si="16"/>
        <v>7.4011111111111108</v>
      </c>
      <c r="H66" s="658">
        <f t="shared" si="16"/>
        <v>7.2710000000000008</v>
      </c>
      <c r="I66" s="658">
        <f t="shared" si="16"/>
        <v>7.8309999999999986</v>
      </c>
      <c r="J66" s="658">
        <f t="shared" si="16"/>
        <v>8.0037500000000001</v>
      </c>
      <c r="K66" s="658">
        <f t="shared" si="16"/>
        <v>8.9457142857142848</v>
      </c>
      <c r="L66" s="658">
        <f t="shared" si="16"/>
        <v>5.4279999999999999</v>
      </c>
      <c r="M66" s="658">
        <f t="shared" si="16"/>
        <v>11.606666666666667</v>
      </c>
      <c r="N66" s="658">
        <f t="shared" si="16"/>
        <v>6.3571428571428585</v>
      </c>
      <c r="O66" s="658">
        <f t="shared" si="16"/>
        <v>10.473333333333334</v>
      </c>
      <c r="P66" s="658">
        <f t="shared" si="16"/>
        <v>12.926666666666668</v>
      </c>
      <c r="Q66" s="658">
        <f t="shared" ref="Q66:S66" si="17">AVERAGE(Q55:Q63)</f>
        <v>9.074966931216931</v>
      </c>
      <c r="R66" s="658">
        <f t="shared" si="17"/>
        <v>13.191111111111111</v>
      </c>
      <c r="S66" s="658">
        <f t="shared" si="17"/>
        <v>8.0235925925925908</v>
      </c>
    </row>
    <row r="67" spans="1:19" ht="15.5">
      <c r="A67" s="1450" t="s">
        <v>353</v>
      </c>
      <c r="B67" s="1451"/>
      <c r="C67" s="1451"/>
      <c r="D67" s="1451"/>
      <c r="E67" s="1451"/>
      <c r="F67" s="1451"/>
      <c r="G67" s="1451"/>
      <c r="H67" s="1451"/>
      <c r="I67" s="1451"/>
      <c r="J67" s="1451"/>
      <c r="K67" s="1451"/>
      <c r="L67" s="1451"/>
      <c r="M67" s="1451"/>
      <c r="N67" s="1451"/>
      <c r="O67" s="1451"/>
      <c r="P67" s="1451"/>
      <c r="Q67" s="1451"/>
      <c r="R67" s="1451"/>
      <c r="S67" s="1452"/>
    </row>
    <row r="68" spans="1:19">
      <c r="A68" s="262" t="s">
        <v>270</v>
      </c>
      <c r="B68" s="658">
        <v>14.73</v>
      </c>
      <c r="C68" s="658"/>
      <c r="D68" s="658">
        <v>14.75</v>
      </c>
      <c r="E68" s="658">
        <v>10.26</v>
      </c>
      <c r="F68" s="658">
        <v>9.48</v>
      </c>
      <c r="G68" s="658">
        <v>7.6</v>
      </c>
      <c r="H68" s="658">
        <v>8.57</v>
      </c>
      <c r="I68" s="658">
        <v>9.56</v>
      </c>
      <c r="J68" s="658">
        <v>8.8000000000000007</v>
      </c>
      <c r="K68" s="658">
        <v>9.56</v>
      </c>
      <c r="L68" s="658">
        <v>6.66</v>
      </c>
      <c r="M68" s="658">
        <v>12.47</v>
      </c>
      <c r="N68" s="658">
        <v>7.49</v>
      </c>
      <c r="O68" s="658">
        <v>10.220000000000001</v>
      </c>
      <c r="P68" s="658">
        <v>14.25</v>
      </c>
      <c r="Q68" s="1140">
        <f t="shared" ref="Q68:Q79" si="18">AVERAGE(B68:P68)</f>
        <v>10.314285714285715</v>
      </c>
      <c r="R68" s="1141">
        <f t="shared" ref="R68:R79" si="19">MAX(B68:P68)</f>
        <v>14.75</v>
      </c>
      <c r="S68" s="1141">
        <f t="shared" si="0"/>
        <v>9.2700000000000014</v>
      </c>
    </row>
    <row r="69" spans="1:19">
      <c r="A69" s="262" t="s">
        <v>151</v>
      </c>
      <c r="B69" s="658">
        <v>13.52</v>
      </c>
      <c r="C69" s="658"/>
      <c r="D69" s="658">
        <v>14.48</v>
      </c>
      <c r="E69" s="658">
        <v>10.37</v>
      </c>
      <c r="F69" s="658">
        <v>9.4499999999999993</v>
      </c>
      <c r="G69" s="658">
        <v>7.88</v>
      </c>
      <c r="H69" s="658">
        <v>8.5500000000000007</v>
      </c>
      <c r="I69" s="658">
        <v>9.32</v>
      </c>
      <c r="J69" s="658">
        <v>9.3000000000000007</v>
      </c>
      <c r="K69" s="658">
        <v>10.39</v>
      </c>
      <c r="L69" s="658">
        <v>6.51</v>
      </c>
      <c r="M69" s="658">
        <v>12.1</v>
      </c>
      <c r="N69" s="658">
        <v>7.14</v>
      </c>
      <c r="O69" s="658">
        <v>10.79</v>
      </c>
      <c r="P69" s="658">
        <v>14.42</v>
      </c>
      <c r="Q69" s="1140">
        <f t="shared" si="18"/>
        <v>10.30142857142857</v>
      </c>
      <c r="R69" s="1141">
        <f t="shared" si="19"/>
        <v>14.48</v>
      </c>
      <c r="S69" s="1141">
        <f t="shared" si="0"/>
        <v>9.3616666666666664</v>
      </c>
    </row>
    <row r="70" spans="1:19">
      <c r="A70" s="262" t="s">
        <v>271</v>
      </c>
      <c r="B70" s="658">
        <v>12.93</v>
      </c>
      <c r="C70" s="658"/>
      <c r="D70" s="658">
        <v>14.63</v>
      </c>
      <c r="E70" s="658">
        <v>10.3</v>
      </c>
      <c r="F70" s="658">
        <v>9.4</v>
      </c>
      <c r="G70" s="658">
        <v>7.84</v>
      </c>
      <c r="H70" s="658">
        <v>8.76</v>
      </c>
      <c r="I70" s="658">
        <v>10.16</v>
      </c>
      <c r="J70" s="658">
        <v>9.94</v>
      </c>
      <c r="K70" s="658">
        <v>9.2100000000000009</v>
      </c>
      <c r="L70" s="658">
        <v>6.11</v>
      </c>
      <c r="M70" s="658">
        <v>11.11</v>
      </c>
      <c r="N70" s="658">
        <v>6.1</v>
      </c>
      <c r="O70" s="658">
        <v>10.57</v>
      </c>
      <c r="P70" s="658">
        <v>14.33</v>
      </c>
      <c r="Q70" s="1140">
        <f t="shared" si="18"/>
        <v>10.099285714285713</v>
      </c>
      <c r="R70" s="1141">
        <f t="shared" si="19"/>
        <v>14.63</v>
      </c>
      <c r="S70" s="1141">
        <f t="shared" si="0"/>
        <v>9.2149999999999999</v>
      </c>
    </row>
    <row r="71" spans="1:19">
      <c r="A71" s="262" t="s">
        <v>152</v>
      </c>
      <c r="B71" s="658">
        <v>11.93</v>
      </c>
      <c r="C71" s="658"/>
      <c r="D71" s="658">
        <v>14.62</v>
      </c>
      <c r="E71" s="658">
        <v>10.28</v>
      </c>
      <c r="F71" s="658">
        <v>9.36</v>
      </c>
      <c r="G71" s="658">
        <v>6.91</v>
      </c>
      <c r="H71" s="658">
        <v>8.69</v>
      </c>
      <c r="I71" s="658">
        <v>9.4700000000000006</v>
      </c>
      <c r="J71" s="658">
        <v>8.4700000000000006</v>
      </c>
      <c r="K71" s="658">
        <v>9.32</v>
      </c>
      <c r="L71" s="658">
        <v>5.72</v>
      </c>
      <c r="M71" s="658">
        <v>9.7200000000000006</v>
      </c>
      <c r="N71" s="658">
        <v>6.48</v>
      </c>
      <c r="O71" s="658">
        <v>10.02</v>
      </c>
      <c r="P71" s="658">
        <v>14.31</v>
      </c>
      <c r="Q71" s="1140">
        <f t="shared" si="18"/>
        <v>9.6642857142857128</v>
      </c>
      <c r="R71" s="1141">
        <f t="shared" si="19"/>
        <v>14.62</v>
      </c>
      <c r="S71" s="1141">
        <f t="shared" si="0"/>
        <v>8.5649999999999995</v>
      </c>
    </row>
    <row r="72" spans="1:19">
      <c r="A72" s="262" t="s">
        <v>272</v>
      </c>
      <c r="B72" s="658">
        <v>11.47</v>
      </c>
      <c r="C72" s="658"/>
      <c r="D72" s="658">
        <v>14.59</v>
      </c>
      <c r="E72" s="658">
        <v>10.130000000000001</v>
      </c>
      <c r="F72" s="658">
        <v>9.3800000000000008</v>
      </c>
      <c r="G72" s="658">
        <v>6.94</v>
      </c>
      <c r="H72" s="658">
        <v>7.52</v>
      </c>
      <c r="I72" s="658">
        <v>8.1</v>
      </c>
      <c r="J72" s="658">
        <v>8.14</v>
      </c>
      <c r="K72" s="658">
        <v>9.39</v>
      </c>
      <c r="L72" s="658">
        <v>5.41</v>
      </c>
      <c r="M72" s="658">
        <v>9.33</v>
      </c>
      <c r="N72" s="658">
        <v>6.17</v>
      </c>
      <c r="O72" s="658">
        <v>10.33</v>
      </c>
      <c r="P72" s="658">
        <v>11.82</v>
      </c>
      <c r="Q72" s="1140">
        <f t="shared" si="18"/>
        <v>9.194285714285714</v>
      </c>
      <c r="R72" s="1141">
        <f t="shared" si="19"/>
        <v>14.59</v>
      </c>
      <c r="S72" s="1141">
        <f t="shared" ref="S72:S79" si="20">AVERAGE(H72:M72)</f>
        <v>7.9816666666666665</v>
      </c>
    </row>
    <row r="73" spans="1:19">
      <c r="A73" s="262" t="s">
        <v>153</v>
      </c>
      <c r="B73" s="658">
        <v>10.85</v>
      </c>
      <c r="C73" s="658"/>
      <c r="D73" s="658">
        <v>14.42</v>
      </c>
      <c r="E73" s="658">
        <v>10.09</v>
      </c>
      <c r="F73" s="658">
        <v>9.31</v>
      </c>
      <c r="G73" s="658">
        <v>7.9</v>
      </c>
      <c r="H73" s="658">
        <v>6.72</v>
      </c>
      <c r="I73" s="658">
        <v>7.23</v>
      </c>
      <c r="J73" s="658">
        <v>8.1</v>
      </c>
      <c r="K73" s="658">
        <v>7.82</v>
      </c>
      <c r="L73" s="658">
        <v>5.26</v>
      </c>
      <c r="M73" s="658">
        <v>9.32</v>
      </c>
      <c r="N73" s="658">
        <v>6.18</v>
      </c>
      <c r="O73" s="658">
        <v>10.24</v>
      </c>
      <c r="P73" s="658">
        <v>11.2</v>
      </c>
      <c r="Q73" s="1140">
        <f t="shared" si="18"/>
        <v>8.9028571428571439</v>
      </c>
      <c r="R73" s="1141">
        <f t="shared" si="19"/>
        <v>14.42</v>
      </c>
      <c r="S73" s="1141">
        <f t="shared" si="20"/>
        <v>7.4083333333333323</v>
      </c>
    </row>
    <row r="74" spans="1:19">
      <c r="A74" s="262" t="s">
        <v>273</v>
      </c>
      <c r="B74" s="658">
        <v>10.35</v>
      </c>
      <c r="C74" s="658"/>
      <c r="D74" s="658">
        <v>14.46</v>
      </c>
      <c r="E74" s="658">
        <v>9.92</v>
      </c>
      <c r="F74" s="658">
        <v>8.9499999999999993</v>
      </c>
      <c r="G74" s="658">
        <v>7.93</v>
      </c>
      <c r="H74" s="658">
        <v>6.82</v>
      </c>
      <c r="I74" s="658">
        <v>7.22</v>
      </c>
      <c r="J74" s="658">
        <v>8.1199999999999992</v>
      </c>
      <c r="K74" s="658">
        <v>7.4</v>
      </c>
      <c r="L74" s="658">
        <v>5.27</v>
      </c>
      <c r="M74" s="658">
        <v>8.73</v>
      </c>
      <c r="N74" s="658">
        <v>6.14</v>
      </c>
      <c r="O74" s="658">
        <v>9.98</v>
      </c>
      <c r="P74" s="658">
        <v>10.57</v>
      </c>
      <c r="Q74" s="1140">
        <f t="shared" si="18"/>
        <v>8.7042857142857155</v>
      </c>
      <c r="R74" s="1141">
        <f t="shared" si="19"/>
        <v>14.46</v>
      </c>
      <c r="S74" s="1141">
        <f t="shared" si="20"/>
        <v>7.2600000000000007</v>
      </c>
    </row>
    <row r="75" spans="1:19">
      <c r="A75" s="262" t="s">
        <v>154</v>
      </c>
      <c r="B75" s="658">
        <v>10.45</v>
      </c>
      <c r="C75" s="658"/>
      <c r="D75" s="658">
        <v>14.41</v>
      </c>
      <c r="E75" s="658">
        <v>9.64</v>
      </c>
      <c r="F75" s="658">
        <v>9.1199999999999992</v>
      </c>
      <c r="G75" s="658">
        <v>8.86</v>
      </c>
      <c r="H75" s="658">
        <v>7.62</v>
      </c>
      <c r="I75" s="658">
        <v>6.51</v>
      </c>
      <c r="J75" s="658">
        <v>7.61</v>
      </c>
      <c r="K75" s="658">
        <v>7.01</v>
      </c>
      <c r="L75" s="658">
        <v>5.45</v>
      </c>
      <c r="M75" s="658">
        <v>8.1199999999999992</v>
      </c>
      <c r="N75" s="658">
        <v>6.31</v>
      </c>
      <c r="O75" s="658">
        <v>10.07</v>
      </c>
      <c r="P75" s="658">
        <v>10.76</v>
      </c>
      <c r="Q75" s="1140">
        <f t="shared" si="18"/>
        <v>8.7100000000000009</v>
      </c>
      <c r="R75" s="1141">
        <f t="shared" si="19"/>
        <v>14.41</v>
      </c>
      <c r="S75" s="1141">
        <f t="shared" si="20"/>
        <v>7.0533333333333337</v>
      </c>
    </row>
    <row r="76" spans="1:19">
      <c r="A76" s="262" t="s">
        <v>155</v>
      </c>
      <c r="B76" s="658">
        <v>10.09</v>
      </c>
      <c r="C76" s="658"/>
      <c r="D76" s="658">
        <v>14.44</v>
      </c>
      <c r="E76" s="658">
        <v>9.3699999999999992</v>
      </c>
      <c r="F76" s="658">
        <v>9.9600000000000009</v>
      </c>
      <c r="G76" s="658">
        <v>9.41</v>
      </c>
      <c r="H76" s="658">
        <v>7.4</v>
      </c>
      <c r="I76" s="658">
        <v>7.45</v>
      </c>
      <c r="J76" s="658">
        <v>7.54</v>
      </c>
      <c r="K76" s="658">
        <v>7.45</v>
      </c>
      <c r="L76" s="658">
        <v>5.41</v>
      </c>
      <c r="M76" s="658">
        <v>8.1300000000000008</v>
      </c>
      <c r="N76" s="658">
        <v>6.42</v>
      </c>
      <c r="O76" s="658">
        <v>10.38</v>
      </c>
      <c r="P76" s="658">
        <v>10.32</v>
      </c>
      <c r="Q76" s="1140">
        <f t="shared" si="18"/>
        <v>8.8407142857142844</v>
      </c>
      <c r="R76" s="1141">
        <f t="shared" si="19"/>
        <v>14.44</v>
      </c>
      <c r="S76" s="1141">
        <f t="shared" si="20"/>
        <v>7.23</v>
      </c>
    </row>
    <row r="77" spans="1:19" s="710" customFormat="1">
      <c r="A77" s="409" t="s">
        <v>156</v>
      </c>
      <c r="B77" s="658">
        <v>10.71</v>
      </c>
      <c r="C77" s="658"/>
      <c r="D77" s="658">
        <v>12.22</v>
      </c>
      <c r="E77" s="658">
        <v>8.67</v>
      </c>
      <c r="F77" s="658">
        <v>10.32</v>
      </c>
      <c r="G77" s="658">
        <v>7.99</v>
      </c>
      <c r="H77" s="658">
        <v>8.48</v>
      </c>
      <c r="I77" s="658">
        <v>7.12</v>
      </c>
      <c r="J77" s="658">
        <v>4.67</v>
      </c>
      <c r="K77" s="658">
        <v>8.5299999999999994</v>
      </c>
      <c r="L77" s="658">
        <v>5.6</v>
      </c>
      <c r="M77" s="658">
        <v>7.67</v>
      </c>
      <c r="N77" s="658">
        <v>6.32</v>
      </c>
      <c r="O77" s="658"/>
      <c r="P77" s="658">
        <v>8.2100000000000009</v>
      </c>
      <c r="Q77" s="1140">
        <f t="shared" si="18"/>
        <v>8.1930769230769247</v>
      </c>
      <c r="R77" s="1141">
        <f t="shared" si="19"/>
        <v>12.22</v>
      </c>
      <c r="S77" s="1141">
        <f t="shared" si="20"/>
        <v>7.0116666666666676</v>
      </c>
    </row>
    <row r="78" spans="1:19">
      <c r="A78" s="262" t="s">
        <v>157</v>
      </c>
      <c r="B78" s="658">
        <v>9.06</v>
      </c>
      <c r="C78" s="658"/>
      <c r="D78" s="658"/>
      <c r="E78" s="928"/>
      <c r="F78" s="658">
        <v>10.050000000000001</v>
      </c>
      <c r="G78" s="658">
        <v>8</v>
      </c>
      <c r="H78" s="658">
        <v>8.36</v>
      </c>
      <c r="I78" s="658">
        <v>7.22</v>
      </c>
      <c r="J78" s="658"/>
      <c r="K78" s="658"/>
      <c r="L78" s="658"/>
      <c r="M78" s="658"/>
      <c r="N78" s="658"/>
      <c r="O78" s="658"/>
      <c r="P78" s="658"/>
      <c r="Q78" s="1140">
        <f t="shared" si="18"/>
        <v>8.5380000000000003</v>
      </c>
      <c r="R78" s="1141">
        <f t="shared" si="19"/>
        <v>10.050000000000001</v>
      </c>
      <c r="S78" s="1141">
        <f t="shared" si="20"/>
        <v>7.7899999999999991</v>
      </c>
    </row>
    <row r="79" spans="1:19" s="710" customFormat="1">
      <c r="A79" s="409" t="s">
        <v>158</v>
      </c>
      <c r="B79" s="658"/>
      <c r="C79" s="658"/>
      <c r="D79" s="658"/>
      <c r="E79" s="928"/>
      <c r="F79" s="658"/>
      <c r="G79" s="658"/>
      <c r="H79" s="658">
        <v>5.5</v>
      </c>
      <c r="I79" s="658">
        <v>7.61</v>
      </c>
      <c r="J79" s="658"/>
      <c r="K79" s="658"/>
      <c r="L79" s="658"/>
      <c r="M79" s="658"/>
      <c r="N79" s="658"/>
      <c r="O79" s="658"/>
      <c r="P79" s="658"/>
      <c r="Q79" s="1140">
        <f t="shared" si="18"/>
        <v>6.5549999999999997</v>
      </c>
      <c r="R79" s="1141">
        <f t="shared" si="19"/>
        <v>7.61</v>
      </c>
      <c r="S79" s="1141">
        <f t="shared" si="20"/>
        <v>6.5549999999999997</v>
      </c>
    </row>
    <row r="80" spans="1:19">
      <c r="A80" s="269" t="s">
        <v>364</v>
      </c>
      <c r="B80" s="658">
        <f>AVERAGE(B68:B71)</f>
        <v>13.2775</v>
      </c>
      <c r="C80" s="658"/>
      <c r="D80" s="658">
        <f>AVERAGE(D68:D71)</f>
        <v>14.62</v>
      </c>
      <c r="E80" s="658">
        <f t="shared" ref="E80:P80" si="21">AVERAGE(E68:E71)</f>
        <v>10.3025</v>
      </c>
      <c r="F80" s="658">
        <f t="shared" si="21"/>
        <v>9.4224999999999994</v>
      </c>
      <c r="G80" s="658">
        <f t="shared" si="21"/>
        <v>7.5575000000000001</v>
      </c>
      <c r="H80" s="658">
        <f t="shared" si="21"/>
        <v>8.6425000000000001</v>
      </c>
      <c r="I80" s="658">
        <f t="shared" si="21"/>
        <v>9.6275000000000013</v>
      </c>
      <c r="J80" s="658">
        <f t="shared" si="21"/>
        <v>9.1274999999999995</v>
      </c>
      <c r="K80" s="658">
        <f t="shared" si="21"/>
        <v>9.620000000000001</v>
      </c>
      <c r="L80" s="658">
        <f t="shared" si="21"/>
        <v>6.25</v>
      </c>
      <c r="M80" s="658">
        <f t="shared" si="21"/>
        <v>11.35</v>
      </c>
      <c r="N80" s="658">
        <f t="shared" si="21"/>
        <v>6.8024999999999993</v>
      </c>
      <c r="O80" s="658">
        <f t="shared" si="21"/>
        <v>10.399999999999999</v>
      </c>
      <c r="P80" s="658">
        <f t="shared" si="21"/>
        <v>14.327500000000001</v>
      </c>
      <c r="Q80" s="658">
        <f>AVERAGE(Q68:Q71)</f>
        <v>10.094821428571427</v>
      </c>
      <c r="R80" s="658">
        <f>AVERAGE(R68:R71)</f>
        <v>14.62</v>
      </c>
      <c r="S80" s="658">
        <f>AVERAGE(S68:S71)</f>
        <v>9.1029166666666672</v>
      </c>
    </row>
    <row r="81" spans="1:19">
      <c r="A81" s="262" t="s">
        <v>362</v>
      </c>
      <c r="B81" s="658">
        <f>AVERAGE(B68:B79)</f>
        <v>11.462727272727273</v>
      </c>
      <c r="C81" s="658"/>
      <c r="D81" s="658">
        <f>AVERAGE(D68:D79)</f>
        <v>14.301999999999998</v>
      </c>
      <c r="E81" s="658">
        <f t="shared" ref="E81:P81" si="22">AVERAGE(E68:E79)</f>
        <v>9.9030000000000022</v>
      </c>
      <c r="F81" s="658">
        <f t="shared" si="22"/>
        <v>9.5254545454545436</v>
      </c>
      <c r="G81" s="658">
        <f t="shared" si="22"/>
        <v>7.9327272727272717</v>
      </c>
      <c r="H81" s="658">
        <f t="shared" si="22"/>
        <v>7.7491666666666674</v>
      </c>
      <c r="I81" s="658">
        <f t="shared" si="22"/>
        <v>8.0808333333333344</v>
      </c>
      <c r="J81" s="658">
        <f t="shared" si="22"/>
        <v>8.0690000000000008</v>
      </c>
      <c r="K81" s="658">
        <f t="shared" si="22"/>
        <v>8.6080000000000005</v>
      </c>
      <c r="L81" s="658">
        <f t="shared" si="22"/>
        <v>5.74</v>
      </c>
      <c r="M81" s="658">
        <f t="shared" si="22"/>
        <v>9.67</v>
      </c>
      <c r="N81" s="658">
        <f t="shared" si="22"/>
        <v>6.4749999999999996</v>
      </c>
      <c r="O81" s="658">
        <f t="shared" si="22"/>
        <v>10.288888888888888</v>
      </c>
      <c r="P81" s="658">
        <f t="shared" si="22"/>
        <v>12.019000000000002</v>
      </c>
      <c r="Q81" s="658">
        <f>AVERAGE(Q68:Q78)</f>
        <v>9.2238641358641349</v>
      </c>
      <c r="R81" s="658">
        <f>AVERAGE(R68:R78)</f>
        <v>13.915454545454544</v>
      </c>
      <c r="S81" s="658">
        <f>AVERAGE(S68:S78)</f>
        <v>8.0133333333333336</v>
      </c>
    </row>
  </sheetData>
  <mergeCells count="6">
    <mergeCell ref="A67:S67"/>
    <mergeCell ref="A24:S24"/>
    <mergeCell ref="A39:S39"/>
    <mergeCell ref="A54:S54"/>
    <mergeCell ref="A1:P1"/>
    <mergeCell ref="A6:S6"/>
  </mergeCells>
  <phoneticPr fontId="0" type="noConversion"/>
  <pageMargins left="0.75" right="0.75" top="1" bottom="1" header="0.5" footer="0.5"/>
  <pageSetup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AG10"/>
  <sheetViews>
    <sheetView topLeftCell="D1" workbookViewId="0">
      <selection activeCell="W38" sqref="W38"/>
    </sheetView>
  </sheetViews>
  <sheetFormatPr defaultRowHeight="14"/>
  <cols>
    <col min="1" max="1" width="13.36328125" customWidth="1"/>
    <col min="2" max="2" width="5.6328125" bestFit="1" customWidth="1"/>
    <col min="3" max="4" width="6.08984375" bestFit="1" customWidth="1"/>
    <col min="5" max="5" width="5.54296875" customWidth="1"/>
    <col min="6" max="7" width="6.08984375" customWidth="1"/>
    <col min="8" max="9" width="5.36328125" customWidth="1"/>
    <col min="10" max="12" width="5.453125" customWidth="1"/>
    <col min="13" max="13" width="5.36328125" customWidth="1"/>
    <col min="14" max="15" width="5.6328125" customWidth="1"/>
    <col min="16" max="16" width="5.6328125" bestFit="1" customWidth="1"/>
    <col min="18" max="18" width="30.6328125" customWidth="1"/>
    <col min="19" max="20" width="6.6328125" bestFit="1" customWidth="1"/>
    <col min="21" max="21" width="6.81640625" bestFit="1" customWidth="1"/>
    <col min="22" max="22" width="6.6328125" bestFit="1" customWidth="1"/>
    <col min="23" max="23" width="6.1796875" bestFit="1" customWidth="1"/>
    <col min="24" max="24" width="6" bestFit="1" customWidth="1"/>
    <col min="25" max="26" width="5.6328125" bestFit="1" customWidth="1"/>
    <col min="27" max="28" width="6.08984375" bestFit="1" customWidth="1"/>
    <col min="29" max="30" width="6.1796875" bestFit="1" customWidth="1"/>
    <col min="31" max="31" width="5.90625" bestFit="1" customWidth="1"/>
    <col min="32" max="32" width="6.54296875" bestFit="1" customWidth="1"/>
    <col min="33" max="33" width="6.6328125" customWidth="1"/>
  </cols>
  <sheetData>
    <row r="1" spans="1:33">
      <c r="A1" s="1462" t="s">
        <v>208</v>
      </c>
      <c r="B1" s="1460" t="s">
        <v>1139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R1" s="1463" t="s">
        <v>209</v>
      </c>
      <c r="S1" s="1459" t="s">
        <v>1140</v>
      </c>
      <c r="T1" s="1459"/>
      <c r="U1" s="1459"/>
      <c r="V1" s="1459"/>
      <c r="W1" s="1459"/>
      <c r="X1" s="1459"/>
      <c r="Y1" s="1459"/>
      <c r="Z1" s="1459"/>
      <c r="AA1" s="1459"/>
      <c r="AB1" s="1459"/>
      <c r="AC1" s="1459"/>
      <c r="AD1" s="1459"/>
      <c r="AE1" s="1459"/>
      <c r="AF1" s="1459"/>
      <c r="AG1" s="1459"/>
    </row>
    <row r="2" spans="1:33">
      <c r="A2" s="1462"/>
      <c r="B2" s="1146">
        <v>42009</v>
      </c>
      <c r="C2" s="1146">
        <v>42052</v>
      </c>
      <c r="D2" s="1146">
        <v>42086</v>
      </c>
      <c r="E2" s="1146">
        <v>42114</v>
      </c>
      <c r="F2" s="1146">
        <v>42142</v>
      </c>
      <c r="G2" s="1146">
        <v>42170</v>
      </c>
      <c r="H2" s="1145">
        <v>42191</v>
      </c>
      <c r="I2" s="1145">
        <v>42205</v>
      </c>
      <c r="J2" s="1145">
        <v>42227</v>
      </c>
      <c r="K2" s="1146">
        <v>42241</v>
      </c>
      <c r="L2" s="1146">
        <v>42261</v>
      </c>
      <c r="M2" s="1145">
        <v>42275</v>
      </c>
      <c r="N2" s="1145">
        <v>42296</v>
      </c>
      <c r="O2" s="1145">
        <v>42324</v>
      </c>
      <c r="P2" s="1145">
        <v>42345</v>
      </c>
      <c r="R2" s="1463"/>
      <c r="S2" s="1129">
        <v>42009</v>
      </c>
      <c r="T2" s="1129">
        <v>42052</v>
      </c>
      <c r="U2" s="1129">
        <v>42086</v>
      </c>
      <c r="V2" s="1129">
        <v>42114</v>
      </c>
      <c r="W2" s="1129">
        <v>42142</v>
      </c>
      <c r="X2" s="1129">
        <v>42170</v>
      </c>
      <c r="Y2" s="1130">
        <v>42191</v>
      </c>
      <c r="Z2" s="1130">
        <v>42205</v>
      </c>
      <c r="AA2" s="1130">
        <v>42227</v>
      </c>
      <c r="AB2" s="1129">
        <v>42241</v>
      </c>
      <c r="AC2" s="1129">
        <v>42261</v>
      </c>
      <c r="AD2" s="1131">
        <v>42275</v>
      </c>
      <c r="AE2" s="1131">
        <v>42296</v>
      </c>
      <c r="AF2" s="1131">
        <v>42324</v>
      </c>
      <c r="AG2" s="1131">
        <v>42345</v>
      </c>
    </row>
    <row r="3" spans="1:33">
      <c r="A3" s="218" t="s">
        <v>212</v>
      </c>
      <c r="B3" s="1464" t="s">
        <v>210</v>
      </c>
      <c r="C3" s="1465"/>
      <c r="D3" s="1466"/>
      <c r="E3" s="1467" t="s">
        <v>211</v>
      </c>
      <c r="F3" s="1467"/>
      <c r="G3" s="1467"/>
      <c r="H3" s="1467"/>
      <c r="I3" s="1467"/>
      <c r="J3" s="1467"/>
      <c r="K3" s="1467"/>
      <c r="L3" s="1467"/>
      <c r="M3" s="1467"/>
      <c r="N3" s="1467"/>
      <c r="O3" s="1467"/>
      <c r="P3" s="1467"/>
      <c r="R3" s="83" t="s">
        <v>221</v>
      </c>
      <c r="S3" s="708">
        <v>10.57</v>
      </c>
      <c r="T3" s="708">
        <v>10.52</v>
      </c>
      <c r="U3" s="708">
        <v>10.5</v>
      </c>
      <c r="V3" s="708">
        <v>10.7</v>
      </c>
      <c r="W3" s="708">
        <v>22.54</v>
      </c>
      <c r="X3" s="708">
        <v>22</v>
      </c>
      <c r="Y3" s="708">
        <v>16.8</v>
      </c>
      <c r="Z3" s="708">
        <v>14.7</v>
      </c>
      <c r="AA3" s="708">
        <v>10.95</v>
      </c>
      <c r="AB3" s="708">
        <v>10.5</v>
      </c>
      <c r="AC3" s="708">
        <v>10.28</v>
      </c>
      <c r="AD3" s="708">
        <v>10.199999999999999</v>
      </c>
      <c r="AE3" s="708">
        <v>10.4</v>
      </c>
      <c r="AF3" s="708">
        <v>9.1999999999999993</v>
      </c>
      <c r="AG3" s="708">
        <v>10.4</v>
      </c>
    </row>
    <row r="4" spans="1:33">
      <c r="A4" s="127" t="s">
        <v>213</v>
      </c>
      <c r="B4" s="705">
        <v>1.4750000000000001</v>
      </c>
      <c r="C4" s="705">
        <v>3.1749999999999998</v>
      </c>
      <c r="D4" s="705">
        <v>8.1750000000000007</v>
      </c>
      <c r="E4" s="706">
        <v>8.1750000000000007</v>
      </c>
      <c r="F4" s="706">
        <v>10.7</v>
      </c>
      <c r="G4" s="706">
        <v>18.350000000000001</v>
      </c>
      <c r="H4" s="706">
        <v>20.475000000000001</v>
      </c>
      <c r="I4" s="706">
        <v>17.899999999999999</v>
      </c>
      <c r="J4" s="706">
        <v>18.274999999999999</v>
      </c>
      <c r="K4" s="706">
        <v>17.96</v>
      </c>
      <c r="L4" s="706">
        <v>17.55</v>
      </c>
      <c r="M4" s="706">
        <v>17.25</v>
      </c>
      <c r="N4" s="706">
        <v>14</v>
      </c>
      <c r="O4" s="706">
        <v>5.4</v>
      </c>
      <c r="P4" s="706">
        <v>1.26</v>
      </c>
      <c r="R4" s="83" t="s">
        <v>278</v>
      </c>
      <c r="S4" s="242">
        <v>14.055</v>
      </c>
      <c r="T4" s="242">
        <v>15.225000000000001</v>
      </c>
      <c r="U4" s="242">
        <v>15.3125</v>
      </c>
      <c r="V4" s="476">
        <v>10.244999999999999</v>
      </c>
      <c r="W4" s="476">
        <v>8.84</v>
      </c>
      <c r="X4" s="476">
        <v>7.7225000000000001</v>
      </c>
      <c r="Y4" s="476">
        <v>8.16</v>
      </c>
      <c r="Z4" s="476">
        <v>8.5350000000000001</v>
      </c>
      <c r="AA4" s="476">
        <v>8.0250000000000004</v>
      </c>
      <c r="AB4" s="476">
        <v>8.3674999999999997</v>
      </c>
      <c r="AC4" s="476">
        <v>6.9449999999999994</v>
      </c>
      <c r="AD4" s="476">
        <v>8.7725000000000009</v>
      </c>
      <c r="AE4" s="476">
        <v>6.6124999999999998</v>
      </c>
      <c r="AF4" s="476">
        <v>10.959999999999999</v>
      </c>
      <c r="AG4" s="476">
        <v>14.055</v>
      </c>
    </row>
    <row r="5" spans="1:33">
      <c r="A5" s="127" t="s">
        <v>214</v>
      </c>
      <c r="B5" s="705">
        <v>2.6666666666666661</v>
      </c>
      <c r="C5" s="705"/>
      <c r="D5" s="705">
        <v>8.2750000000000004</v>
      </c>
      <c r="E5" s="706">
        <v>8.4499999999999993</v>
      </c>
      <c r="F5" s="706">
        <v>10.6</v>
      </c>
      <c r="G5" s="706">
        <v>17.875</v>
      </c>
      <c r="H5" s="706">
        <v>20.350000000000001</v>
      </c>
      <c r="I5" s="706">
        <v>18.174999999999997</v>
      </c>
      <c r="J5" s="706">
        <v>18.575000000000003</v>
      </c>
      <c r="K5" s="706">
        <v>18.575000000000003</v>
      </c>
      <c r="L5" s="706">
        <v>17.700000000000003</v>
      </c>
      <c r="M5" s="706">
        <v>17.425000000000001</v>
      </c>
      <c r="N5" s="706">
        <v>14.05</v>
      </c>
      <c r="O5" s="706">
        <v>5.3</v>
      </c>
      <c r="P5" s="706">
        <v>0.82499999999999996</v>
      </c>
      <c r="R5" s="83" t="s">
        <v>220</v>
      </c>
      <c r="S5" s="242">
        <v>11.061333333333332</v>
      </c>
      <c r="T5" s="242">
        <v>11.129999999999997</v>
      </c>
      <c r="U5" s="242">
        <v>12.259333333333332</v>
      </c>
      <c r="V5" s="476">
        <v>9.0920000000000005</v>
      </c>
      <c r="W5" s="476">
        <v>9.325333333333333</v>
      </c>
      <c r="X5" s="476">
        <v>8.09</v>
      </c>
      <c r="Y5" s="476">
        <v>6.5520000000000005</v>
      </c>
      <c r="Z5" s="476">
        <v>7.0633333333333344</v>
      </c>
      <c r="AA5" s="476">
        <v>5.8213333333333335</v>
      </c>
      <c r="AB5" s="476">
        <v>6.4414285714285695</v>
      </c>
      <c r="AC5" s="476">
        <v>4.9314285714285706</v>
      </c>
      <c r="AD5" s="476">
        <v>6.7900000000000009</v>
      </c>
      <c r="AE5" s="476">
        <v>6.3092857142857142</v>
      </c>
      <c r="AF5" s="476">
        <v>10.493076923076924</v>
      </c>
      <c r="AG5" s="476">
        <v>10.265714285714285</v>
      </c>
    </row>
    <row r="6" spans="1:33">
      <c r="A6" s="127" t="s">
        <v>215</v>
      </c>
      <c r="B6" s="705">
        <v>3.2</v>
      </c>
      <c r="C6" s="707"/>
      <c r="D6" s="707">
        <v>8.4499999999999993</v>
      </c>
      <c r="E6" s="707">
        <v>8.4749999999999996</v>
      </c>
      <c r="F6" s="707">
        <v>10.75</v>
      </c>
      <c r="G6" s="707">
        <v>18</v>
      </c>
      <c r="H6" s="707">
        <v>20.225000000000001</v>
      </c>
      <c r="I6" s="707">
        <v>18.05</v>
      </c>
      <c r="J6" s="707">
        <v>18.3</v>
      </c>
      <c r="K6" s="707">
        <v>18.399999999999999</v>
      </c>
      <c r="L6" s="707">
        <v>17.725000000000001</v>
      </c>
      <c r="M6" s="707">
        <v>17.174999999999997</v>
      </c>
      <c r="N6" s="707">
        <v>14.1</v>
      </c>
      <c r="O6" s="707">
        <v>5.4</v>
      </c>
      <c r="P6" s="707">
        <v>0.77499999999999991</v>
      </c>
      <c r="R6" s="54"/>
      <c r="S6" s="180"/>
      <c r="T6" s="180"/>
      <c r="U6" s="180"/>
      <c r="V6" s="180"/>
      <c r="W6" s="54"/>
      <c r="X6" s="143"/>
      <c r="Y6" s="54"/>
      <c r="Z6" s="180"/>
      <c r="AA6" s="180"/>
      <c r="AB6" s="180"/>
      <c r="AC6" s="180"/>
      <c r="AD6" s="180"/>
      <c r="AE6" s="180"/>
      <c r="AF6" s="180"/>
      <c r="AG6" s="180"/>
    </row>
    <row r="7" spans="1:33">
      <c r="A7" s="127" t="s">
        <v>216</v>
      </c>
      <c r="B7" s="705">
        <v>1.28</v>
      </c>
      <c r="C7" s="705"/>
      <c r="D7" s="705">
        <v>8.375</v>
      </c>
      <c r="E7" s="706">
        <v>8.2750000000000004</v>
      </c>
      <c r="F7" s="706">
        <v>11.375</v>
      </c>
      <c r="G7" s="706">
        <v>18.75</v>
      </c>
      <c r="H7" s="706">
        <v>20.5</v>
      </c>
      <c r="I7" s="706">
        <v>17.700000000000003</v>
      </c>
      <c r="J7" s="706">
        <v>18.75</v>
      </c>
      <c r="K7" s="706">
        <v>18</v>
      </c>
      <c r="L7" s="706">
        <v>17.75</v>
      </c>
      <c r="M7" s="706">
        <v>17.475000000000001</v>
      </c>
      <c r="N7" s="706">
        <v>14.025</v>
      </c>
      <c r="O7" s="706">
        <v>5.55</v>
      </c>
      <c r="P7" s="706">
        <v>0.17500000000000002</v>
      </c>
      <c r="R7" s="54"/>
      <c r="S7" s="180"/>
      <c r="T7" s="180"/>
      <c r="U7" s="180"/>
      <c r="V7" s="180"/>
      <c r="W7" s="54"/>
      <c r="X7" s="143"/>
      <c r="Y7" s="54"/>
      <c r="Z7" s="180"/>
      <c r="AA7" s="180"/>
      <c r="AB7" s="180"/>
      <c r="AC7" s="180"/>
      <c r="AD7" s="180"/>
      <c r="AE7" s="180"/>
      <c r="AF7" s="180"/>
      <c r="AG7" s="180"/>
    </row>
    <row r="8" spans="1:33">
      <c r="A8" s="127" t="s">
        <v>217</v>
      </c>
      <c r="B8" s="705">
        <v>2.3818181818181823</v>
      </c>
      <c r="C8" s="705"/>
      <c r="D8" s="705">
        <v>7.5749999999999993</v>
      </c>
      <c r="E8" s="706">
        <v>8.6750000000000007</v>
      </c>
      <c r="F8" s="706">
        <v>11.174999999999999</v>
      </c>
      <c r="G8" s="706">
        <v>18.3</v>
      </c>
      <c r="H8" s="706">
        <v>20.575000000000003</v>
      </c>
      <c r="I8" s="706">
        <v>18.375</v>
      </c>
      <c r="J8" s="706">
        <v>18.925000000000001</v>
      </c>
      <c r="K8" s="706">
        <v>18.350000000000001</v>
      </c>
      <c r="L8" s="706">
        <v>17.75</v>
      </c>
      <c r="M8" s="706">
        <v>17.424999999999997</v>
      </c>
      <c r="N8" s="706">
        <v>14.1</v>
      </c>
      <c r="O8" s="706">
        <v>5.5</v>
      </c>
      <c r="P8" s="706">
        <v>1.0249999999999999</v>
      </c>
      <c r="R8" s="148"/>
      <c r="S8" s="180"/>
      <c r="T8" s="180"/>
      <c r="U8" s="180"/>
      <c r="V8" s="180"/>
      <c r="W8" s="54"/>
      <c r="X8" s="143"/>
      <c r="Y8" s="54"/>
      <c r="Z8" s="180"/>
      <c r="AA8" s="180"/>
      <c r="AB8" s="180"/>
      <c r="AC8" s="180"/>
      <c r="AD8" s="180"/>
      <c r="AE8" s="180"/>
      <c r="AF8" s="180"/>
      <c r="AG8" s="180"/>
    </row>
    <row r="9" spans="1:33">
      <c r="A9" s="219" t="s">
        <v>219</v>
      </c>
      <c r="B9" s="142">
        <v>9</v>
      </c>
      <c r="C9" s="186">
        <v>9</v>
      </c>
      <c r="D9" s="186">
        <v>9</v>
      </c>
    </row>
    <row r="10" spans="1:33">
      <c r="A10" s="177" t="s">
        <v>218</v>
      </c>
      <c r="C10" s="144"/>
      <c r="D10" s="144"/>
      <c r="E10" s="187">
        <v>23.3</v>
      </c>
      <c r="F10" s="187">
        <v>23.3</v>
      </c>
      <c r="G10" s="187">
        <v>23.3</v>
      </c>
      <c r="H10" s="187">
        <v>23.3</v>
      </c>
      <c r="I10" s="187">
        <v>23.3</v>
      </c>
      <c r="J10" s="187">
        <v>23.3</v>
      </c>
      <c r="K10" s="187">
        <v>23.3</v>
      </c>
      <c r="L10" s="187">
        <v>23.3</v>
      </c>
      <c r="M10" s="187">
        <v>23.3</v>
      </c>
      <c r="N10" s="187">
        <v>23.3</v>
      </c>
      <c r="O10" s="187">
        <v>23.3</v>
      </c>
      <c r="P10" s="187">
        <v>23.3</v>
      </c>
    </row>
  </sheetData>
  <mergeCells count="6">
    <mergeCell ref="S1:AG1"/>
    <mergeCell ref="B1:P1"/>
    <mergeCell ref="A1:A2"/>
    <mergeCell ref="R1:R2"/>
    <mergeCell ref="B3:D3"/>
    <mergeCell ref="E3:P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5" tint="0.59999389629810485"/>
    <pageSetUpPr fitToPage="1"/>
  </sheetPr>
  <dimension ref="A1:U60"/>
  <sheetViews>
    <sheetView zoomScale="75" zoomScaleNormal="75" workbookViewId="0">
      <selection activeCell="B17" sqref="B17:M17"/>
    </sheetView>
  </sheetViews>
  <sheetFormatPr defaultRowHeight="14"/>
  <cols>
    <col min="1" max="1" width="34.1796875" style="1" bestFit="1" customWidth="1"/>
    <col min="2" max="2" width="6.36328125" bestFit="1" customWidth="1"/>
    <col min="3" max="3" width="7.1796875" bestFit="1" customWidth="1"/>
    <col min="4" max="4" width="7.54296875" bestFit="1" customWidth="1"/>
    <col min="5" max="5" width="7.08984375" bestFit="1" customWidth="1"/>
    <col min="6" max="6" width="7.54296875" bestFit="1" customWidth="1"/>
    <col min="7" max="7" width="7.1796875" bestFit="1" customWidth="1"/>
    <col min="8" max="8" width="5.90625" bestFit="1" customWidth="1"/>
    <col min="9" max="9" width="6.90625" bestFit="1" customWidth="1"/>
    <col min="10" max="10" width="8" bestFit="1" customWidth="1"/>
    <col min="11" max="11" width="7.54296875" bestFit="1" customWidth="1"/>
    <col min="12" max="12" width="8" bestFit="1" customWidth="1"/>
    <col min="13" max="13" width="7.36328125" bestFit="1" customWidth="1"/>
    <col min="14" max="15" width="7.1796875" bestFit="1" customWidth="1"/>
    <col min="16" max="16" width="6.453125" bestFit="1" customWidth="1"/>
    <col min="17" max="17" width="9.81640625" bestFit="1" customWidth="1"/>
    <col min="18" max="18" width="6" bestFit="1" customWidth="1"/>
    <col min="19" max="19" width="10.453125" bestFit="1" customWidth="1"/>
    <col min="20" max="21" width="11.36328125" bestFit="1" customWidth="1"/>
    <col min="22" max="22" width="9.90625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0.453125" customWidth="1"/>
    <col min="27" max="27" width="10.90625" customWidth="1"/>
    <col min="28" max="29" width="11.36328125" customWidth="1"/>
    <col min="30" max="30" width="10.90625" bestFit="1" customWidth="1"/>
  </cols>
  <sheetData>
    <row r="1" spans="1:21" ht="15.5">
      <c r="A1" s="1428" t="s">
        <v>3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</row>
    <row r="2" spans="1:21" ht="15.5">
      <c r="A2" s="1428" t="s">
        <v>198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  <c r="N2" s="1428"/>
      <c r="O2" s="1428"/>
      <c r="P2" s="1428"/>
    </row>
    <row r="4" spans="1:21" s="7" customFormat="1" ht="42">
      <c r="A4" s="104" t="s">
        <v>2</v>
      </c>
      <c r="B4" s="652">
        <v>42009</v>
      </c>
      <c r="C4" s="652">
        <v>42052</v>
      </c>
      <c r="D4" s="652">
        <v>42086</v>
      </c>
      <c r="E4" s="652">
        <v>42114</v>
      </c>
      <c r="F4" s="652">
        <v>42142</v>
      </c>
      <c r="G4" s="652">
        <v>42170</v>
      </c>
      <c r="H4" s="366">
        <v>42191</v>
      </c>
      <c r="I4" s="366">
        <v>42205</v>
      </c>
      <c r="J4" s="366">
        <v>42227</v>
      </c>
      <c r="K4" s="652">
        <v>42241</v>
      </c>
      <c r="L4" s="652">
        <v>42261</v>
      </c>
      <c r="M4" s="366">
        <v>42275</v>
      </c>
      <c r="N4" s="366">
        <v>42296</v>
      </c>
      <c r="O4" s="366">
        <v>42324</v>
      </c>
      <c r="P4" s="366">
        <v>42345</v>
      </c>
      <c r="Q4" s="112" t="s">
        <v>90</v>
      </c>
      <c r="R4" s="104" t="s">
        <v>82</v>
      </c>
      <c r="S4" s="113" t="s">
        <v>91</v>
      </c>
      <c r="T4" s="113" t="s">
        <v>92</v>
      </c>
      <c r="U4" s="113" t="s">
        <v>93</v>
      </c>
    </row>
    <row r="5" spans="1:21" s="3" customFormat="1">
      <c r="A5" s="118" t="s">
        <v>367</v>
      </c>
      <c r="B5" s="638">
        <v>13</v>
      </c>
      <c r="C5" s="620">
        <v>8</v>
      </c>
      <c r="D5" s="620">
        <v>32</v>
      </c>
      <c r="E5" s="620">
        <v>66</v>
      </c>
      <c r="F5" s="620">
        <v>199</v>
      </c>
      <c r="G5" s="620">
        <v>78</v>
      </c>
      <c r="H5" s="620">
        <v>63</v>
      </c>
      <c r="I5" s="620">
        <v>40</v>
      </c>
      <c r="J5" s="620">
        <v>277</v>
      </c>
      <c r="K5" s="620">
        <v>10</v>
      </c>
      <c r="L5" s="620">
        <v>2</v>
      </c>
      <c r="M5" s="620">
        <v>14</v>
      </c>
      <c r="N5" s="620">
        <v>7</v>
      </c>
      <c r="O5" s="620">
        <v>4</v>
      </c>
      <c r="P5" s="620">
        <v>2</v>
      </c>
      <c r="Q5" s="662">
        <f t="shared" ref="Q5:Q10" si="0">AVERAGE(B5:P5)</f>
        <v>54.333333333333336</v>
      </c>
      <c r="R5" s="662">
        <f t="shared" ref="R5:R10" si="1">MAX(B5:P5)</f>
        <v>277</v>
      </c>
      <c r="S5" s="662">
        <f t="shared" ref="S5:S10" si="2">AVERAGE(H5:M5)</f>
        <v>67.666666666666671</v>
      </c>
      <c r="T5" s="111">
        <f>AVERAGE(B8:P9)</f>
        <v>55.466666666666669</v>
      </c>
      <c r="U5" s="111">
        <f>AVERAGE(H8:M9)</f>
        <v>87.833333333333329</v>
      </c>
    </row>
    <row r="6" spans="1:21" s="3" customFormat="1">
      <c r="A6" s="118" t="s">
        <v>366</v>
      </c>
      <c r="B6" s="638">
        <v>22</v>
      </c>
      <c r="C6" s="620">
        <v>30</v>
      </c>
      <c r="D6" s="620">
        <v>47</v>
      </c>
      <c r="E6" s="620">
        <v>54</v>
      </c>
      <c r="F6" s="620">
        <v>83</v>
      </c>
      <c r="G6" s="620">
        <v>56</v>
      </c>
      <c r="H6" s="620">
        <v>73</v>
      </c>
      <c r="I6" s="620">
        <v>30</v>
      </c>
      <c r="J6" s="620">
        <v>38</v>
      </c>
      <c r="K6" s="620">
        <v>28</v>
      </c>
      <c r="L6" s="620">
        <v>44</v>
      </c>
      <c r="M6" s="620">
        <v>112</v>
      </c>
      <c r="N6" s="620">
        <v>26</v>
      </c>
      <c r="O6" s="620">
        <v>2</v>
      </c>
      <c r="P6" s="620">
        <v>2</v>
      </c>
      <c r="Q6" s="662">
        <f t="shared" si="0"/>
        <v>43.133333333333333</v>
      </c>
      <c r="R6" s="662">
        <f t="shared" si="1"/>
        <v>112</v>
      </c>
      <c r="S6" s="662">
        <f t="shared" si="2"/>
        <v>54.166666666666664</v>
      </c>
      <c r="T6" s="74"/>
      <c r="U6" s="74"/>
    </row>
    <row r="7" spans="1:21" s="3" customFormat="1">
      <c r="A7" s="119" t="s">
        <v>368</v>
      </c>
      <c r="B7" s="638">
        <v>13</v>
      </c>
      <c r="C7" s="620">
        <v>17</v>
      </c>
      <c r="D7" s="620">
        <v>22</v>
      </c>
      <c r="E7" s="620">
        <v>46</v>
      </c>
      <c r="F7" s="620">
        <v>61</v>
      </c>
      <c r="G7" s="620">
        <v>42</v>
      </c>
      <c r="H7" s="620">
        <v>42</v>
      </c>
      <c r="I7" s="620">
        <v>34</v>
      </c>
      <c r="J7" s="620">
        <v>28</v>
      </c>
      <c r="K7" s="620">
        <v>40</v>
      </c>
      <c r="L7" s="620">
        <v>40</v>
      </c>
      <c r="M7" s="620">
        <v>52</v>
      </c>
      <c r="N7" s="620">
        <v>38</v>
      </c>
      <c r="O7" s="620">
        <v>76</v>
      </c>
      <c r="P7" s="620">
        <v>13</v>
      </c>
      <c r="Q7" s="662">
        <f t="shared" si="0"/>
        <v>37.6</v>
      </c>
      <c r="R7" s="662">
        <f t="shared" si="1"/>
        <v>76</v>
      </c>
      <c r="S7" s="662">
        <f t="shared" si="2"/>
        <v>39.333333333333336</v>
      </c>
      <c r="T7" s="74"/>
      <c r="U7" s="74"/>
    </row>
    <row r="8" spans="1:21" s="3" customFormat="1">
      <c r="A8" s="119" t="s">
        <v>374</v>
      </c>
      <c r="B8" s="638">
        <v>21</v>
      </c>
      <c r="C8" s="620">
        <v>17</v>
      </c>
      <c r="D8" s="620">
        <v>16</v>
      </c>
      <c r="E8" s="620">
        <v>28</v>
      </c>
      <c r="F8" s="638">
        <v>56</v>
      </c>
      <c r="G8" s="620">
        <v>36</v>
      </c>
      <c r="H8" s="620">
        <v>52</v>
      </c>
      <c r="I8" s="620">
        <v>67</v>
      </c>
      <c r="J8" s="620">
        <v>43</v>
      </c>
      <c r="K8" s="620">
        <v>42</v>
      </c>
      <c r="L8" s="620">
        <v>44</v>
      </c>
      <c r="M8" s="620">
        <v>112</v>
      </c>
      <c r="N8" s="620">
        <v>60</v>
      </c>
      <c r="O8" s="620">
        <v>27</v>
      </c>
      <c r="P8" s="1114">
        <v>9</v>
      </c>
      <c r="Q8" s="662">
        <f t="shared" si="0"/>
        <v>42</v>
      </c>
      <c r="R8" s="662">
        <f t="shared" si="1"/>
        <v>112</v>
      </c>
      <c r="S8" s="662">
        <f t="shared" si="2"/>
        <v>60</v>
      </c>
      <c r="T8" s="74"/>
      <c r="U8" s="74"/>
    </row>
    <row r="9" spans="1:21" s="3" customFormat="1">
      <c r="A9" s="119" t="s">
        <v>376</v>
      </c>
      <c r="B9" s="638">
        <v>49</v>
      </c>
      <c r="C9" s="620">
        <v>22</v>
      </c>
      <c r="D9" s="620">
        <v>13</v>
      </c>
      <c r="E9" s="620">
        <v>27</v>
      </c>
      <c r="F9" s="620">
        <v>78</v>
      </c>
      <c r="G9" s="620">
        <v>57</v>
      </c>
      <c r="H9" s="620">
        <v>126</v>
      </c>
      <c r="I9" s="620">
        <v>66</v>
      </c>
      <c r="J9" s="620">
        <v>92</v>
      </c>
      <c r="K9" s="620">
        <v>114</v>
      </c>
      <c r="L9" s="620">
        <v>105</v>
      </c>
      <c r="M9" s="620">
        <v>191</v>
      </c>
      <c r="N9" s="620">
        <v>62</v>
      </c>
      <c r="O9" s="620">
        <v>28</v>
      </c>
      <c r="P9" s="1116">
        <v>4</v>
      </c>
      <c r="Q9" s="662">
        <f t="shared" si="0"/>
        <v>68.933333333333337</v>
      </c>
      <c r="R9" s="662">
        <f t="shared" si="1"/>
        <v>191</v>
      </c>
      <c r="S9" s="662">
        <f t="shared" si="2"/>
        <v>115.66666666666667</v>
      </c>
      <c r="T9" s="74"/>
      <c r="U9" s="74"/>
    </row>
    <row r="10" spans="1:21">
      <c r="A10" s="274" t="s">
        <v>375</v>
      </c>
      <c r="B10" s="635">
        <f>AVERAGE(B8:B9)</f>
        <v>35</v>
      </c>
      <c r="C10" s="635">
        <f t="shared" ref="C10:P10" si="3">AVERAGE(C8:C9)</f>
        <v>19.5</v>
      </c>
      <c r="D10" s="635">
        <f t="shared" si="3"/>
        <v>14.5</v>
      </c>
      <c r="E10" s="635">
        <f t="shared" si="3"/>
        <v>27.5</v>
      </c>
      <c r="F10" s="635">
        <f t="shared" si="3"/>
        <v>67</v>
      </c>
      <c r="G10" s="635">
        <f t="shared" si="3"/>
        <v>46.5</v>
      </c>
      <c r="H10" s="635">
        <f t="shared" si="3"/>
        <v>89</v>
      </c>
      <c r="I10" s="635">
        <f t="shared" si="3"/>
        <v>66.5</v>
      </c>
      <c r="J10" s="635">
        <f t="shared" si="3"/>
        <v>67.5</v>
      </c>
      <c r="K10" s="635">
        <f t="shared" si="3"/>
        <v>78</v>
      </c>
      <c r="L10" s="635">
        <f t="shared" si="3"/>
        <v>74.5</v>
      </c>
      <c r="M10" s="635">
        <f t="shared" si="3"/>
        <v>151.5</v>
      </c>
      <c r="N10" s="635">
        <f t="shared" si="3"/>
        <v>61</v>
      </c>
      <c r="O10" s="635">
        <f t="shared" si="3"/>
        <v>27.5</v>
      </c>
      <c r="P10" s="635">
        <f t="shared" si="3"/>
        <v>6.5</v>
      </c>
      <c r="Q10" s="662">
        <f t="shared" si="0"/>
        <v>55.466666666666669</v>
      </c>
      <c r="R10" s="662">
        <f t="shared" si="1"/>
        <v>151.5</v>
      </c>
      <c r="S10" s="662">
        <f t="shared" si="2"/>
        <v>87.833333333333329</v>
      </c>
    </row>
    <row r="11" spans="1:21">
      <c r="B11" s="1468"/>
      <c r="C11" s="1468"/>
      <c r="D11" s="1468"/>
      <c r="E11" s="1468"/>
      <c r="F11" s="1468"/>
    </row>
    <row r="12" spans="1:21">
      <c r="B12" s="1468"/>
      <c r="C12" s="1468"/>
      <c r="D12" s="1468"/>
      <c r="E12" s="1468"/>
      <c r="F12" s="1468"/>
    </row>
    <row r="13" spans="1:21">
      <c r="A13" s="1469" t="s">
        <v>66</v>
      </c>
      <c r="B13" s="1469"/>
      <c r="C13" s="1469"/>
      <c r="D13" s="1469"/>
      <c r="E13" s="1469"/>
      <c r="F13" s="1469"/>
      <c r="G13" s="1469"/>
      <c r="H13" s="1469"/>
      <c r="I13" s="1469"/>
      <c r="J13" s="1469"/>
      <c r="K13" s="1469"/>
      <c r="L13" s="1469"/>
      <c r="M13" s="1469"/>
    </row>
    <row r="14" spans="1:21">
      <c r="A14" s="101"/>
      <c r="B14" s="101" t="s">
        <v>68</v>
      </c>
      <c r="C14" s="101" t="s">
        <v>69</v>
      </c>
      <c r="D14" s="101" t="s">
        <v>70</v>
      </c>
      <c r="E14" s="101" t="s">
        <v>71</v>
      </c>
      <c r="F14" s="101" t="s">
        <v>72</v>
      </c>
      <c r="G14" s="101" t="s">
        <v>73</v>
      </c>
      <c r="H14" s="101" t="s">
        <v>74</v>
      </c>
      <c r="I14" s="101" t="s">
        <v>75</v>
      </c>
      <c r="J14" s="101" t="s">
        <v>76</v>
      </c>
      <c r="K14" s="101" t="s">
        <v>77</v>
      </c>
      <c r="L14" s="101" t="s">
        <v>78</v>
      </c>
      <c r="M14" s="101" t="s">
        <v>79</v>
      </c>
    </row>
    <row r="15" spans="1:21">
      <c r="A15" s="118" t="s">
        <v>367</v>
      </c>
      <c r="B15" s="56">
        <f t="shared" ref="B15:G15" si="4">B5</f>
        <v>13</v>
      </c>
      <c r="C15" s="56">
        <f t="shared" si="4"/>
        <v>8</v>
      </c>
      <c r="D15" s="56">
        <f t="shared" si="4"/>
        <v>32</v>
      </c>
      <c r="E15" s="56">
        <f t="shared" si="4"/>
        <v>66</v>
      </c>
      <c r="F15" s="56">
        <f t="shared" si="4"/>
        <v>199</v>
      </c>
      <c r="G15" s="56">
        <f t="shared" si="4"/>
        <v>78</v>
      </c>
      <c r="H15" s="56">
        <f t="shared" ref="H15:H20" si="5">AVERAGE(H5:I5)</f>
        <v>51.5</v>
      </c>
      <c r="I15" s="56">
        <f t="shared" ref="I15:I20" si="6">AVERAGE(J5:K5)</f>
        <v>143.5</v>
      </c>
      <c r="J15" s="56">
        <f t="shared" ref="J15:J20" si="7">AVERAGE(L5:M5)</f>
        <v>8</v>
      </c>
      <c r="K15" s="56">
        <f t="shared" ref="K15:K20" si="8">N5</f>
        <v>7</v>
      </c>
      <c r="L15" s="56">
        <f t="shared" ref="L15:M20" si="9">O5</f>
        <v>4</v>
      </c>
      <c r="M15" s="56">
        <f t="shared" si="9"/>
        <v>2</v>
      </c>
    </row>
    <row r="16" spans="1:21">
      <c r="A16" s="118" t="s">
        <v>366</v>
      </c>
      <c r="B16" s="56">
        <f t="shared" ref="B16:G20" si="10">B6</f>
        <v>22</v>
      </c>
      <c r="C16" s="56">
        <f t="shared" si="10"/>
        <v>30</v>
      </c>
      <c r="D16" s="56">
        <f t="shared" si="10"/>
        <v>47</v>
      </c>
      <c r="E16" s="56">
        <f t="shared" si="10"/>
        <v>54</v>
      </c>
      <c r="F16" s="56">
        <f t="shared" si="10"/>
        <v>83</v>
      </c>
      <c r="G16" s="56">
        <f t="shared" si="10"/>
        <v>56</v>
      </c>
      <c r="H16" s="56">
        <f t="shared" si="5"/>
        <v>51.5</v>
      </c>
      <c r="I16" s="56">
        <f t="shared" si="6"/>
        <v>33</v>
      </c>
      <c r="J16" s="56">
        <f t="shared" si="7"/>
        <v>78</v>
      </c>
      <c r="K16" s="56">
        <f t="shared" si="8"/>
        <v>26</v>
      </c>
      <c r="L16" s="56">
        <f t="shared" si="9"/>
        <v>2</v>
      </c>
      <c r="M16" s="56">
        <f t="shared" si="9"/>
        <v>2</v>
      </c>
    </row>
    <row r="17" spans="1:13">
      <c r="A17" s="119" t="s">
        <v>368</v>
      </c>
      <c r="B17" s="56">
        <f t="shared" si="10"/>
        <v>13</v>
      </c>
      <c r="C17" s="56">
        <f t="shared" si="10"/>
        <v>17</v>
      </c>
      <c r="D17" s="56">
        <f t="shared" si="10"/>
        <v>22</v>
      </c>
      <c r="E17" s="56">
        <f t="shared" si="10"/>
        <v>46</v>
      </c>
      <c r="F17" s="56">
        <f t="shared" si="10"/>
        <v>61</v>
      </c>
      <c r="G17" s="56">
        <f t="shared" si="10"/>
        <v>42</v>
      </c>
      <c r="H17" s="56">
        <f t="shared" si="5"/>
        <v>38</v>
      </c>
      <c r="I17" s="56">
        <f t="shared" si="6"/>
        <v>34</v>
      </c>
      <c r="J17" s="56">
        <f t="shared" si="7"/>
        <v>46</v>
      </c>
      <c r="K17" s="56">
        <f t="shared" si="8"/>
        <v>38</v>
      </c>
      <c r="L17" s="56">
        <f t="shared" si="9"/>
        <v>76</v>
      </c>
      <c r="M17" s="56">
        <f t="shared" si="9"/>
        <v>13</v>
      </c>
    </row>
    <row r="18" spans="1:13">
      <c r="A18" s="116" t="s">
        <v>520</v>
      </c>
      <c r="B18" s="56">
        <f t="shared" si="10"/>
        <v>21</v>
      </c>
      <c r="C18" s="56">
        <f t="shared" si="10"/>
        <v>17</v>
      </c>
      <c r="D18" s="56">
        <f t="shared" si="10"/>
        <v>16</v>
      </c>
      <c r="E18" s="56">
        <f t="shared" si="10"/>
        <v>28</v>
      </c>
      <c r="F18" s="56">
        <f t="shared" si="10"/>
        <v>56</v>
      </c>
      <c r="G18" s="56">
        <f t="shared" si="10"/>
        <v>36</v>
      </c>
      <c r="H18" s="56">
        <f t="shared" si="5"/>
        <v>59.5</v>
      </c>
      <c r="I18" s="56">
        <f t="shared" si="6"/>
        <v>42.5</v>
      </c>
      <c r="J18" s="56">
        <f t="shared" si="7"/>
        <v>78</v>
      </c>
      <c r="K18" s="56">
        <f t="shared" si="8"/>
        <v>60</v>
      </c>
      <c r="L18" s="56">
        <f t="shared" si="9"/>
        <v>27</v>
      </c>
      <c r="M18" s="56">
        <f t="shared" si="9"/>
        <v>9</v>
      </c>
    </row>
    <row r="19" spans="1:13">
      <c r="A19" s="116" t="s">
        <v>521</v>
      </c>
      <c r="B19" s="56">
        <f t="shared" si="10"/>
        <v>49</v>
      </c>
      <c r="C19" s="56">
        <f t="shared" si="10"/>
        <v>22</v>
      </c>
      <c r="D19" s="56">
        <f t="shared" si="10"/>
        <v>13</v>
      </c>
      <c r="E19" s="56">
        <f t="shared" si="10"/>
        <v>27</v>
      </c>
      <c r="F19" s="56">
        <f t="shared" si="10"/>
        <v>78</v>
      </c>
      <c r="G19" s="56">
        <f t="shared" si="10"/>
        <v>57</v>
      </c>
      <c r="H19" s="56">
        <f t="shared" si="5"/>
        <v>96</v>
      </c>
      <c r="I19" s="56">
        <f t="shared" si="6"/>
        <v>103</v>
      </c>
      <c r="J19" s="56">
        <f t="shared" si="7"/>
        <v>148</v>
      </c>
      <c r="K19" s="56">
        <f t="shared" si="8"/>
        <v>62</v>
      </c>
      <c r="L19" s="56">
        <f t="shared" si="9"/>
        <v>28</v>
      </c>
      <c r="M19" s="56">
        <f t="shared" si="9"/>
        <v>4</v>
      </c>
    </row>
    <row r="20" spans="1:13">
      <c r="A20" s="274" t="s">
        <v>375</v>
      </c>
      <c r="B20" s="56">
        <f t="shared" si="10"/>
        <v>35</v>
      </c>
      <c r="C20" s="56">
        <f t="shared" si="10"/>
        <v>19.5</v>
      </c>
      <c r="D20" s="56">
        <f t="shared" si="10"/>
        <v>14.5</v>
      </c>
      <c r="E20" s="56">
        <f t="shared" si="10"/>
        <v>27.5</v>
      </c>
      <c r="F20" s="56">
        <f t="shared" si="10"/>
        <v>67</v>
      </c>
      <c r="G20" s="56">
        <f t="shared" si="10"/>
        <v>46.5</v>
      </c>
      <c r="H20" s="56">
        <f t="shared" si="5"/>
        <v>77.75</v>
      </c>
      <c r="I20" s="56">
        <f t="shared" si="6"/>
        <v>72.75</v>
      </c>
      <c r="J20" s="56">
        <f t="shared" si="7"/>
        <v>113</v>
      </c>
      <c r="K20" s="56">
        <f t="shared" si="8"/>
        <v>61</v>
      </c>
      <c r="L20" s="56">
        <f t="shared" si="9"/>
        <v>27.5</v>
      </c>
      <c r="M20" s="56">
        <f t="shared" si="9"/>
        <v>6.5</v>
      </c>
    </row>
    <row r="28" spans="1:13">
      <c r="A28" s="57"/>
    </row>
    <row r="29" spans="1:13">
      <c r="A29"/>
    </row>
    <row r="30" spans="1:13">
      <c r="B30" s="1"/>
      <c r="C30" s="1"/>
      <c r="D30" s="1"/>
      <c r="E30" s="1"/>
    </row>
    <row r="31" spans="1:13">
      <c r="B31" s="1"/>
      <c r="C31" s="1"/>
      <c r="D31" s="1"/>
      <c r="E31" s="1"/>
    </row>
    <row r="32" spans="1:13">
      <c r="B32" s="3"/>
      <c r="C32" s="3"/>
      <c r="D32" s="3"/>
      <c r="E32" s="3"/>
    </row>
    <row r="33" spans="1:21">
      <c r="B33" s="3"/>
      <c r="C33" s="3"/>
      <c r="D33" s="3"/>
      <c r="E33" s="3"/>
    </row>
    <row r="34" spans="1:21">
      <c r="B34" s="3"/>
      <c r="C34" s="3"/>
      <c r="D34" s="3"/>
      <c r="E34" s="3"/>
    </row>
    <row r="35" spans="1:21">
      <c r="B35" s="3"/>
      <c r="C35" s="3"/>
      <c r="D35" s="3"/>
      <c r="E35" s="3"/>
    </row>
    <row r="36" spans="1:21">
      <c r="B36" s="3"/>
      <c r="C36" s="3"/>
      <c r="D36" s="3"/>
      <c r="E36" s="3"/>
    </row>
    <row r="37" spans="1:21">
      <c r="B37" s="3"/>
      <c r="C37" s="3"/>
      <c r="D37" s="3"/>
      <c r="E37" s="3"/>
    </row>
    <row r="38" spans="1:21">
      <c r="B38" s="3"/>
      <c r="C38" s="3"/>
      <c r="D38" s="3"/>
      <c r="E38" s="3"/>
    </row>
    <row r="39" spans="1:21">
      <c r="B39" s="3"/>
      <c r="C39" s="3"/>
      <c r="D39" s="3"/>
      <c r="E39" s="3"/>
    </row>
    <row r="45" spans="1:21" ht="15.5">
      <c r="A45" s="1428" t="s">
        <v>197</v>
      </c>
      <c r="B45" s="1428"/>
      <c r="C45" s="1428"/>
      <c r="D45" s="1428"/>
      <c r="E45" s="1428"/>
      <c r="F45" s="1428"/>
      <c r="G45" s="1428"/>
      <c r="H45" s="1428"/>
      <c r="I45" s="1428"/>
      <c r="J45" s="1428"/>
      <c r="K45" s="1428"/>
      <c r="L45" s="1428"/>
      <c r="M45" s="1428"/>
      <c r="N45" s="1428"/>
      <c r="O45" s="1428"/>
      <c r="P45" s="1428"/>
      <c r="Q45" s="67"/>
      <c r="R45" s="67"/>
      <c r="S45" s="67"/>
    </row>
    <row r="46" spans="1:21" ht="42">
      <c r="A46" s="106" t="s">
        <v>2</v>
      </c>
      <c r="B46" s="652">
        <v>42009</v>
      </c>
      <c r="C46" s="652">
        <v>42052</v>
      </c>
      <c r="D46" s="652">
        <v>42086</v>
      </c>
      <c r="E46" s="652">
        <v>42114</v>
      </c>
      <c r="F46" s="652">
        <v>42142</v>
      </c>
      <c r="G46" s="652">
        <v>42170</v>
      </c>
      <c r="H46" s="366">
        <v>42191</v>
      </c>
      <c r="I46" s="366">
        <v>42205</v>
      </c>
      <c r="J46" s="366">
        <v>42227</v>
      </c>
      <c r="K46" s="652">
        <v>42241</v>
      </c>
      <c r="L46" s="652">
        <v>42261</v>
      </c>
      <c r="M46" s="366">
        <v>42275</v>
      </c>
      <c r="N46" s="366">
        <v>42296</v>
      </c>
      <c r="O46" s="366">
        <v>42324</v>
      </c>
      <c r="P46" s="366">
        <v>42345</v>
      </c>
      <c r="Q46" s="112" t="s">
        <v>90</v>
      </c>
      <c r="R46" s="112" t="s">
        <v>82</v>
      </c>
      <c r="S46" s="112" t="s">
        <v>108</v>
      </c>
      <c r="T46" s="113" t="s">
        <v>92</v>
      </c>
      <c r="U46" s="113" t="s">
        <v>93</v>
      </c>
    </row>
    <row r="47" spans="1:21" ht="15.5">
      <c r="A47" s="118" t="s">
        <v>367</v>
      </c>
      <c r="B47" s="639">
        <v>5</v>
      </c>
      <c r="C47" s="1080">
        <v>2</v>
      </c>
      <c r="D47" s="1080">
        <v>5</v>
      </c>
      <c r="E47" s="1080">
        <v>7</v>
      </c>
      <c r="F47" s="1080">
        <v>19</v>
      </c>
      <c r="G47" s="1080">
        <v>27</v>
      </c>
      <c r="H47" s="1080">
        <v>19</v>
      </c>
      <c r="I47" s="1080">
        <v>24</v>
      </c>
      <c r="J47" s="1080">
        <v>16</v>
      </c>
      <c r="K47" s="1080">
        <v>6</v>
      </c>
      <c r="L47" s="1080">
        <v>2</v>
      </c>
      <c r="M47" s="1080">
        <v>2</v>
      </c>
      <c r="N47" s="1080">
        <v>2</v>
      </c>
      <c r="O47" s="1080">
        <v>2</v>
      </c>
      <c r="P47" s="1080">
        <v>2</v>
      </c>
      <c r="Q47" s="248">
        <f t="shared" ref="Q47:Q52" si="11">AVERAGE(B47:P47)</f>
        <v>9.3333333333333339</v>
      </c>
      <c r="R47" s="109">
        <f t="shared" ref="R47:R52" si="12">MAX(B47:P47)</f>
        <v>27</v>
      </c>
      <c r="S47" s="109">
        <f t="shared" ref="S47:S52" si="13">AVERAGE(H47:M47)</f>
        <v>11.5</v>
      </c>
      <c r="T47" s="110">
        <f>AVERAGE(B50:P51)</f>
        <v>12.466666666666667</v>
      </c>
      <c r="U47" s="109">
        <f>AVERAGE(H50:M51)</f>
        <v>13.916666666666666</v>
      </c>
    </row>
    <row r="48" spans="1:21" ht="15.5">
      <c r="A48" s="118" t="s">
        <v>366</v>
      </c>
      <c r="B48" s="639">
        <v>11</v>
      </c>
      <c r="C48" s="1080">
        <v>12</v>
      </c>
      <c r="D48" s="1080">
        <v>9</v>
      </c>
      <c r="E48" s="1080">
        <v>12</v>
      </c>
      <c r="F48" s="1080">
        <v>15</v>
      </c>
      <c r="G48" s="1080">
        <v>10</v>
      </c>
      <c r="H48" s="1080">
        <v>20</v>
      </c>
      <c r="I48" s="1080">
        <v>10</v>
      </c>
      <c r="J48" s="1080">
        <v>8</v>
      </c>
      <c r="K48" s="1080">
        <v>20</v>
      </c>
      <c r="L48" s="1080">
        <v>6</v>
      </c>
      <c r="M48" s="1080">
        <v>17</v>
      </c>
      <c r="N48" s="1080">
        <v>12</v>
      </c>
      <c r="O48" s="1080">
        <v>2</v>
      </c>
      <c r="P48" s="1080">
        <v>2</v>
      </c>
      <c r="Q48" s="109">
        <f t="shared" si="11"/>
        <v>11.066666666666666</v>
      </c>
      <c r="R48" s="109">
        <f t="shared" si="12"/>
        <v>20</v>
      </c>
      <c r="S48" s="109">
        <f t="shared" si="13"/>
        <v>13.5</v>
      </c>
    </row>
    <row r="49" spans="1:19" ht="15.5">
      <c r="A49" s="119" t="s">
        <v>368</v>
      </c>
      <c r="B49" s="639">
        <v>6</v>
      </c>
      <c r="C49" s="1080">
        <v>4</v>
      </c>
      <c r="D49" s="1080">
        <v>2</v>
      </c>
      <c r="E49" s="1080">
        <v>7</v>
      </c>
      <c r="F49" s="1080">
        <v>26</v>
      </c>
      <c r="G49" s="1080">
        <v>19</v>
      </c>
      <c r="H49" s="1080">
        <v>25</v>
      </c>
      <c r="I49" s="1080">
        <v>14</v>
      </c>
      <c r="J49" s="1080">
        <v>2</v>
      </c>
      <c r="K49" s="1080">
        <v>26</v>
      </c>
      <c r="L49" s="1080">
        <v>3</v>
      </c>
      <c r="M49" s="1080">
        <v>7</v>
      </c>
      <c r="N49" s="1080">
        <v>6</v>
      </c>
      <c r="O49" s="1080">
        <v>9</v>
      </c>
      <c r="P49" s="1080">
        <v>2</v>
      </c>
      <c r="Q49" s="109">
        <f t="shared" si="11"/>
        <v>10.533333333333333</v>
      </c>
      <c r="R49" s="109">
        <f t="shared" si="12"/>
        <v>26</v>
      </c>
      <c r="S49" s="109">
        <f t="shared" si="13"/>
        <v>12.833333333333334</v>
      </c>
    </row>
    <row r="50" spans="1:19" ht="15.5">
      <c r="A50" s="119" t="s">
        <v>378</v>
      </c>
      <c r="B50" s="639">
        <v>9</v>
      </c>
      <c r="C50" s="1080">
        <v>3</v>
      </c>
      <c r="D50" s="1080">
        <v>14</v>
      </c>
      <c r="E50" s="1080">
        <v>11</v>
      </c>
      <c r="F50" s="639">
        <v>20</v>
      </c>
      <c r="G50" s="1080">
        <v>19</v>
      </c>
      <c r="H50" s="1080">
        <v>14</v>
      </c>
      <c r="I50" s="1080">
        <v>4</v>
      </c>
      <c r="J50" s="1080">
        <v>2</v>
      </c>
      <c r="K50" s="1080">
        <v>13</v>
      </c>
      <c r="L50" s="1080">
        <v>4</v>
      </c>
      <c r="M50" s="1080">
        <v>20</v>
      </c>
      <c r="N50" s="1080">
        <v>5</v>
      </c>
      <c r="O50" s="1080">
        <v>2</v>
      </c>
      <c r="P50" s="1115">
        <v>4</v>
      </c>
      <c r="Q50" s="109">
        <f t="shared" si="11"/>
        <v>9.6</v>
      </c>
      <c r="R50" s="109">
        <f t="shared" si="12"/>
        <v>20</v>
      </c>
      <c r="S50" s="109">
        <f t="shared" si="13"/>
        <v>9.5</v>
      </c>
    </row>
    <row r="51" spans="1:19" ht="15.5">
      <c r="A51" s="119" t="s">
        <v>379</v>
      </c>
      <c r="B51" s="639">
        <v>8</v>
      </c>
      <c r="C51" s="1080">
        <v>5</v>
      </c>
      <c r="D51" s="1080">
        <v>6</v>
      </c>
      <c r="E51" s="1080">
        <v>5</v>
      </c>
      <c r="F51" s="1080">
        <v>28</v>
      </c>
      <c r="G51" s="1080">
        <v>34</v>
      </c>
      <c r="H51" s="1080">
        <v>47</v>
      </c>
      <c r="I51" s="1080">
        <v>31</v>
      </c>
      <c r="J51" s="1080">
        <v>11</v>
      </c>
      <c r="K51" s="1080">
        <v>11</v>
      </c>
      <c r="L51" s="1080">
        <v>4</v>
      </c>
      <c r="M51" s="1080">
        <v>6</v>
      </c>
      <c r="N51" s="1080">
        <v>17</v>
      </c>
      <c r="O51" s="1080">
        <v>2</v>
      </c>
      <c r="P51" s="1114">
        <v>15</v>
      </c>
      <c r="Q51" s="109">
        <f t="shared" si="11"/>
        <v>15.333333333333334</v>
      </c>
      <c r="R51" s="109">
        <f t="shared" si="12"/>
        <v>47</v>
      </c>
      <c r="S51" s="109">
        <f t="shared" si="13"/>
        <v>18.333333333333332</v>
      </c>
    </row>
    <row r="52" spans="1:19" ht="15.5">
      <c r="A52" s="274" t="s">
        <v>377</v>
      </c>
      <c r="B52" s="50">
        <f>AVERAGE(B50:B51)</f>
        <v>8.5</v>
      </c>
      <c r="C52" s="50">
        <f t="shared" ref="C52:P52" si="14">AVERAGE(C50:C51)</f>
        <v>4</v>
      </c>
      <c r="D52" s="50">
        <f t="shared" si="14"/>
        <v>10</v>
      </c>
      <c r="E52" s="50">
        <f t="shared" si="14"/>
        <v>8</v>
      </c>
      <c r="F52" s="50">
        <f t="shared" si="14"/>
        <v>24</v>
      </c>
      <c r="G52" s="50">
        <f t="shared" si="14"/>
        <v>26.5</v>
      </c>
      <c r="H52" s="50">
        <f t="shared" si="14"/>
        <v>30.5</v>
      </c>
      <c r="I52" s="50">
        <f t="shared" si="14"/>
        <v>17.5</v>
      </c>
      <c r="J52" s="50">
        <f t="shared" si="14"/>
        <v>6.5</v>
      </c>
      <c r="K52" s="50">
        <f t="shared" si="14"/>
        <v>12</v>
      </c>
      <c r="L52" s="50">
        <f t="shared" si="14"/>
        <v>4</v>
      </c>
      <c r="M52" s="50">
        <f t="shared" si="14"/>
        <v>13</v>
      </c>
      <c r="N52" s="50">
        <f t="shared" si="14"/>
        <v>11</v>
      </c>
      <c r="O52" s="50">
        <f t="shared" si="14"/>
        <v>2</v>
      </c>
      <c r="P52" s="50">
        <f t="shared" si="14"/>
        <v>9.5</v>
      </c>
      <c r="Q52" s="109">
        <f t="shared" si="11"/>
        <v>12.466666666666667</v>
      </c>
      <c r="R52" s="109">
        <f t="shared" si="12"/>
        <v>30.5</v>
      </c>
      <c r="S52" s="109">
        <f t="shared" si="13"/>
        <v>13.916666666666666</v>
      </c>
    </row>
    <row r="53" spans="1:19" ht="15.5">
      <c r="A53" s="1428" t="s">
        <v>196</v>
      </c>
      <c r="B53" s="1428"/>
      <c r="C53" s="1428"/>
      <c r="D53" s="1428"/>
      <c r="E53" s="1428"/>
      <c r="F53" s="1428"/>
      <c r="G53" s="1428"/>
      <c r="H53" s="1428"/>
      <c r="I53" s="1428"/>
      <c r="J53" s="1428"/>
      <c r="K53" s="1428"/>
      <c r="L53" s="1428"/>
      <c r="M53" s="1428"/>
      <c r="N53" s="1428"/>
      <c r="O53" s="1428"/>
      <c r="P53" s="1428"/>
    </row>
    <row r="54" spans="1:19">
      <c r="A54" s="101"/>
      <c r="B54" s="101" t="s">
        <v>68</v>
      </c>
      <c r="C54" s="101" t="s">
        <v>69</v>
      </c>
      <c r="D54" s="101" t="s">
        <v>70</v>
      </c>
      <c r="E54" s="101" t="s">
        <v>71</v>
      </c>
      <c r="F54" s="101" t="s">
        <v>72</v>
      </c>
      <c r="G54" s="101" t="s">
        <v>73</v>
      </c>
      <c r="H54" s="101" t="s">
        <v>74</v>
      </c>
      <c r="I54" s="101" t="s">
        <v>75</v>
      </c>
      <c r="J54" s="101" t="s">
        <v>76</v>
      </c>
      <c r="K54" s="101" t="s">
        <v>77</v>
      </c>
      <c r="L54" s="101" t="s">
        <v>78</v>
      </c>
      <c r="M54" s="101" t="s">
        <v>79</v>
      </c>
    </row>
    <row r="55" spans="1:19">
      <c r="A55" s="118" t="s">
        <v>367</v>
      </c>
      <c r="B55" s="107">
        <f t="shared" ref="B55:G55" si="15">B47</f>
        <v>5</v>
      </c>
      <c r="C55" s="107">
        <f t="shared" si="15"/>
        <v>2</v>
      </c>
      <c r="D55" s="107">
        <f t="shared" si="15"/>
        <v>5</v>
      </c>
      <c r="E55" s="107">
        <f t="shared" si="15"/>
        <v>7</v>
      </c>
      <c r="F55" s="107">
        <f t="shared" si="15"/>
        <v>19</v>
      </c>
      <c r="G55" s="107">
        <f t="shared" si="15"/>
        <v>27</v>
      </c>
      <c r="H55" s="107">
        <f t="shared" ref="H55:H60" si="16">AVERAGE(H47:I47)</f>
        <v>21.5</v>
      </c>
      <c r="I55" s="107">
        <f t="shared" ref="I55:I60" si="17">AVERAGE(J47:K47)</f>
        <v>11</v>
      </c>
      <c r="J55" s="107">
        <f t="shared" ref="J55:J60" si="18">AVERAGE(L47:M47)</f>
        <v>2</v>
      </c>
      <c r="K55" s="107">
        <f t="shared" ref="K55:K60" si="19">N47</f>
        <v>2</v>
      </c>
      <c r="L55" s="107">
        <f t="shared" ref="L55:L60" si="20">O47</f>
        <v>2</v>
      </c>
      <c r="M55" s="107">
        <f t="shared" ref="M55:M60" si="21">P47</f>
        <v>2</v>
      </c>
    </row>
    <row r="56" spans="1:19">
      <c r="A56" s="118" t="s">
        <v>366</v>
      </c>
      <c r="B56" s="107">
        <f t="shared" ref="B56:G60" si="22">B48</f>
        <v>11</v>
      </c>
      <c r="C56" s="107">
        <f t="shared" si="22"/>
        <v>12</v>
      </c>
      <c r="D56" s="107">
        <f t="shared" si="22"/>
        <v>9</v>
      </c>
      <c r="E56" s="107">
        <f t="shared" si="22"/>
        <v>12</v>
      </c>
      <c r="F56" s="107">
        <f t="shared" si="22"/>
        <v>15</v>
      </c>
      <c r="G56" s="107">
        <f t="shared" si="22"/>
        <v>10</v>
      </c>
      <c r="H56" s="107">
        <f t="shared" si="16"/>
        <v>15</v>
      </c>
      <c r="I56" s="107">
        <f t="shared" si="17"/>
        <v>14</v>
      </c>
      <c r="J56" s="107">
        <f t="shared" si="18"/>
        <v>11.5</v>
      </c>
      <c r="K56" s="107">
        <f t="shared" si="19"/>
        <v>12</v>
      </c>
      <c r="L56" s="107">
        <f t="shared" si="20"/>
        <v>2</v>
      </c>
      <c r="M56" s="107">
        <f t="shared" si="21"/>
        <v>2</v>
      </c>
      <c r="R56" s="562"/>
    </row>
    <row r="57" spans="1:19">
      <c r="A57" s="119" t="s">
        <v>368</v>
      </c>
      <c r="B57" s="107">
        <f t="shared" si="22"/>
        <v>6</v>
      </c>
      <c r="C57" s="107">
        <f t="shared" si="22"/>
        <v>4</v>
      </c>
      <c r="D57" s="107">
        <f t="shared" si="22"/>
        <v>2</v>
      </c>
      <c r="E57" s="107">
        <f t="shared" si="22"/>
        <v>7</v>
      </c>
      <c r="F57" s="107">
        <f t="shared" si="22"/>
        <v>26</v>
      </c>
      <c r="G57" s="107">
        <f t="shared" si="22"/>
        <v>19</v>
      </c>
      <c r="H57" s="107">
        <f t="shared" si="16"/>
        <v>19.5</v>
      </c>
      <c r="I57" s="107">
        <f t="shared" si="17"/>
        <v>14</v>
      </c>
      <c r="J57" s="107">
        <f t="shared" si="18"/>
        <v>5</v>
      </c>
      <c r="K57" s="107">
        <f t="shared" si="19"/>
        <v>6</v>
      </c>
      <c r="L57" s="107">
        <f t="shared" si="20"/>
        <v>9</v>
      </c>
      <c r="M57" s="107">
        <f t="shared" si="21"/>
        <v>2</v>
      </c>
      <c r="R57" s="565"/>
    </row>
    <row r="58" spans="1:19">
      <c r="A58" s="116" t="s">
        <v>522</v>
      </c>
      <c r="B58" s="107">
        <f t="shared" si="22"/>
        <v>9</v>
      </c>
      <c r="C58" s="107">
        <f t="shared" si="22"/>
        <v>3</v>
      </c>
      <c r="D58" s="107">
        <f t="shared" si="22"/>
        <v>14</v>
      </c>
      <c r="E58" s="107">
        <f t="shared" si="22"/>
        <v>11</v>
      </c>
      <c r="F58" s="107">
        <f t="shared" si="22"/>
        <v>20</v>
      </c>
      <c r="G58" s="107">
        <f t="shared" si="22"/>
        <v>19</v>
      </c>
      <c r="H58" s="107">
        <f t="shared" si="16"/>
        <v>9</v>
      </c>
      <c r="I58" s="107">
        <f t="shared" si="17"/>
        <v>7.5</v>
      </c>
      <c r="J58" s="107">
        <f t="shared" si="18"/>
        <v>12</v>
      </c>
      <c r="K58" s="107">
        <f t="shared" si="19"/>
        <v>5</v>
      </c>
      <c r="L58" s="107">
        <f t="shared" si="20"/>
        <v>2</v>
      </c>
      <c r="M58" s="107">
        <f t="shared" si="21"/>
        <v>4</v>
      </c>
    </row>
    <row r="59" spans="1:19">
      <c r="A59" s="116" t="s">
        <v>523</v>
      </c>
      <c r="B59" s="107">
        <f t="shared" si="22"/>
        <v>8</v>
      </c>
      <c r="C59" s="107">
        <f t="shared" si="22"/>
        <v>5</v>
      </c>
      <c r="D59" s="107">
        <f t="shared" si="22"/>
        <v>6</v>
      </c>
      <c r="E59" s="107">
        <f t="shared" si="22"/>
        <v>5</v>
      </c>
      <c r="F59" s="107">
        <f t="shared" si="22"/>
        <v>28</v>
      </c>
      <c r="G59" s="107">
        <f t="shared" si="22"/>
        <v>34</v>
      </c>
      <c r="H59" s="107">
        <f t="shared" si="16"/>
        <v>39</v>
      </c>
      <c r="I59" s="107">
        <f t="shared" si="17"/>
        <v>11</v>
      </c>
      <c r="J59" s="107">
        <f t="shared" si="18"/>
        <v>5</v>
      </c>
      <c r="K59" s="107">
        <f t="shared" si="19"/>
        <v>17</v>
      </c>
      <c r="L59" s="107">
        <f t="shared" si="20"/>
        <v>2</v>
      </c>
      <c r="M59" s="107">
        <f t="shared" si="21"/>
        <v>15</v>
      </c>
    </row>
    <row r="60" spans="1:19">
      <c r="A60" s="274" t="s">
        <v>377</v>
      </c>
      <c r="B60" s="107">
        <f t="shared" si="22"/>
        <v>8.5</v>
      </c>
      <c r="C60" s="107">
        <f t="shared" si="22"/>
        <v>4</v>
      </c>
      <c r="D60" s="107">
        <f t="shared" si="22"/>
        <v>10</v>
      </c>
      <c r="E60" s="107">
        <f t="shared" si="22"/>
        <v>8</v>
      </c>
      <c r="F60" s="107">
        <f t="shared" si="22"/>
        <v>24</v>
      </c>
      <c r="G60" s="107">
        <f t="shared" si="22"/>
        <v>26.5</v>
      </c>
      <c r="H60" s="107">
        <f t="shared" si="16"/>
        <v>24</v>
      </c>
      <c r="I60" s="107">
        <f t="shared" si="17"/>
        <v>9.25</v>
      </c>
      <c r="J60" s="107">
        <f t="shared" si="18"/>
        <v>8.5</v>
      </c>
      <c r="K60" s="107">
        <f t="shared" si="19"/>
        <v>11</v>
      </c>
      <c r="L60" s="107">
        <f t="shared" si="20"/>
        <v>2</v>
      </c>
      <c r="M60" s="107">
        <f t="shared" si="21"/>
        <v>9.5</v>
      </c>
    </row>
  </sheetData>
  <mergeCells count="7">
    <mergeCell ref="A45:P45"/>
    <mergeCell ref="A53:P53"/>
    <mergeCell ref="A1:P1"/>
    <mergeCell ref="A2:P2"/>
    <mergeCell ref="B11:F11"/>
    <mergeCell ref="B12:F12"/>
    <mergeCell ref="A13:M13"/>
  </mergeCells>
  <phoneticPr fontId="0" type="noConversion"/>
  <pageMargins left="0.75" right="0.75" top="1" bottom="1" header="0.5" footer="0.5"/>
  <pageSetup scale="65" orientation="landscape" horizontalDpi="4294967294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>
    <tabColor theme="5" tint="0.59999389629810485"/>
    <pageSetUpPr fitToPage="1"/>
  </sheetPr>
  <dimension ref="A1:U35"/>
  <sheetViews>
    <sheetView topLeftCell="A76" zoomScale="75" zoomScaleNormal="75" workbookViewId="0">
      <selection activeCell="AB19" sqref="AB19"/>
    </sheetView>
  </sheetViews>
  <sheetFormatPr defaultColWidth="9.08984375" defaultRowHeight="13"/>
  <cols>
    <col min="1" max="1" width="35.6328125" style="1" bestFit="1" customWidth="1"/>
    <col min="2" max="2" width="6.36328125" style="11" bestFit="1" customWidth="1"/>
    <col min="3" max="3" width="7.1796875" style="11" bestFit="1" customWidth="1"/>
    <col min="4" max="4" width="7.54296875" style="11" bestFit="1" customWidth="1"/>
    <col min="5" max="5" width="7.08984375" style="11" bestFit="1" customWidth="1"/>
    <col min="6" max="6" width="7.54296875" style="11" bestFit="1" customWidth="1"/>
    <col min="7" max="7" width="7.1796875" style="11" bestFit="1" customWidth="1"/>
    <col min="8" max="8" width="5.90625" style="11" bestFit="1" customWidth="1"/>
    <col min="9" max="9" width="6.90625" style="11" bestFit="1" customWidth="1"/>
    <col min="10" max="10" width="6.81640625" style="11" bestFit="1" customWidth="1"/>
    <col min="11" max="11" width="7.54296875" style="11" bestFit="1" customWidth="1"/>
    <col min="12" max="12" width="6.6328125" style="11" bestFit="1" customWidth="1"/>
    <col min="13" max="13" width="7.36328125" style="11" bestFit="1" customWidth="1"/>
    <col min="14" max="15" width="7.1796875" style="11" bestFit="1" customWidth="1"/>
    <col min="16" max="16" width="6.453125" style="11" bestFit="1" customWidth="1"/>
    <col min="17" max="17" width="9.81640625" style="11" bestFit="1" customWidth="1"/>
    <col min="18" max="18" width="6" style="11" bestFit="1" customWidth="1"/>
    <col min="19" max="19" width="10.453125" style="11" bestFit="1" customWidth="1"/>
    <col min="20" max="21" width="11.36328125" style="11" bestFit="1" customWidth="1"/>
    <col min="22" max="22" width="11.08984375" style="11" customWidth="1"/>
    <col min="23" max="23" width="9.90625" style="11" bestFit="1" customWidth="1"/>
    <col min="24" max="24" width="10.36328125" style="11" bestFit="1" customWidth="1"/>
    <col min="25" max="25" width="10.90625" style="11" bestFit="1" customWidth="1"/>
    <col min="26" max="26" width="11.08984375" style="11" bestFit="1" customWidth="1"/>
    <col min="27" max="27" width="11" style="11" customWidth="1"/>
    <col min="28" max="28" width="11.453125" style="11" customWidth="1"/>
    <col min="29" max="29" width="11.90625" style="11" customWidth="1"/>
    <col min="30" max="30" width="11.36328125" style="11" customWidth="1"/>
    <col min="31" max="31" width="10.90625" style="11" bestFit="1" customWidth="1"/>
    <col min="32" max="16384" width="9.08984375" style="11"/>
  </cols>
  <sheetData>
    <row r="1" spans="1:21">
      <c r="A1" s="1435" t="s">
        <v>3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  <c r="Q1" s="1435"/>
    </row>
    <row r="3" spans="1:21">
      <c r="B3" s="1469" t="s">
        <v>131</v>
      </c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1469"/>
    </row>
    <row r="4" spans="1:21" ht="28">
      <c r="A4" s="117"/>
      <c r="B4" s="418">
        <v>42009</v>
      </c>
      <c r="C4" s="418">
        <v>42052</v>
      </c>
      <c r="D4" s="418">
        <v>42086</v>
      </c>
      <c r="E4" s="418">
        <v>42114</v>
      </c>
      <c r="F4" s="418">
        <v>42142</v>
      </c>
      <c r="G4" s="418">
        <v>42170</v>
      </c>
      <c r="H4" s="419">
        <v>42191</v>
      </c>
      <c r="I4" s="419">
        <v>42205</v>
      </c>
      <c r="J4" s="419">
        <v>42227</v>
      </c>
      <c r="K4" s="418">
        <v>42241</v>
      </c>
      <c r="L4" s="418">
        <v>42261</v>
      </c>
      <c r="M4" s="420">
        <v>42275</v>
      </c>
      <c r="N4" s="420">
        <v>42296</v>
      </c>
      <c r="O4" s="420">
        <v>42324</v>
      </c>
      <c r="P4" s="420">
        <v>42345</v>
      </c>
      <c r="Q4" s="105" t="s">
        <v>90</v>
      </c>
      <c r="R4" s="103" t="s">
        <v>82</v>
      </c>
      <c r="S4" s="105" t="s">
        <v>108</v>
      </c>
      <c r="T4" s="105" t="s">
        <v>122</v>
      </c>
      <c r="U4" s="105" t="s">
        <v>123</v>
      </c>
    </row>
    <row r="5" spans="1:21" ht="14">
      <c r="A5" s="118" t="s">
        <v>367</v>
      </c>
      <c r="B5" s="638">
        <v>614</v>
      </c>
      <c r="C5" s="620">
        <v>473</v>
      </c>
      <c r="D5" s="620">
        <v>644</v>
      </c>
      <c r="E5" s="620">
        <v>591</v>
      </c>
      <c r="F5" s="620">
        <v>668</v>
      </c>
      <c r="G5" s="620">
        <v>452</v>
      </c>
      <c r="H5" s="620">
        <v>420</v>
      </c>
      <c r="I5" s="620">
        <v>379</v>
      </c>
      <c r="J5" s="620">
        <v>534</v>
      </c>
      <c r="K5" s="620">
        <v>493</v>
      </c>
      <c r="L5" s="620">
        <v>915</v>
      </c>
      <c r="M5" s="620">
        <v>1026</v>
      </c>
      <c r="N5" s="620">
        <v>417</v>
      </c>
      <c r="O5" s="620">
        <v>916</v>
      </c>
      <c r="P5" s="620">
        <v>584</v>
      </c>
      <c r="Q5" s="115">
        <f>AVERAGE(B5:P5)</f>
        <v>608.4</v>
      </c>
      <c r="R5" s="115">
        <f t="shared" ref="R5:R10" si="0">MAX(B5:P5)</f>
        <v>1026</v>
      </c>
      <c r="S5" s="115">
        <f t="shared" ref="S5:S10" si="1">AVERAGE(H5:M5)</f>
        <v>627.83333333333337</v>
      </c>
      <c r="T5" s="115">
        <f>AVERAGE(B8:P9)</f>
        <v>351.5</v>
      </c>
      <c r="U5" s="115">
        <f>AVERAGE(H8:M9)</f>
        <v>148.16666666666666</v>
      </c>
    </row>
    <row r="6" spans="1:21" ht="14">
      <c r="A6" s="118" t="s">
        <v>366</v>
      </c>
      <c r="B6" s="638">
        <v>971</v>
      </c>
      <c r="C6" s="620">
        <v>751</v>
      </c>
      <c r="D6" s="620">
        <v>640</v>
      </c>
      <c r="E6" s="620">
        <v>746</v>
      </c>
      <c r="F6" s="620">
        <v>447</v>
      </c>
      <c r="G6" s="620">
        <v>233</v>
      </c>
      <c r="H6" s="620">
        <v>244</v>
      </c>
      <c r="I6" s="620">
        <v>250</v>
      </c>
      <c r="J6" s="620">
        <v>320</v>
      </c>
      <c r="K6" s="620">
        <v>442</v>
      </c>
      <c r="L6" s="620">
        <v>624</v>
      </c>
      <c r="M6" s="620">
        <v>781</v>
      </c>
      <c r="N6" s="620">
        <v>740</v>
      </c>
      <c r="O6" s="620">
        <v>585</v>
      </c>
      <c r="P6" s="620">
        <v>584</v>
      </c>
      <c r="Q6" s="115">
        <f>AVERAGE(B6:P6)</f>
        <v>557.20000000000005</v>
      </c>
      <c r="R6" s="115">
        <f t="shared" si="0"/>
        <v>971</v>
      </c>
      <c r="S6" s="115">
        <f t="shared" si="1"/>
        <v>443.5</v>
      </c>
      <c r="T6" s="108"/>
      <c r="U6" s="108"/>
    </row>
    <row r="7" spans="1:21" ht="14">
      <c r="A7" s="119" t="s">
        <v>368</v>
      </c>
      <c r="B7" s="638">
        <v>623</v>
      </c>
      <c r="C7" s="620">
        <v>595</v>
      </c>
      <c r="D7" s="620">
        <v>522</v>
      </c>
      <c r="E7" s="620">
        <v>452</v>
      </c>
      <c r="F7" s="620">
        <v>562</v>
      </c>
      <c r="G7" s="620">
        <v>245</v>
      </c>
      <c r="H7" s="620">
        <v>209</v>
      </c>
      <c r="I7" s="620">
        <v>149</v>
      </c>
      <c r="J7" s="620">
        <v>236</v>
      </c>
      <c r="K7" s="620">
        <v>161</v>
      </c>
      <c r="L7" s="620">
        <v>139</v>
      </c>
      <c r="M7" s="620">
        <v>158</v>
      </c>
      <c r="N7" s="620">
        <v>336</v>
      </c>
      <c r="O7" s="620">
        <v>1118</v>
      </c>
      <c r="P7" s="620">
        <v>579</v>
      </c>
      <c r="Q7" s="115">
        <f>AVERAGE(B7:P7)</f>
        <v>405.6</v>
      </c>
      <c r="R7" s="115">
        <f t="shared" si="0"/>
        <v>1118</v>
      </c>
      <c r="S7" s="115">
        <f t="shared" si="1"/>
        <v>175.33333333333334</v>
      </c>
      <c r="T7" s="108"/>
      <c r="U7" s="108"/>
    </row>
    <row r="8" spans="1:21" ht="14">
      <c r="A8" s="119" t="s">
        <v>199</v>
      </c>
      <c r="B8" s="638">
        <v>848</v>
      </c>
      <c r="C8" s="620">
        <v>606</v>
      </c>
      <c r="D8" s="620">
        <v>533</v>
      </c>
      <c r="E8" s="620">
        <v>456</v>
      </c>
      <c r="F8" s="638">
        <v>502</v>
      </c>
      <c r="G8" s="620">
        <v>212</v>
      </c>
      <c r="H8" s="620">
        <v>156</v>
      </c>
      <c r="I8" s="620">
        <v>33</v>
      </c>
      <c r="J8" s="620">
        <v>221</v>
      </c>
      <c r="K8" s="620">
        <v>169</v>
      </c>
      <c r="L8" s="620">
        <v>93</v>
      </c>
      <c r="M8" s="620">
        <v>132</v>
      </c>
      <c r="N8" s="620">
        <v>308</v>
      </c>
      <c r="O8" s="620">
        <v>423</v>
      </c>
      <c r="P8" s="1114">
        <v>965</v>
      </c>
      <c r="Q8" s="115">
        <f>AVERAGE(B8:P8)</f>
        <v>377.13333333333333</v>
      </c>
      <c r="R8" s="115">
        <f t="shared" si="0"/>
        <v>965</v>
      </c>
      <c r="S8" s="115">
        <f t="shared" si="1"/>
        <v>134</v>
      </c>
      <c r="T8" s="108"/>
      <c r="U8" s="108"/>
    </row>
    <row r="9" spans="1:21" ht="14">
      <c r="A9" s="119" t="s">
        <v>200</v>
      </c>
      <c r="B9" s="638">
        <v>458</v>
      </c>
      <c r="C9" s="620">
        <v>316</v>
      </c>
      <c r="D9" s="620">
        <v>478</v>
      </c>
      <c r="E9" s="620">
        <v>411</v>
      </c>
      <c r="F9" s="620">
        <v>598</v>
      </c>
      <c r="G9" s="620">
        <v>350</v>
      </c>
      <c r="H9" s="620">
        <v>169</v>
      </c>
      <c r="I9" s="620">
        <v>152</v>
      </c>
      <c r="J9" s="620">
        <v>212</v>
      </c>
      <c r="K9" s="620">
        <v>187</v>
      </c>
      <c r="L9" s="620">
        <v>101</v>
      </c>
      <c r="M9" s="620">
        <v>153</v>
      </c>
      <c r="N9" s="620">
        <v>306</v>
      </c>
      <c r="O9" s="620">
        <v>440</v>
      </c>
      <c r="P9" s="1114">
        <v>557</v>
      </c>
      <c r="Q9" s="115">
        <f>AVERAGE(A9:P9)</f>
        <v>325.86666666666667</v>
      </c>
      <c r="R9" s="115">
        <f t="shared" si="0"/>
        <v>598</v>
      </c>
      <c r="S9" s="115">
        <f t="shared" si="1"/>
        <v>162.33333333333334</v>
      </c>
      <c r="T9" s="108"/>
      <c r="U9" s="108"/>
    </row>
    <row r="10" spans="1:21" ht="14">
      <c r="A10" s="119" t="s">
        <v>372</v>
      </c>
      <c r="B10" s="152">
        <f>AVERAGE(B8:B9)</f>
        <v>653</v>
      </c>
      <c r="C10" s="152">
        <f t="shared" ref="C10:H10" si="2">AVERAGE(C8:C9)</f>
        <v>461</v>
      </c>
      <c r="D10" s="152">
        <f t="shared" si="2"/>
        <v>505.5</v>
      </c>
      <c r="E10" s="152">
        <f t="shared" si="2"/>
        <v>433.5</v>
      </c>
      <c r="F10" s="152">
        <f t="shared" si="2"/>
        <v>550</v>
      </c>
      <c r="G10" s="152">
        <f t="shared" si="2"/>
        <v>281</v>
      </c>
      <c r="H10" s="152">
        <f t="shared" si="2"/>
        <v>162.5</v>
      </c>
      <c r="I10" s="152">
        <f t="shared" ref="I10:P10" si="3">AVERAGE(I8:I9)</f>
        <v>92.5</v>
      </c>
      <c r="J10" s="152">
        <f t="shared" si="3"/>
        <v>216.5</v>
      </c>
      <c r="K10" s="152">
        <f t="shared" si="3"/>
        <v>178</v>
      </c>
      <c r="L10" s="152">
        <f t="shared" si="3"/>
        <v>97</v>
      </c>
      <c r="M10" s="152">
        <f t="shared" si="3"/>
        <v>142.5</v>
      </c>
      <c r="N10" s="152">
        <f t="shared" si="3"/>
        <v>307</v>
      </c>
      <c r="O10" s="152">
        <f t="shared" si="3"/>
        <v>431.5</v>
      </c>
      <c r="P10" s="152">
        <f t="shared" si="3"/>
        <v>761</v>
      </c>
      <c r="Q10" s="115">
        <f>AVERAGE(A10:P10)</f>
        <v>351.5</v>
      </c>
      <c r="R10" s="115">
        <f t="shared" si="0"/>
        <v>761</v>
      </c>
      <c r="S10" s="115">
        <f t="shared" si="1"/>
        <v>148.16666666666666</v>
      </c>
      <c r="T10" s="108"/>
      <c r="U10" s="108"/>
    </row>
    <row r="11" spans="1:21" ht="14">
      <c r="A11" s="663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7"/>
      <c r="R11" s="277"/>
      <c r="S11" s="277"/>
      <c r="T11" s="108"/>
      <c r="U11" s="108"/>
    </row>
    <row r="12" spans="1:21" ht="14">
      <c r="A12" s="274"/>
      <c r="B12" s="280" t="s">
        <v>68</v>
      </c>
      <c r="C12" s="280" t="s">
        <v>69</v>
      </c>
      <c r="D12" s="280" t="s">
        <v>70</v>
      </c>
      <c r="E12" s="280" t="s">
        <v>71</v>
      </c>
      <c r="F12" s="280" t="s">
        <v>72</v>
      </c>
      <c r="G12" s="280" t="s">
        <v>73</v>
      </c>
      <c r="H12" s="280" t="s">
        <v>74</v>
      </c>
      <c r="I12" s="280" t="s">
        <v>75</v>
      </c>
      <c r="J12" s="280" t="s">
        <v>76</v>
      </c>
      <c r="K12" s="280" t="s">
        <v>77</v>
      </c>
      <c r="L12" s="280" t="s">
        <v>78</v>
      </c>
      <c r="M12" s="280" t="s">
        <v>79</v>
      </c>
      <c r="N12" s="275"/>
      <c r="O12" s="275"/>
      <c r="P12" s="275"/>
      <c r="Q12" s="277"/>
      <c r="R12" s="277"/>
      <c r="S12" s="277"/>
      <c r="T12" s="108"/>
      <c r="U12" s="108"/>
    </row>
    <row r="13" spans="1:21" ht="14">
      <c r="A13" s="278" t="s">
        <v>367</v>
      </c>
      <c r="B13" s="666">
        <f t="shared" ref="B13:G13" si="4">B5</f>
        <v>614</v>
      </c>
      <c r="C13" s="666">
        <f t="shared" si="4"/>
        <v>473</v>
      </c>
      <c r="D13" s="666">
        <f t="shared" si="4"/>
        <v>644</v>
      </c>
      <c r="E13" s="666">
        <f t="shared" si="4"/>
        <v>591</v>
      </c>
      <c r="F13" s="666">
        <f t="shared" si="4"/>
        <v>668</v>
      </c>
      <c r="G13" s="666">
        <f t="shared" si="4"/>
        <v>452</v>
      </c>
      <c r="H13" s="666">
        <f t="shared" ref="H13:H18" si="5">(H5+I5)/2</f>
        <v>399.5</v>
      </c>
      <c r="I13" s="666">
        <f t="shared" ref="I13:I18" si="6">(J5+K5)/2</f>
        <v>513.5</v>
      </c>
      <c r="J13" s="666">
        <f t="shared" ref="J13:J18" si="7">(L5+M5)/2</f>
        <v>970.5</v>
      </c>
      <c r="K13" s="666">
        <f t="shared" ref="K13:M18" si="8">N5</f>
        <v>417</v>
      </c>
      <c r="L13" s="666">
        <f t="shared" si="8"/>
        <v>916</v>
      </c>
      <c r="M13" s="666">
        <f t="shared" si="8"/>
        <v>584</v>
      </c>
      <c r="N13" s="275"/>
      <c r="O13" s="275"/>
      <c r="P13" s="275"/>
      <c r="Q13" s="277"/>
      <c r="R13" s="277"/>
      <c r="S13" s="277"/>
      <c r="T13" s="108"/>
      <c r="U13" s="108"/>
    </row>
    <row r="14" spans="1:21" ht="14">
      <c r="A14" s="278" t="s">
        <v>366</v>
      </c>
      <c r="B14" s="666">
        <f t="shared" ref="B14:G18" si="9">B6</f>
        <v>971</v>
      </c>
      <c r="C14" s="666">
        <f t="shared" si="9"/>
        <v>751</v>
      </c>
      <c r="D14" s="666">
        <f t="shared" si="9"/>
        <v>640</v>
      </c>
      <c r="E14" s="666">
        <f t="shared" si="9"/>
        <v>746</v>
      </c>
      <c r="F14" s="666">
        <f t="shared" si="9"/>
        <v>447</v>
      </c>
      <c r="G14" s="666">
        <f t="shared" si="9"/>
        <v>233</v>
      </c>
      <c r="H14" s="666">
        <f t="shared" si="5"/>
        <v>247</v>
      </c>
      <c r="I14" s="666">
        <f t="shared" si="6"/>
        <v>381</v>
      </c>
      <c r="J14" s="666">
        <f t="shared" si="7"/>
        <v>702.5</v>
      </c>
      <c r="K14" s="666">
        <f t="shared" si="8"/>
        <v>740</v>
      </c>
      <c r="L14" s="666">
        <f t="shared" si="8"/>
        <v>585</v>
      </c>
      <c r="M14" s="666">
        <f t="shared" si="8"/>
        <v>584</v>
      </c>
      <c r="N14" s="275"/>
      <c r="O14" s="275"/>
      <c r="P14" s="275"/>
      <c r="Q14" s="277"/>
      <c r="R14" s="277"/>
      <c r="S14" s="277"/>
      <c r="T14" s="108"/>
      <c r="U14" s="108"/>
    </row>
    <row r="15" spans="1:21" ht="14">
      <c r="A15" s="279" t="s">
        <v>368</v>
      </c>
      <c r="B15" s="666">
        <f t="shared" si="9"/>
        <v>623</v>
      </c>
      <c r="C15" s="666">
        <f t="shared" si="9"/>
        <v>595</v>
      </c>
      <c r="D15" s="666">
        <f t="shared" si="9"/>
        <v>522</v>
      </c>
      <c r="E15" s="666">
        <f t="shared" si="9"/>
        <v>452</v>
      </c>
      <c r="F15" s="666">
        <f t="shared" si="9"/>
        <v>562</v>
      </c>
      <c r="G15" s="666">
        <f t="shared" si="9"/>
        <v>245</v>
      </c>
      <c r="H15" s="666">
        <f t="shared" si="5"/>
        <v>179</v>
      </c>
      <c r="I15" s="666">
        <f t="shared" si="6"/>
        <v>198.5</v>
      </c>
      <c r="J15" s="666">
        <f t="shared" si="7"/>
        <v>148.5</v>
      </c>
      <c r="K15" s="666">
        <f t="shared" si="8"/>
        <v>336</v>
      </c>
      <c r="L15" s="666">
        <f t="shared" si="8"/>
        <v>1118</v>
      </c>
      <c r="M15" s="666">
        <f t="shared" si="8"/>
        <v>579</v>
      </c>
      <c r="N15" s="275"/>
      <c r="O15" s="275"/>
      <c r="P15" s="275"/>
      <c r="Q15" s="277"/>
      <c r="R15" s="277"/>
      <c r="S15" s="277"/>
      <c r="T15" s="108"/>
      <c r="U15" s="108"/>
    </row>
    <row r="16" spans="1:21" ht="14">
      <c r="A16" s="279" t="s">
        <v>199</v>
      </c>
      <c r="B16" s="666">
        <f t="shared" si="9"/>
        <v>848</v>
      </c>
      <c r="C16" s="666">
        <f t="shared" si="9"/>
        <v>606</v>
      </c>
      <c r="D16" s="666">
        <f t="shared" si="9"/>
        <v>533</v>
      </c>
      <c r="E16" s="666">
        <f t="shared" si="9"/>
        <v>456</v>
      </c>
      <c r="F16" s="666">
        <f t="shared" si="9"/>
        <v>502</v>
      </c>
      <c r="G16" s="666">
        <f t="shared" si="9"/>
        <v>212</v>
      </c>
      <c r="H16" s="666">
        <f t="shared" si="5"/>
        <v>94.5</v>
      </c>
      <c r="I16" s="666">
        <f t="shared" si="6"/>
        <v>195</v>
      </c>
      <c r="J16" s="666">
        <f t="shared" si="7"/>
        <v>112.5</v>
      </c>
      <c r="K16" s="666">
        <f t="shared" si="8"/>
        <v>308</v>
      </c>
      <c r="L16" s="666">
        <f t="shared" si="8"/>
        <v>423</v>
      </c>
      <c r="M16" s="666">
        <f t="shared" si="8"/>
        <v>965</v>
      </c>
      <c r="N16" s="275"/>
      <c r="O16" s="275"/>
      <c r="P16" s="275"/>
      <c r="Q16" s="277"/>
      <c r="R16" s="277"/>
      <c r="S16" s="277"/>
      <c r="T16" s="108"/>
      <c r="U16" s="108"/>
    </row>
    <row r="17" spans="1:21" ht="14">
      <c r="A17" s="279" t="s">
        <v>200</v>
      </c>
      <c r="B17" s="666">
        <f t="shared" si="9"/>
        <v>458</v>
      </c>
      <c r="C17" s="666">
        <f t="shared" si="9"/>
        <v>316</v>
      </c>
      <c r="D17" s="666">
        <f t="shared" si="9"/>
        <v>478</v>
      </c>
      <c r="E17" s="666">
        <f t="shared" si="9"/>
        <v>411</v>
      </c>
      <c r="F17" s="666">
        <f t="shared" si="9"/>
        <v>598</v>
      </c>
      <c r="G17" s="666">
        <f t="shared" si="9"/>
        <v>350</v>
      </c>
      <c r="H17" s="666">
        <f t="shared" si="5"/>
        <v>160.5</v>
      </c>
      <c r="I17" s="666">
        <f t="shared" si="6"/>
        <v>199.5</v>
      </c>
      <c r="J17" s="666">
        <f t="shared" si="7"/>
        <v>127</v>
      </c>
      <c r="K17" s="666">
        <f t="shared" si="8"/>
        <v>306</v>
      </c>
      <c r="L17" s="666">
        <f t="shared" si="8"/>
        <v>440</v>
      </c>
      <c r="M17" s="666">
        <f t="shared" si="8"/>
        <v>557</v>
      </c>
      <c r="N17" s="275"/>
      <c r="O17" s="275"/>
      <c r="P17" s="275"/>
      <c r="Q17" s="277"/>
      <c r="R17" s="277"/>
      <c r="S17" s="277"/>
      <c r="T17" s="108"/>
      <c r="U17" s="108"/>
    </row>
    <row r="18" spans="1:21" ht="14">
      <c r="A18" s="279" t="s">
        <v>372</v>
      </c>
      <c r="B18" s="666">
        <f t="shared" si="9"/>
        <v>653</v>
      </c>
      <c r="C18" s="666">
        <f t="shared" si="9"/>
        <v>461</v>
      </c>
      <c r="D18" s="666">
        <f t="shared" si="9"/>
        <v>505.5</v>
      </c>
      <c r="E18" s="666">
        <f t="shared" si="9"/>
        <v>433.5</v>
      </c>
      <c r="F18" s="666">
        <f t="shared" si="9"/>
        <v>550</v>
      </c>
      <c r="G18" s="666">
        <f t="shared" si="9"/>
        <v>281</v>
      </c>
      <c r="H18" s="666">
        <f t="shared" si="5"/>
        <v>127.5</v>
      </c>
      <c r="I18" s="666">
        <f t="shared" si="6"/>
        <v>197.25</v>
      </c>
      <c r="J18" s="666">
        <f t="shared" si="7"/>
        <v>119.75</v>
      </c>
      <c r="K18" s="666">
        <f t="shared" si="8"/>
        <v>307</v>
      </c>
      <c r="L18" s="666">
        <f t="shared" si="8"/>
        <v>431.5</v>
      </c>
      <c r="M18" s="666">
        <f t="shared" si="8"/>
        <v>761</v>
      </c>
      <c r="N18" s="275"/>
      <c r="O18" s="275"/>
      <c r="P18" s="275"/>
      <c r="Q18" s="277"/>
      <c r="R18" s="277"/>
      <c r="S18" s="277"/>
      <c r="T18" s="108"/>
      <c r="U18" s="108"/>
    </row>
    <row r="19" spans="1:21" ht="14">
      <c r="A19" s="663"/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275"/>
      <c r="O19" s="275"/>
      <c r="P19" s="275"/>
      <c r="Q19" s="277"/>
      <c r="R19" s="277"/>
      <c r="S19" s="277"/>
      <c r="T19" s="108"/>
      <c r="U19" s="108"/>
    </row>
    <row r="20" spans="1:21" ht="14">
      <c r="A20" s="663"/>
      <c r="B20" s="1470" t="s">
        <v>195</v>
      </c>
      <c r="C20" s="1470"/>
      <c r="D20" s="1470"/>
      <c r="E20" s="1470"/>
      <c r="F20" s="1470"/>
      <c r="G20" s="1470"/>
      <c r="H20" s="1470"/>
      <c r="I20" s="1470"/>
      <c r="J20" s="1470"/>
      <c r="K20" s="1470"/>
      <c r="L20" s="1470"/>
      <c r="M20" s="1470"/>
      <c r="N20" s="1470"/>
      <c r="O20" s="1470"/>
      <c r="P20" s="1470"/>
      <c r="Q20" s="1470"/>
      <c r="R20" s="1470"/>
      <c r="S20" s="1470"/>
      <c r="T20" s="1470"/>
      <c r="U20" s="1470"/>
    </row>
    <row r="21" spans="1:21" ht="28">
      <c r="B21" s="418">
        <v>42009</v>
      </c>
      <c r="C21" s="418">
        <v>42052</v>
      </c>
      <c r="D21" s="418">
        <v>42086</v>
      </c>
      <c r="E21" s="418">
        <v>42114</v>
      </c>
      <c r="F21" s="418">
        <v>42142</v>
      </c>
      <c r="G21" s="418">
        <v>42170</v>
      </c>
      <c r="H21" s="419">
        <v>42191</v>
      </c>
      <c r="I21" s="419">
        <v>42205</v>
      </c>
      <c r="J21" s="419">
        <v>42227</v>
      </c>
      <c r="K21" s="418">
        <v>42241</v>
      </c>
      <c r="L21" s="418">
        <v>42261</v>
      </c>
      <c r="M21" s="420">
        <v>42275</v>
      </c>
      <c r="N21" s="420">
        <v>42296</v>
      </c>
      <c r="O21" s="420">
        <v>42324</v>
      </c>
      <c r="P21" s="420">
        <v>42345</v>
      </c>
      <c r="Q21" s="105" t="s">
        <v>90</v>
      </c>
      <c r="R21" s="103" t="s">
        <v>82</v>
      </c>
      <c r="S21" s="105" t="s">
        <v>108</v>
      </c>
      <c r="T21" s="105" t="s">
        <v>122</v>
      </c>
      <c r="U21" s="105" t="s">
        <v>123</v>
      </c>
    </row>
    <row r="22" spans="1:21" ht="14">
      <c r="A22" s="278" t="s">
        <v>367</v>
      </c>
      <c r="B22" s="638">
        <v>1056</v>
      </c>
      <c r="C22" s="620">
        <v>772</v>
      </c>
      <c r="D22" s="620">
        <v>1372</v>
      </c>
      <c r="E22" s="620">
        <v>818</v>
      </c>
      <c r="F22" s="620">
        <v>1114</v>
      </c>
      <c r="G22" s="620">
        <v>887</v>
      </c>
      <c r="H22" s="620">
        <v>826</v>
      </c>
      <c r="I22" s="620">
        <v>754</v>
      </c>
      <c r="J22" s="620">
        <v>1552</v>
      </c>
      <c r="K22" s="620">
        <v>817</v>
      </c>
      <c r="L22" s="620">
        <v>1124</v>
      </c>
      <c r="M22" s="620">
        <v>1178</v>
      </c>
      <c r="N22" s="620">
        <v>718</v>
      </c>
      <c r="O22" s="620">
        <v>997</v>
      </c>
      <c r="P22" s="620">
        <v>725</v>
      </c>
      <c r="Q22" s="664">
        <f t="shared" ref="Q22:Q27" si="10">AVERAGE(B22:P22)</f>
        <v>980.66666666666663</v>
      </c>
      <c r="R22" s="665">
        <f t="shared" ref="R22:R27" si="11">MAX(B22:P22)</f>
        <v>1552</v>
      </c>
      <c r="S22" s="665">
        <f t="shared" ref="S22:S27" si="12">AVERAGE(H22:M22)</f>
        <v>1041.8333333333333</v>
      </c>
      <c r="T22" s="665">
        <f>AVERAGE(B25:P26)</f>
        <v>927.4666666666667</v>
      </c>
      <c r="U22" s="665">
        <f>AVERAGE(H25:M26)</f>
        <v>798.66666666666663</v>
      </c>
    </row>
    <row r="23" spans="1:21" ht="14">
      <c r="A23" s="278" t="s">
        <v>366</v>
      </c>
      <c r="B23" s="638">
        <v>1316</v>
      </c>
      <c r="C23" s="620">
        <v>1089</v>
      </c>
      <c r="D23" s="620">
        <v>939</v>
      </c>
      <c r="E23" s="620">
        <v>947</v>
      </c>
      <c r="F23" s="620">
        <v>818</v>
      </c>
      <c r="G23" s="620">
        <v>581</v>
      </c>
      <c r="H23" s="620">
        <v>460</v>
      </c>
      <c r="I23" s="620">
        <v>422</v>
      </c>
      <c r="J23" s="620">
        <v>488</v>
      </c>
      <c r="K23" s="620">
        <v>663</v>
      </c>
      <c r="L23" s="620">
        <v>755</v>
      </c>
      <c r="M23" s="620">
        <v>1138</v>
      </c>
      <c r="N23" s="620">
        <v>1028</v>
      </c>
      <c r="O23" s="620">
        <v>753</v>
      </c>
      <c r="P23" s="620">
        <v>725</v>
      </c>
      <c r="Q23" s="664">
        <f t="shared" si="10"/>
        <v>808.13333333333333</v>
      </c>
      <c r="R23" s="665">
        <f t="shared" si="11"/>
        <v>1316</v>
      </c>
      <c r="S23" s="665">
        <f t="shared" si="12"/>
        <v>654.33333333333337</v>
      </c>
      <c r="T23" s="108"/>
      <c r="U23" s="108"/>
    </row>
    <row r="24" spans="1:21" ht="14">
      <c r="A24" s="279" t="s">
        <v>368</v>
      </c>
      <c r="B24" s="638">
        <v>1050</v>
      </c>
      <c r="C24" s="620">
        <v>915</v>
      </c>
      <c r="D24" s="620">
        <v>1077</v>
      </c>
      <c r="E24" s="620">
        <v>916</v>
      </c>
      <c r="F24" s="620">
        <v>975</v>
      </c>
      <c r="G24" s="620">
        <v>591</v>
      </c>
      <c r="H24" s="620">
        <v>593</v>
      </c>
      <c r="I24" s="620">
        <v>506</v>
      </c>
      <c r="J24" s="620">
        <v>614</v>
      </c>
      <c r="K24" s="620">
        <v>693</v>
      </c>
      <c r="L24" s="620">
        <v>550</v>
      </c>
      <c r="M24" s="620">
        <v>696</v>
      </c>
      <c r="N24" s="620">
        <v>714</v>
      </c>
      <c r="O24" s="620">
        <v>1746</v>
      </c>
      <c r="P24" s="620">
        <v>885</v>
      </c>
      <c r="Q24" s="664">
        <f t="shared" si="10"/>
        <v>834.73333333333335</v>
      </c>
      <c r="R24" s="665">
        <f t="shared" si="11"/>
        <v>1746</v>
      </c>
      <c r="S24" s="665">
        <f t="shared" si="12"/>
        <v>608.66666666666663</v>
      </c>
      <c r="T24" s="108"/>
      <c r="U24" s="108"/>
    </row>
    <row r="25" spans="1:21" ht="14">
      <c r="A25" s="116" t="s">
        <v>369</v>
      </c>
      <c r="B25" s="638">
        <v>1294</v>
      </c>
      <c r="C25" s="620">
        <v>1113</v>
      </c>
      <c r="D25" s="620">
        <v>910</v>
      </c>
      <c r="E25" s="620">
        <v>820</v>
      </c>
      <c r="F25" s="638">
        <v>927</v>
      </c>
      <c r="G25" s="620">
        <v>889</v>
      </c>
      <c r="H25" s="620">
        <v>803</v>
      </c>
      <c r="I25" s="620">
        <v>694</v>
      </c>
      <c r="J25" s="620">
        <v>777</v>
      </c>
      <c r="K25" s="620">
        <v>814</v>
      </c>
      <c r="L25" s="620">
        <v>619</v>
      </c>
      <c r="M25" s="620">
        <v>1260</v>
      </c>
      <c r="N25" s="620">
        <v>787</v>
      </c>
      <c r="O25" s="620">
        <v>874</v>
      </c>
      <c r="P25" s="1114">
        <v>1308</v>
      </c>
      <c r="Q25" s="664">
        <f t="shared" si="10"/>
        <v>925.93333333333328</v>
      </c>
      <c r="R25" s="665">
        <f t="shared" si="11"/>
        <v>1308</v>
      </c>
      <c r="S25" s="665">
        <f t="shared" si="12"/>
        <v>827.83333333333337</v>
      </c>
      <c r="T25" s="108"/>
      <c r="U25" s="108"/>
    </row>
    <row r="26" spans="1:21" ht="14">
      <c r="A26" s="116" t="s">
        <v>370</v>
      </c>
      <c r="B26" s="638">
        <v>1192</v>
      </c>
      <c r="C26" s="620">
        <v>1283</v>
      </c>
      <c r="D26" s="620">
        <v>1206</v>
      </c>
      <c r="E26" s="620">
        <v>786</v>
      </c>
      <c r="F26" s="620">
        <v>1048</v>
      </c>
      <c r="G26" s="620">
        <v>1015</v>
      </c>
      <c r="H26" s="620">
        <v>856</v>
      </c>
      <c r="I26" s="620">
        <v>709</v>
      </c>
      <c r="J26" s="620">
        <v>759</v>
      </c>
      <c r="K26" s="620">
        <v>801</v>
      </c>
      <c r="L26" s="620">
        <v>769</v>
      </c>
      <c r="M26" s="620">
        <v>723</v>
      </c>
      <c r="N26" s="620">
        <v>711</v>
      </c>
      <c r="O26" s="620">
        <v>832</v>
      </c>
      <c r="P26" s="1114">
        <v>1245</v>
      </c>
      <c r="Q26" s="664">
        <f t="shared" si="10"/>
        <v>929</v>
      </c>
      <c r="R26" s="665">
        <f t="shared" si="11"/>
        <v>1283</v>
      </c>
      <c r="S26" s="665">
        <f t="shared" si="12"/>
        <v>769.5</v>
      </c>
      <c r="T26" s="108"/>
      <c r="U26" s="108"/>
    </row>
    <row r="27" spans="1:21" ht="14">
      <c r="A27" s="274" t="s">
        <v>371</v>
      </c>
      <c r="B27" s="152">
        <f>AVERAGE(B25:B26)</f>
        <v>1243</v>
      </c>
      <c r="C27" s="152">
        <f t="shared" ref="C27:P27" si="13">AVERAGE(C25:C26)</f>
        <v>1198</v>
      </c>
      <c r="D27" s="152">
        <f t="shared" si="13"/>
        <v>1058</v>
      </c>
      <c r="E27" s="152">
        <f t="shared" si="13"/>
        <v>803</v>
      </c>
      <c r="F27" s="152">
        <f t="shared" si="13"/>
        <v>987.5</v>
      </c>
      <c r="G27" s="152">
        <f t="shared" si="13"/>
        <v>952</v>
      </c>
      <c r="H27" s="152">
        <f t="shared" si="13"/>
        <v>829.5</v>
      </c>
      <c r="I27" s="152">
        <f t="shared" si="13"/>
        <v>701.5</v>
      </c>
      <c r="J27" s="152">
        <f t="shared" si="13"/>
        <v>768</v>
      </c>
      <c r="K27" s="152">
        <f t="shared" si="13"/>
        <v>807.5</v>
      </c>
      <c r="L27" s="152">
        <f t="shared" si="13"/>
        <v>694</v>
      </c>
      <c r="M27" s="152">
        <f t="shared" si="13"/>
        <v>991.5</v>
      </c>
      <c r="N27" s="152">
        <f t="shared" si="13"/>
        <v>749</v>
      </c>
      <c r="O27" s="152">
        <f t="shared" si="13"/>
        <v>853</v>
      </c>
      <c r="P27" s="152">
        <f t="shared" si="13"/>
        <v>1276.5</v>
      </c>
      <c r="Q27" s="664">
        <f t="shared" si="10"/>
        <v>927.4666666666667</v>
      </c>
      <c r="R27" s="665">
        <f t="shared" si="11"/>
        <v>1276.5</v>
      </c>
      <c r="S27" s="665">
        <f t="shared" si="12"/>
        <v>798.66666666666663</v>
      </c>
    </row>
    <row r="29" spans="1:21">
      <c r="B29" s="280" t="s">
        <v>68</v>
      </c>
      <c r="C29" s="280" t="s">
        <v>69</v>
      </c>
      <c r="D29" s="280" t="s">
        <v>70</v>
      </c>
      <c r="E29" s="280" t="s">
        <v>71</v>
      </c>
      <c r="F29" s="280" t="s">
        <v>72</v>
      </c>
      <c r="G29" s="280" t="s">
        <v>73</v>
      </c>
      <c r="H29" s="280" t="s">
        <v>74</v>
      </c>
      <c r="I29" s="280" t="s">
        <v>75</v>
      </c>
      <c r="J29" s="280" t="s">
        <v>76</v>
      </c>
      <c r="K29" s="280" t="s">
        <v>77</v>
      </c>
      <c r="L29" s="280" t="s">
        <v>78</v>
      </c>
      <c r="M29" s="280" t="s">
        <v>79</v>
      </c>
    </row>
    <row r="30" spans="1:21" ht="14">
      <c r="A30" s="278" t="s">
        <v>367</v>
      </c>
      <c r="B30" s="666">
        <f t="shared" ref="B30:G30" si="14">B22</f>
        <v>1056</v>
      </c>
      <c r="C30" s="666">
        <f t="shared" si="14"/>
        <v>772</v>
      </c>
      <c r="D30" s="666">
        <f t="shared" si="14"/>
        <v>1372</v>
      </c>
      <c r="E30" s="666">
        <f t="shared" si="14"/>
        <v>818</v>
      </c>
      <c r="F30" s="666">
        <f t="shared" si="14"/>
        <v>1114</v>
      </c>
      <c r="G30" s="666">
        <f t="shared" si="14"/>
        <v>887</v>
      </c>
      <c r="H30" s="666">
        <f t="shared" ref="H30:H35" si="15">(H22+I22)/2</f>
        <v>790</v>
      </c>
      <c r="I30" s="666">
        <f t="shared" ref="I30:I35" si="16">(J22+K22)/2</f>
        <v>1184.5</v>
      </c>
      <c r="J30" s="666">
        <f t="shared" ref="J30:J35" si="17">(L22+M22)/2</f>
        <v>1151</v>
      </c>
      <c r="K30" s="666">
        <f t="shared" ref="K30:K35" si="18">N22</f>
        <v>718</v>
      </c>
      <c r="L30" s="666">
        <f t="shared" ref="L30:M35" si="19">O22</f>
        <v>997</v>
      </c>
      <c r="M30" s="666">
        <f t="shared" si="19"/>
        <v>725</v>
      </c>
    </row>
    <row r="31" spans="1:21" ht="14">
      <c r="A31" s="278" t="s">
        <v>366</v>
      </c>
      <c r="B31" s="666">
        <f t="shared" ref="B31:G31" si="20">B23</f>
        <v>1316</v>
      </c>
      <c r="C31" s="666">
        <f t="shared" si="20"/>
        <v>1089</v>
      </c>
      <c r="D31" s="666">
        <f t="shared" si="20"/>
        <v>939</v>
      </c>
      <c r="E31" s="666">
        <f t="shared" si="20"/>
        <v>947</v>
      </c>
      <c r="F31" s="666">
        <f t="shared" si="20"/>
        <v>818</v>
      </c>
      <c r="G31" s="666">
        <f t="shared" si="20"/>
        <v>581</v>
      </c>
      <c r="H31" s="666">
        <f t="shared" si="15"/>
        <v>441</v>
      </c>
      <c r="I31" s="666">
        <f t="shared" si="16"/>
        <v>575.5</v>
      </c>
      <c r="J31" s="666">
        <f t="shared" si="17"/>
        <v>946.5</v>
      </c>
      <c r="K31" s="666">
        <f t="shared" si="18"/>
        <v>1028</v>
      </c>
      <c r="L31" s="666">
        <f t="shared" si="19"/>
        <v>753</v>
      </c>
      <c r="M31" s="666">
        <f t="shared" si="19"/>
        <v>725</v>
      </c>
    </row>
    <row r="32" spans="1:21" ht="14">
      <c r="A32" s="279" t="s">
        <v>368</v>
      </c>
      <c r="B32" s="666">
        <f t="shared" ref="B32:G32" si="21">B24</f>
        <v>1050</v>
      </c>
      <c r="C32" s="666">
        <f t="shared" si="21"/>
        <v>915</v>
      </c>
      <c r="D32" s="666">
        <f t="shared" si="21"/>
        <v>1077</v>
      </c>
      <c r="E32" s="666">
        <f t="shared" si="21"/>
        <v>916</v>
      </c>
      <c r="F32" s="666">
        <f t="shared" si="21"/>
        <v>975</v>
      </c>
      <c r="G32" s="666">
        <f t="shared" si="21"/>
        <v>591</v>
      </c>
      <c r="H32" s="666">
        <f t="shared" si="15"/>
        <v>549.5</v>
      </c>
      <c r="I32" s="666">
        <f t="shared" si="16"/>
        <v>653.5</v>
      </c>
      <c r="J32" s="666">
        <f t="shared" si="17"/>
        <v>623</v>
      </c>
      <c r="K32" s="666">
        <f t="shared" si="18"/>
        <v>714</v>
      </c>
      <c r="L32" s="666">
        <f t="shared" si="19"/>
        <v>1746</v>
      </c>
      <c r="M32" s="666">
        <f t="shared" si="19"/>
        <v>885</v>
      </c>
    </row>
    <row r="33" spans="1:13" ht="14">
      <c r="A33" s="116" t="s">
        <v>369</v>
      </c>
      <c r="B33" s="666">
        <f t="shared" ref="B33:G33" si="22">B25</f>
        <v>1294</v>
      </c>
      <c r="C33" s="666">
        <f t="shared" si="22"/>
        <v>1113</v>
      </c>
      <c r="D33" s="666">
        <f t="shared" si="22"/>
        <v>910</v>
      </c>
      <c r="E33" s="666">
        <f t="shared" si="22"/>
        <v>820</v>
      </c>
      <c r="F33" s="666">
        <f t="shared" si="22"/>
        <v>927</v>
      </c>
      <c r="G33" s="666">
        <f t="shared" si="22"/>
        <v>889</v>
      </c>
      <c r="H33" s="666">
        <f t="shared" si="15"/>
        <v>748.5</v>
      </c>
      <c r="I33" s="666">
        <f t="shared" si="16"/>
        <v>795.5</v>
      </c>
      <c r="J33" s="666">
        <f t="shared" si="17"/>
        <v>939.5</v>
      </c>
      <c r="K33" s="666">
        <f t="shared" si="18"/>
        <v>787</v>
      </c>
      <c r="L33" s="666">
        <f t="shared" si="19"/>
        <v>874</v>
      </c>
      <c r="M33" s="666">
        <f t="shared" si="19"/>
        <v>1308</v>
      </c>
    </row>
    <row r="34" spans="1:13" ht="14">
      <c r="A34" s="116" t="s">
        <v>370</v>
      </c>
      <c r="B34" s="666">
        <f t="shared" ref="B34:G34" si="23">B26</f>
        <v>1192</v>
      </c>
      <c r="C34" s="666">
        <f t="shared" si="23"/>
        <v>1283</v>
      </c>
      <c r="D34" s="666">
        <f t="shared" si="23"/>
        <v>1206</v>
      </c>
      <c r="E34" s="666">
        <f t="shared" si="23"/>
        <v>786</v>
      </c>
      <c r="F34" s="666">
        <f t="shared" si="23"/>
        <v>1048</v>
      </c>
      <c r="G34" s="666">
        <f t="shared" si="23"/>
        <v>1015</v>
      </c>
      <c r="H34" s="666">
        <f t="shared" si="15"/>
        <v>782.5</v>
      </c>
      <c r="I34" s="666">
        <f t="shared" si="16"/>
        <v>780</v>
      </c>
      <c r="J34" s="666">
        <f t="shared" si="17"/>
        <v>746</v>
      </c>
      <c r="K34" s="666">
        <f t="shared" si="18"/>
        <v>711</v>
      </c>
      <c r="L34" s="666">
        <f t="shared" si="19"/>
        <v>832</v>
      </c>
      <c r="M34" s="666">
        <f t="shared" si="19"/>
        <v>1245</v>
      </c>
    </row>
    <row r="35" spans="1:13" ht="14">
      <c r="A35" s="274" t="s">
        <v>371</v>
      </c>
      <c r="B35" s="666">
        <f t="shared" ref="B35:G35" si="24">B27</f>
        <v>1243</v>
      </c>
      <c r="C35" s="666">
        <f t="shared" si="24"/>
        <v>1198</v>
      </c>
      <c r="D35" s="666">
        <f t="shared" si="24"/>
        <v>1058</v>
      </c>
      <c r="E35" s="666">
        <f t="shared" si="24"/>
        <v>803</v>
      </c>
      <c r="F35" s="666">
        <f t="shared" si="24"/>
        <v>987.5</v>
      </c>
      <c r="G35" s="666">
        <f t="shared" si="24"/>
        <v>952</v>
      </c>
      <c r="H35" s="666">
        <f t="shared" si="15"/>
        <v>765.5</v>
      </c>
      <c r="I35" s="666">
        <f t="shared" si="16"/>
        <v>787.75</v>
      </c>
      <c r="J35" s="666">
        <f t="shared" si="17"/>
        <v>842.75</v>
      </c>
      <c r="K35" s="666">
        <f t="shared" si="18"/>
        <v>749</v>
      </c>
      <c r="L35" s="666">
        <f t="shared" si="19"/>
        <v>853</v>
      </c>
      <c r="M35" s="666">
        <f t="shared" si="19"/>
        <v>1276.5</v>
      </c>
    </row>
  </sheetData>
  <mergeCells count="3">
    <mergeCell ref="B3:N3"/>
    <mergeCell ref="A1:Q1"/>
    <mergeCell ref="B20:U20"/>
  </mergeCells>
  <phoneticPr fontId="0" type="noConversion"/>
  <pageMargins left="0.25" right="0.25" top="1" bottom="1" header="0.5" footer="0.5"/>
  <pageSetup scale="70" orientation="landscape" horizontalDpi="4294967294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theme="5" tint="0.59999389629810485"/>
    <pageSetUpPr fitToPage="1"/>
  </sheetPr>
  <dimension ref="A1:U31"/>
  <sheetViews>
    <sheetView topLeftCell="A10" zoomScale="75" zoomScaleNormal="75" workbookViewId="0">
      <selection activeCell="B16" sqref="B16:M18"/>
    </sheetView>
  </sheetViews>
  <sheetFormatPr defaultRowHeight="14"/>
  <cols>
    <col min="1" max="1" width="35.6328125" style="1" customWidth="1"/>
    <col min="2" max="2" width="12" customWidth="1"/>
    <col min="3" max="3" width="12.08984375" customWidth="1"/>
    <col min="4" max="5" width="12.36328125" customWidth="1"/>
    <col min="6" max="6" width="12.08984375" customWidth="1"/>
    <col min="7" max="7" width="12" customWidth="1"/>
    <col min="8" max="8" width="10.36328125" customWidth="1"/>
    <col min="9" max="9" width="12" customWidth="1"/>
    <col min="10" max="10" width="11.54296875" customWidth="1"/>
    <col min="11" max="11" width="12.36328125" customWidth="1"/>
    <col min="12" max="12" width="11" customWidth="1"/>
    <col min="13" max="14" width="12.36328125" customWidth="1"/>
    <col min="15" max="15" width="12.08984375" customWidth="1"/>
    <col min="16" max="16" width="12" customWidth="1"/>
    <col min="17" max="17" width="9.6328125" customWidth="1"/>
    <col min="18" max="18" width="6.54296875" customWidth="1"/>
    <col min="19" max="19" width="10.54296875" customWidth="1"/>
    <col min="20" max="21" width="11.08984375" customWidth="1"/>
    <col min="22" max="22" width="9.90625" customWidth="1"/>
    <col min="23" max="23" width="10.36328125" bestFit="1" customWidth="1"/>
    <col min="24" max="24" width="10.90625" bestFit="1" customWidth="1"/>
    <col min="25" max="25" width="11.54296875" customWidth="1"/>
    <col min="26" max="26" width="10.36328125" customWidth="1"/>
    <col min="27" max="27" width="11.90625" customWidth="1"/>
    <col min="28" max="28" width="10.6328125" customWidth="1"/>
    <col min="29" max="29" width="11" customWidth="1"/>
    <col min="30" max="30" width="10.90625" bestFit="1" customWidth="1"/>
    <col min="31" max="31" width="10" bestFit="1" customWidth="1"/>
  </cols>
  <sheetData>
    <row r="1" spans="1:21">
      <c r="A1" s="1435" t="s">
        <v>3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</row>
    <row r="2" spans="1:21">
      <c r="A2" s="1435" t="s">
        <v>4</v>
      </c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</row>
    <row r="5" spans="1:21" s="7" customFormat="1" ht="28">
      <c r="A5" s="114" t="s">
        <v>2</v>
      </c>
      <c r="B5" s="418">
        <v>42009</v>
      </c>
      <c r="C5" s="418">
        <v>42052</v>
      </c>
      <c r="D5" s="418">
        <v>42086</v>
      </c>
      <c r="E5" s="418">
        <v>42114</v>
      </c>
      <c r="F5" s="418">
        <v>42142</v>
      </c>
      <c r="G5" s="418">
        <v>42170</v>
      </c>
      <c r="H5" s="419">
        <v>42191</v>
      </c>
      <c r="I5" s="419">
        <v>42205</v>
      </c>
      <c r="J5" s="419">
        <v>42227</v>
      </c>
      <c r="K5" s="418">
        <v>42241</v>
      </c>
      <c r="L5" s="418">
        <v>42261</v>
      </c>
      <c r="M5" s="420">
        <v>42275</v>
      </c>
      <c r="N5" s="420">
        <v>42296</v>
      </c>
      <c r="O5" s="420">
        <v>42324</v>
      </c>
      <c r="P5" s="420">
        <v>42345</v>
      </c>
      <c r="Q5" s="105" t="s">
        <v>90</v>
      </c>
      <c r="R5" s="105" t="s">
        <v>82</v>
      </c>
      <c r="S5" s="105" t="s">
        <v>108</v>
      </c>
      <c r="T5" s="105" t="s">
        <v>122</v>
      </c>
      <c r="U5" s="105" t="s">
        <v>123</v>
      </c>
    </row>
    <row r="6" spans="1:21" s="3" customFormat="1">
      <c r="A6" s="118" t="s">
        <v>367</v>
      </c>
      <c r="B6" s="364">
        <v>11.5</v>
      </c>
      <c r="C6" s="98">
        <v>4</v>
      </c>
      <c r="D6" s="98">
        <v>10.4</v>
      </c>
      <c r="E6" s="98">
        <v>20.3</v>
      </c>
      <c r="F6" s="98">
        <v>138</v>
      </c>
      <c r="G6" s="98">
        <v>28.6</v>
      </c>
      <c r="H6" s="98">
        <v>29.8</v>
      </c>
      <c r="I6" s="98">
        <v>9.6</v>
      </c>
      <c r="J6" s="98">
        <v>110.4</v>
      </c>
      <c r="K6" s="98">
        <v>6.4</v>
      </c>
      <c r="L6" s="98">
        <v>4</v>
      </c>
      <c r="M6" s="98">
        <v>90.4</v>
      </c>
      <c r="N6" s="98">
        <v>6.8</v>
      </c>
      <c r="O6" s="98">
        <v>4</v>
      </c>
      <c r="P6" s="98">
        <v>4</v>
      </c>
      <c r="Q6" s="667">
        <f t="shared" ref="Q6:Q11" si="0">AVERAGE(B6:P6)</f>
        <v>31.88</v>
      </c>
      <c r="R6" s="667">
        <f t="shared" ref="R6:R11" si="1">MAX(B6:P6)</f>
        <v>138</v>
      </c>
      <c r="S6" s="667">
        <f t="shared" ref="S6:S11" si="2">AVERAGE(H6:M6)</f>
        <v>41.766666666666673</v>
      </c>
      <c r="T6" s="667">
        <f>AVERAGE(B9:P10)</f>
        <v>12.523333333333333</v>
      </c>
      <c r="U6" s="667">
        <f>AVERAGE(H9:M10)</f>
        <v>20.591666666666665</v>
      </c>
    </row>
    <row r="7" spans="1:21" s="3" customFormat="1">
      <c r="A7" s="118" t="s">
        <v>366</v>
      </c>
      <c r="B7" s="364">
        <v>4</v>
      </c>
      <c r="C7" s="98">
        <v>4</v>
      </c>
      <c r="D7" s="98">
        <v>16.399999999999999</v>
      </c>
      <c r="E7" s="98">
        <v>67.7</v>
      </c>
      <c r="F7" s="98">
        <v>41.2</v>
      </c>
      <c r="G7" s="98">
        <v>19.3</v>
      </c>
      <c r="H7" s="98">
        <v>41.4</v>
      </c>
      <c r="I7" s="98">
        <v>10.4</v>
      </c>
      <c r="J7" s="98">
        <v>16.399999999999999</v>
      </c>
      <c r="K7" s="98">
        <v>9.1999999999999993</v>
      </c>
      <c r="L7" s="98">
        <v>4.8</v>
      </c>
      <c r="M7" s="98">
        <v>6</v>
      </c>
      <c r="N7" s="98">
        <v>4</v>
      </c>
      <c r="O7" s="98">
        <v>4</v>
      </c>
      <c r="P7" s="98">
        <v>4</v>
      </c>
      <c r="Q7" s="667">
        <f t="shared" si="0"/>
        <v>16.853333333333335</v>
      </c>
      <c r="R7" s="667">
        <f t="shared" si="1"/>
        <v>67.7</v>
      </c>
      <c r="S7" s="667">
        <f t="shared" si="2"/>
        <v>14.699999999999998</v>
      </c>
      <c r="T7" s="74"/>
      <c r="U7" s="74"/>
    </row>
    <row r="8" spans="1:21" s="3" customFormat="1">
      <c r="A8" s="119" t="s">
        <v>368</v>
      </c>
      <c r="B8" s="364">
        <v>4</v>
      </c>
      <c r="C8" s="98">
        <v>4</v>
      </c>
      <c r="D8" s="98">
        <v>6.1</v>
      </c>
      <c r="E8" s="98">
        <v>12.6</v>
      </c>
      <c r="F8" s="98">
        <v>9.5</v>
      </c>
      <c r="G8" s="98">
        <v>4</v>
      </c>
      <c r="H8" s="98">
        <v>6.6</v>
      </c>
      <c r="I8" s="98">
        <v>8.1999999999999993</v>
      </c>
      <c r="J8" s="98">
        <v>10.199999999999999</v>
      </c>
      <c r="K8" s="98">
        <v>10.199999999999999</v>
      </c>
      <c r="L8" s="98">
        <v>9.8000000000000007</v>
      </c>
      <c r="M8" s="98">
        <v>9.6</v>
      </c>
      <c r="N8" s="98">
        <v>12.6</v>
      </c>
      <c r="O8" s="98">
        <v>18</v>
      </c>
      <c r="P8" s="98">
        <v>4</v>
      </c>
      <c r="Q8" s="667">
        <f t="shared" si="0"/>
        <v>8.6266666666666652</v>
      </c>
      <c r="R8" s="667">
        <f t="shared" si="1"/>
        <v>18</v>
      </c>
      <c r="S8" s="667">
        <f t="shared" si="2"/>
        <v>9.1</v>
      </c>
      <c r="T8" s="74"/>
      <c r="U8" s="74"/>
    </row>
    <row r="9" spans="1:21" s="3" customFormat="1">
      <c r="A9" s="119" t="s">
        <v>524</v>
      </c>
      <c r="B9" s="364">
        <v>4</v>
      </c>
      <c r="C9" s="98">
        <v>4</v>
      </c>
      <c r="D9" s="98">
        <v>4.8</v>
      </c>
      <c r="E9" s="98">
        <v>5.2</v>
      </c>
      <c r="F9" s="364">
        <v>8.1</v>
      </c>
      <c r="G9" s="98">
        <v>4</v>
      </c>
      <c r="H9" s="98">
        <v>9.6</v>
      </c>
      <c r="I9" s="98">
        <v>5.2</v>
      </c>
      <c r="J9" s="98">
        <v>8.6</v>
      </c>
      <c r="K9" s="98">
        <v>9.8000000000000007</v>
      </c>
      <c r="L9" s="98">
        <v>9.8000000000000007</v>
      </c>
      <c r="M9" s="98">
        <v>15.4</v>
      </c>
      <c r="N9" s="98">
        <v>16.600000000000001</v>
      </c>
      <c r="O9" s="98">
        <v>11</v>
      </c>
      <c r="P9" s="1116">
        <v>4</v>
      </c>
      <c r="Q9" s="667">
        <f t="shared" si="0"/>
        <v>8.0066666666666677</v>
      </c>
      <c r="R9" s="667">
        <f t="shared" si="1"/>
        <v>16.600000000000001</v>
      </c>
      <c r="S9" s="667">
        <f t="shared" si="2"/>
        <v>9.7333333333333325</v>
      </c>
      <c r="T9" s="74"/>
      <c r="U9" s="74"/>
    </row>
    <row r="10" spans="1:21" s="3" customFormat="1">
      <c r="A10" s="119" t="s">
        <v>525</v>
      </c>
      <c r="B10" s="364">
        <v>4</v>
      </c>
      <c r="C10" s="98">
        <v>4</v>
      </c>
      <c r="D10" s="98">
        <v>4</v>
      </c>
      <c r="E10" s="98">
        <v>5.7</v>
      </c>
      <c r="F10" s="98">
        <v>11.8</v>
      </c>
      <c r="G10" s="98">
        <v>4</v>
      </c>
      <c r="H10" s="98">
        <v>6.2</v>
      </c>
      <c r="I10" s="98">
        <v>8</v>
      </c>
      <c r="J10" s="98">
        <v>26.8</v>
      </c>
      <c r="K10" s="98">
        <v>39</v>
      </c>
      <c r="L10" s="98">
        <v>27.4</v>
      </c>
      <c r="M10" s="98">
        <v>81.3</v>
      </c>
      <c r="N10" s="98">
        <v>20.2</v>
      </c>
      <c r="O10" s="98">
        <v>11.2</v>
      </c>
      <c r="P10" s="1115">
        <v>2</v>
      </c>
      <c r="Q10" s="667">
        <f t="shared" si="0"/>
        <v>17.04</v>
      </c>
      <c r="R10" s="667">
        <f t="shared" si="1"/>
        <v>81.3</v>
      </c>
      <c r="S10" s="667">
        <f t="shared" si="2"/>
        <v>31.45</v>
      </c>
      <c r="T10" s="74"/>
      <c r="U10" s="74"/>
    </row>
    <row r="11" spans="1:21">
      <c r="A11" s="119" t="s">
        <v>526</v>
      </c>
      <c r="B11" s="612">
        <f>AVERAGE(B9:B10)</f>
        <v>4</v>
      </c>
      <c r="C11" s="612">
        <f t="shared" ref="C11:P11" si="3">AVERAGE(C9:C10)</f>
        <v>4</v>
      </c>
      <c r="D11" s="612">
        <f t="shared" si="3"/>
        <v>4.4000000000000004</v>
      </c>
      <c r="E11" s="612">
        <f t="shared" si="3"/>
        <v>5.45</v>
      </c>
      <c r="F11" s="612">
        <f t="shared" si="3"/>
        <v>9.9499999999999993</v>
      </c>
      <c r="G11" s="612">
        <f t="shared" si="3"/>
        <v>4</v>
      </c>
      <c r="H11" s="612">
        <f t="shared" si="3"/>
        <v>7.9</v>
      </c>
      <c r="I11" s="612">
        <f t="shared" si="3"/>
        <v>6.6</v>
      </c>
      <c r="J11" s="612">
        <f t="shared" si="3"/>
        <v>17.7</v>
      </c>
      <c r="K11" s="612">
        <f t="shared" si="3"/>
        <v>24.4</v>
      </c>
      <c r="L11" s="612">
        <f t="shared" si="3"/>
        <v>18.600000000000001</v>
      </c>
      <c r="M11" s="612">
        <f t="shared" si="3"/>
        <v>48.35</v>
      </c>
      <c r="N11" s="612">
        <f t="shared" si="3"/>
        <v>18.399999999999999</v>
      </c>
      <c r="O11" s="612">
        <f t="shared" si="3"/>
        <v>11.1</v>
      </c>
      <c r="P11" s="612">
        <f t="shared" si="3"/>
        <v>3</v>
      </c>
      <c r="Q11" s="667">
        <f t="shared" si="0"/>
        <v>12.523333333333333</v>
      </c>
      <c r="R11" s="667">
        <f t="shared" si="1"/>
        <v>48.35</v>
      </c>
      <c r="S11" s="667">
        <f t="shared" si="2"/>
        <v>20.591666666666669</v>
      </c>
    </row>
    <row r="12" spans="1:21">
      <c r="B12" s="46"/>
      <c r="C12" s="46"/>
      <c r="D12" s="46"/>
      <c r="E12" s="46"/>
    </row>
    <row r="13" spans="1:21">
      <c r="B13" s="46"/>
      <c r="C13" s="46"/>
      <c r="D13" s="46"/>
      <c r="E13" s="46"/>
    </row>
    <row r="15" spans="1:21">
      <c r="A15" s="43"/>
      <c r="B15" s="43" t="s">
        <v>68</v>
      </c>
      <c r="C15" s="43" t="s">
        <v>69</v>
      </c>
      <c r="D15" s="43" t="s">
        <v>70</v>
      </c>
      <c r="E15" s="43" t="s">
        <v>71</v>
      </c>
      <c r="F15" s="43" t="s">
        <v>72</v>
      </c>
      <c r="G15" s="43" t="s">
        <v>73</v>
      </c>
      <c r="H15" s="43" t="s">
        <v>74</v>
      </c>
      <c r="I15" s="43" t="s">
        <v>75</v>
      </c>
      <c r="J15" s="43" t="s">
        <v>76</v>
      </c>
      <c r="K15" s="43" t="s">
        <v>77</v>
      </c>
      <c r="L15" s="43" t="s">
        <v>78</v>
      </c>
      <c r="M15" s="43" t="s">
        <v>79</v>
      </c>
      <c r="N15" s="66"/>
    </row>
    <row r="16" spans="1:21">
      <c r="A16" s="118" t="s">
        <v>367</v>
      </c>
      <c r="B16" s="56">
        <f t="shared" ref="B16:G16" si="4">B6</f>
        <v>11.5</v>
      </c>
      <c r="C16" s="56">
        <f t="shared" si="4"/>
        <v>4</v>
      </c>
      <c r="D16" s="56">
        <f t="shared" si="4"/>
        <v>10.4</v>
      </c>
      <c r="E16" s="56">
        <f t="shared" si="4"/>
        <v>20.3</v>
      </c>
      <c r="F16" s="56">
        <f t="shared" si="4"/>
        <v>138</v>
      </c>
      <c r="G16" s="56">
        <f t="shared" si="4"/>
        <v>28.6</v>
      </c>
      <c r="H16" s="56">
        <f t="shared" ref="H16:H21" si="5">AVERAGE(H6:I6)</f>
        <v>19.7</v>
      </c>
      <c r="I16" s="56">
        <f t="shared" ref="I16:I21" si="6">AVERAGE(J6:K6)</f>
        <v>58.400000000000006</v>
      </c>
      <c r="J16" s="56">
        <f t="shared" ref="J16:J21" si="7">AVERAGE(L6:M6)</f>
        <v>47.2</v>
      </c>
      <c r="K16" s="56">
        <f t="shared" ref="K16:M21" si="8">N6</f>
        <v>6.8</v>
      </c>
      <c r="L16" s="56">
        <f t="shared" si="8"/>
        <v>4</v>
      </c>
      <c r="M16" s="56">
        <f t="shared" si="8"/>
        <v>4</v>
      </c>
      <c r="N16" s="2"/>
    </row>
    <row r="17" spans="1:14">
      <c r="A17" s="118" t="s">
        <v>366</v>
      </c>
      <c r="B17" s="56">
        <f t="shared" ref="B17:G20" si="9">B7</f>
        <v>4</v>
      </c>
      <c r="C17" s="56">
        <f t="shared" si="9"/>
        <v>4</v>
      </c>
      <c r="D17" s="56">
        <f t="shared" si="9"/>
        <v>16.399999999999999</v>
      </c>
      <c r="E17" s="56">
        <f t="shared" si="9"/>
        <v>67.7</v>
      </c>
      <c r="F17" s="56">
        <f t="shared" si="9"/>
        <v>41.2</v>
      </c>
      <c r="G17" s="56">
        <f t="shared" si="9"/>
        <v>19.3</v>
      </c>
      <c r="H17" s="56">
        <f t="shared" si="5"/>
        <v>25.9</v>
      </c>
      <c r="I17" s="56">
        <f t="shared" si="6"/>
        <v>12.799999999999999</v>
      </c>
      <c r="J17" s="56">
        <f t="shared" si="7"/>
        <v>5.4</v>
      </c>
      <c r="K17" s="56">
        <f t="shared" si="8"/>
        <v>4</v>
      </c>
      <c r="L17" s="56">
        <f t="shared" si="8"/>
        <v>4</v>
      </c>
      <c r="M17" s="56">
        <f t="shared" si="8"/>
        <v>4</v>
      </c>
      <c r="N17" s="2"/>
    </row>
    <row r="18" spans="1:14">
      <c r="A18" s="119" t="s">
        <v>368</v>
      </c>
      <c r="B18" s="56">
        <f t="shared" si="9"/>
        <v>4</v>
      </c>
      <c r="C18" s="56">
        <f t="shared" si="9"/>
        <v>4</v>
      </c>
      <c r="D18" s="56">
        <f t="shared" si="9"/>
        <v>6.1</v>
      </c>
      <c r="E18" s="56">
        <f t="shared" si="9"/>
        <v>12.6</v>
      </c>
      <c r="F18" s="56">
        <f t="shared" si="9"/>
        <v>9.5</v>
      </c>
      <c r="G18" s="56">
        <f t="shared" si="9"/>
        <v>4</v>
      </c>
      <c r="H18" s="56">
        <f t="shared" si="5"/>
        <v>7.3999999999999995</v>
      </c>
      <c r="I18" s="56">
        <f t="shared" si="6"/>
        <v>10.199999999999999</v>
      </c>
      <c r="J18" s="56">
        <f t="shared" si="7"/>
        <v>9.6999999999999993</v>
      </c>
      <c r="K18" s="56">
        <f t="shared" si="8"/>
        <v>12.6</v>
      </c>
      <c r="L18" s="56">
        <f t="shared" si="8"/>
        <v>18</v>
      </c>
      <c r="M18" s="56">
        <f t="shared" si="8"/>
        <v>4</v>
      </c>
      <c r="N18" s="2"/>
    </row>
    <row r="19" spans="1:14">
      <c r="A19" s="119" t="s">
        <v>524</v>
      </c>
      <c r="B19" s="56">
        <f t="shared" si="9"/>
        <v>4</v>
      </c>
      <c r="C19" s="56">
        <f t="shared" si="9"/>
        <v>4</v>
      </c>
      <c r="D19" s="56">
        <f t="shared" si="9"/>
        <v>4.8</v>
      </c>
      <c r="E19" s="56">
        <f t="shared" si="9"/>
        <v>5.2</v>
      </c>
      <c r="F19" s="56">
        <f t="shared" si="9"/>
        <v>8.1</v>
      </c>
      <c r="G19" s="56">
        <f t="shared" si="9"/>
        <v>4</v>
      </c>
      <c r="H19" s="56">
        <f t="shared" si="5"/>
        <v>7.4</v>
      </c>
      <c r="I19" s="56">
        <f t="shared" si="6"/>
        <v>9.1999999999999993</v>
      </c>
      <c r="J19" s="56">
        <f t="shared" si="7"/>
        <v>12.600000000000001</v>
      </c>
      <c r="K19" s="56">
        <f t="shared" si="8"/>
        <v>16.600000000000001</v>
      </c>
      <c r="L19" s="56">
        <f t="shared" si="8"/>
        <v>11</v>
      </c>
      <c r="M19" s="56">
        <f t="shared" si="8"/>
        <v>4</v>
      </c>
      <c r="N19" s="2"/>
    </row>
    <row r="20" spans="1:14">
      <c r="A20" s="119" t="s">
        <v>525</v>
      </c>
      <c r="B20" s="56">
        <f t="shared" si="9"/>
        <v>4</v>
      </c>
      <c r="C20" s="56">
        <f t="shared" si="9"/>
        <v>4</v>
      </c>
      <c r="D20" s="56">
        <f t="shared" si="9"/>
        <v>4</v>
      </c>
      <c r="E20" s="56">
        <f t="shared" si="9"/>
        <v>5.7</v>
      </c>
      <c r="F20" s="56">
        <f t="shared" si="9"/>
        <v>11.8</v>
      </c>
      <c r="G20" s="56">
        <f t="shared" si="9"/>
        <v>4</v>
      </c>
      <c r="H20" s="56">
        <f t="shared" si="5"/>
        <v>7.1</v>
      </c>
      <c r="I20" s="56">
        <f t="shared" si="6"/>
        <v>32.9</v>
      </c>
      <c r="J20" s="56">
        <f t="shared" si="7"/>
        <v>54.349999999999994</v>
      </c>
      <c r="K20" s="56">
        <f t="shared" si="8"/>
        <v>20.2</v>
      </c>
      <c r="L20" s="56">
        <f t="shared" si="8"/>
        <v>11.2</v>
      </c>
      <c r="M20" s="56">
        <f t="shared" si="8"/>
        <v>2</v>
      </c>
      <c r="N20" s="2"/>
    </row>
    <row r="21" spans="1:14">
      <c r="A21" s="119" t="s">
        <v>526</v>
      </c>
      <c r="B21" s="459">
        <f t="shared" ref="B21:G21" si="10">AVERAGE(B19:B20)</f>
        <v>4</v>
      </c>
      <c r="C21" s="459">
        <f t="shared" si="10"/>
        <v>4</v>
      </c>
      <c r="D21" s="459">
        <f t="shared" si="10"/>
        <v>4.4000000000000004</v>
      </c>
      <c r="E21" s="459">
        <f t="shared" si="10"/>
        <v>5.45</v>
      </c>
      <c r="F21" s="459">
        <f t="shared" si="10"/>
        <v>9.9499999999999993</v>
      </c>
      <c r="G21" s="459">
        <f t="shared" si="10"/>
        <v>4</v>
      </c>
      <c r="H21" s="56">
        <f t="shared" si="5"/>
        <v>7.25</v>
      </c>
      <c r="I21" s="56">
        <f t="shared" si="6"/>
        <v>21.049999999999997</v>
      </c>
      <c r="J21" s="56">
        <f t="shared" si="7"/>
        <v>33.475000000000001</v>
      </c>
      <c r="K21" s="56">
        <f t="shared" si="8"/>
        <v>18.399999999999999</v>
      </c>
      <c r="L21" s="56">
        <f t="shared" si="8"/>
        <v>11.1</v>
      </c>
      <c r="M21" s="56">
        <f t="shared" si="8"/>
        <v>3</v>
      </c>
    </row>
    <row r="31" spans="1:14">
      <c r="G31" s="51"/>
    </row>
  </sheetData>
  <mergeCells count="2">
    <mergeCell ref="A1:P1"/>
    <mergeCell ref="A2:P2"/>
  </mergeCells>
  <phoneticPr fontId="0" type="noConversion"/>
  <pageMargins left="0.75" right="0.75" top="1" bottom="1" header="0.5" footer="0.5"/>
  <pageSetup scale="46" orientation="landscape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>
    <tabColor theme="5" tint="0.59999389629810485"/>
    <pageSetUpPr fitToPage="1"/>
  </sheetPr>
  <dimension ref="A1:AA28"/>
  <sheetViews>
    <sheetView topLeftCell="A19" zoomScale="75" zoomScaleNormal="75" workbookViewId="0">
      <selection activeCell="A25" sqref="A25"/>
    </sheetView>
  </sheetViews>
  <sheetFormatPr defaultRowHeight="14"/>
  <cols>
    <col min="1" max="1" width="21.36328125" style="1" customWidth="1"/>
    <col min="2" max="2" width="6.36328125" bestFit="1" customWidth="1"/>
    <col min="3" max="3" width="7.1796875" bestFit="1" customWidth="1"/>
    <col min="4" max="4" width="7.54296875" bestFit="1" customWidth="1"/>
    <col min="5" max="5" width="12.36328125" customWidth="1"/>
    <col min="6" max="6" width="12.54296875" customWidth="1"/>
    <col min="7" max="7" width="12.08984375" customWidth="1"/>
    <col min="8" max="8" width="12" customWidth="1"/>
    <col min="9" max="9" width="11" customWidth="1"/>
    <col min="10" max="10" width="11.453125" customWidth="1"/>
    <col min="11" max="11" width="12" customWidth="1"/>
    <col min="12" max="13" width="12.36328125" customWidth="1"/>
    <col min="14" max="16" width="12.08984375" customWidth="1"/>
    <col min="17" max="17" width="10.453125" customWidth="1"/>
    <col min="18" max="19" width="11.54296875" customWidth="1"/>
  </cols>
  <sheetData>
    <row r="1" spans="1:19" ht="15.5">
      <c r="A1" s="1428" t="s">
        <v>0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</row>
    <row r="3" spans="1:19">
      <c r="A3" s="120" t="s">
        <v>1</v>
      </c>
    </row>
    <row r="4" spans="1:19" s="7" customFormat="1" ht="26">
      <c r="A4" s="121" t="s">
        <v>2</v>
      </c>
      <c r="B4" s="652">
        <v>42009</v>
      </c>
      <c r="C4" s="652">
        <v>42052</v>
      </c>
      <c r="D4" s="652">
        <v>42086</v>
      </c>
      <c r="E4" s="652">
        <v>42114</v>
      </c>
      <c r="F4" s="652">
        <v>42142</v>
      </c>
      <c r="G4" s="652">
        <v>42170</v>
      </c>
      <c r="H4" s="366">
        <v>42191</v>
      </c>
      <c r="I4" s="366">
        <v>42205</v>
      </c>
      <c r="J4" s="366">
        <v>42227</v>
      </c>
      <c r="K4" s="652">
        <v>42241</v>
      </c>
      <c r="L4" s="652">
        <v>42261</v>
      </c>
      <c r="M4" s="366">
        <v>42275</v>
      </c>
      <c r="N4" s="366">
        <v>42296</v>
      </c>
      <c r="O4" s="366">
        <v>42324</v>
      </c>
      <c r="P4" s="366">
        <v>42345</v>
      </c>
      <c r="Q4" s="263" t="s">
        <v>16</v>
      </c>
      <c r="R4" s="124" t="s">
        <v>108</v>
      </c>
      <c r="S4" s="121" t="s">
        <v>82</v>
      </c>
    </row>
    <row r="5" spans="1:19">
      <c r="A5" s="517">
        <v>40</v>
      </c>
      <c r="B5" s="425">
        <v>17.850000000000001</v>
      </c>
      <c r="C5" s="842">
        <v>3.75</v>
      </c>
      <c r="D5" s="640">
        <v>9.4</v>
      </c>
      <c r="E5" s="640">
        <v>7.7</v>
      </c>
      <c r="F5" s="640">
        <v>3.9</v>
      </c>
      <c r="G5" s="640">
        <v>3.45</v>
      </c>
      <c r="H5" s="640">
        <v>5.2</v>
      </c>
      <c r="I5" s="640">
        <v>15.15</v>
      </c>
      <c r="J5" s="367">
        <v>22.9</v>
      </c>
      <c r="K5" s="367">
        <v>28.4</v>
      </c>
      <c r="L5" s="364">
        <v>7.9</v>
      </c>
      <c r="M5" s="452">
        <v>45.7</v>
      </c>
      <c r="N5" s="640">
        <v>13.3</v>
      </c>
      <c r="O5" s="367">
        <v>8.8000000000000007</v>
      </c>
      <c r="P5" s="367">
        <v>4.5999999999999996</v>
      </c>
      <c r="Q5" s="671">
        <f>AVERAGE(B5:P5)</f>
        <v>13.200000000000001</v>
      </c>
      <c r="R5" s="672">
        <f>AVERAGE(H5:M5)</f>
        <v>20.875000000000004</v>
      </c>
      <c r="S5" s="672">
        <f>MAX(B5:P5)</f>
        <v>45.7</v>
      </c>
    </row>
    <row r="6" spans="1:19" s="710" customFormat="1">
      <c r="A6" s="547"/>
      <c r="B6" s="680"/>
      <c r="C6" s="839"/>
      <c r="D6" s="839"/>
      <c r="E6" s="839"/>
      <c r="F6" s="839"/>
      <c r="G6" s="839"/>
      <c r="H6" s="839"/>
      <c r="I6" s="839"/>
      <c r="J6" s="840"/>
      <c r="K6" s="840"/>
      <c r="L6" s="841"/>
      <c r="M6" s="840"/>
      <c r="N6" s="839"/>
      <c r="O6" s="840"/>
      <c r="P6" s="840"/>
      <c r="Q6" s="1118"/>
      <c r="R6" s="1119"/>
      <c r="S6" s="1119"/>
    </row>
    <row r="7" spans="1:19" s="710" customFormat="1">
      <c r="A7" s="627"/>
      <c r="B7" s="839"/>
      <c r="C7" s="839"/>
      <c r="D7" s="839"/>
      <c r="E7" s="839"/>
      <c r="F7" s="839"/>
      <c r="G7" s="839"/>
      <c r="H7" s="839"/>
      <c r="I7" s="839"/>
      <c r="J7" s="840"/>
      <c r="K7" s="840"/>
      <c r="L7" s="841"/>
      <c r="M7" s="840"/>
      <c r="N7" s="839"/>
      <c r="O7" s="840"/>
      <c r="P7" s="840"/>
      <c r="Q7" s="1118"/>
      <c r="R7" s="1119"/>
      <c r="S7" s="1119"/>
    </row>
    <row r="9" spans="1:19">
      <c r="A9" s="120" t="s">
        <v>5</v>
      </c>
    </row>
    <row r="10" spans="1:19" s="7" customFormat="1" ht="26">
      <c r="A10" s="121" t="s">
        <v>2</v>
      </c>
      <c r="B10" s="652">
        <v>42009</v>
      </c>
      <c r="C10" s="652">
        <v>42052</v>
      </c>
      <c r="D10" s="652">
        <v>42086</v>
      </c>
      <c r="E10" s="652">
        <v>42114</v>
      </c>
      <c r="F10" s="652">
        <v>42142</v>
      </c>
      <c r="G10" s="652">
        <v>42170</v>
      </c>
      <c r="H10" s="366">
        <v>42191</v>
      </c>
      <c r="I10" s="366">
        <v>42205</v>
      </c>
      <c r="J10" s="366">
        <v>42227</v>
      </c>
      <c r="K10" s="652">
        <v>42241</v>
      </c>
      <c r="L10" s="652">
        <v>42261</v>
      </c>
      <c r="M10" s="366">
        <v>42275</v>
      </c>
      <c r="N10" s="366">
        <v>42296</v>
      </c>
      <c r="O10" s="366">
        <v>42324</v>
      </c>
      <c r="P10" s="366">
        <v>42345</v>
      </c>
      <c r="Q10" s="121" t="s">
        <v>16</v>
      </c>
      <c r="R10" s="123" t="s">
        <v>108</v>
      </c>
      <c r="S10" s="121" t="s">
        <v>82</v>
      </c>
    </row>
    <row r="11" spans="1:19" s="7" customFormat="1" ht="15.5">
      <c r="A11" s="351">
        <v>40</v>
      </c>
      <c r="B11" s="265">
        <v>1.43</v>
      </c>
      <c r="C11" s="653">
        <v>2.6</v>
      </c>
      <c r="D11" s="265">
        <v>1.5</v>
      </c>
      <c r="E11" s="265">
        <v>1.1000000000000001</v>
      </c>
      <c r="F11" s="265">
        <v>0.56999999999999995</v>
      </c>
      <c r="G11" s="265">
        <v>2</v>
      </c>
      <c r="H11" s="265">
        <v>1.72</v>
      </c>
      <c r="I11" s="265">
        <v>1.52</v>
      </c>
      <c r="J11" s="265">
        <v>1</v>
      </c>
      <c r="K11" s="265">
        <v>0.9</v>
      </c>
      <c r="L11" s="265">
        <v>0.76</v>
      </c>
      <c r="M11" s="265">
        <v>0.55000000000000004</v>
      </c>
      <c r="N11" s="265">
        <v>0.6</v>
      </c>
      <c r="O11" s="265">
        <v>0.75</v>
      </c>
      <c r="P11" s="265">
        <v>2</v>
      </c>
      <c r="Q11" s="668">
        <f>AVERAGE(B11:P11)</f>
        <v>1.2666666666666668</v>
      </c>
      <c r="R11" s="668">
        <f t="shared" ref="R11:R16" si="0">AVERAGE(H11:M11)</f>
        <v>1.075</v>
      </c>
      <c r="S11" s="669">
        <f>MAX(B11:P11)</f>
        <v>2.6</v>
      </c>
    </row>
    <row r="12" spans="1:19" s="7" customFormat="1" ht="15.5">
      <c r="A12" s="351">
        <v>41</v>
      </c>
      <c r="B12" s="265">
        <v>1.47</v>
      </c>
      <c r="C12" s="265"/>
      <c r="D12" s="265">
        <v>1.32</v>
      </c>
      <c r="E12" s="265">
        <v>1.1200000000000001</v>
      </c>
      <c r="F12" s="265">
        <v>0.47</v>
      </c>
      <c r="G12" s="265">
        <v>2</v>
      </c>
      <c r="H12" s="265">
        <v>1.45</v>
      </c>
      <c r="I12" s="265">
        <v>1.64</v>
      </c>
      <c r="J12" s="265">
        <v>1</v>
      </c>
      <c r="K12" s="265">
        <v>0.95</v>
      </c>
      <c r="L12" s="265">
        <v>0.8</v>
      </c>
      <c r="M12" s="265">
        <v>0.68</v>
      </c>
      <c r="N12" s="265">
        <v>0.6</v>
      </c>
      <c r="O12" s="265">
        <v>0.6</v>
      </c>
      <c r="P12" s="265">
        <v>2</v>
      </c>
      <c r="Q12" s="668">
        <f>AVERAGE(B12:P12)</f>
        <v>1.1500000000000001</v>
      </c>
      <c r="R12" s="668">
        <f t="shared" si="0"/>
        <v>1.0866666666666667</v>
      </c>
      <c r="S12" s="669">
        <f>MAX(B12:P12)</f>
        <v>2</v>
      </c>
    </row>
    <row r="13" spans="1:19" s="7" customFormat="1" ht="15.5">
      <c r="A13" s="351">
        <v>42</v>
      </c>
      <c r="B13" s="265">
        <v>1.42</v>
      </c>
      <c r="C13" s="265"/>
      <c r="D13" s="265">
        <v>1.35</v>
      </c>
      <c r="E13" s="265">
        <v>1.08</v>
      </c>
      <c r="F13" s="265">
        <v>0.62</v>
      </c>
      <c r="G13" s="265">
        <v>1.75</v>
      </c>
      <c r="H13" s="265">
        <v>1.35</v>
      </c>
      <c r="I13" s="265">
        <v>1.1499999999999999</v>
      </c>
      <c r="J13" s="265">
        <v>0.9</v>
      </c>
      <c r="K13" s="265">
        <v>0.95</v>
      </c>
      <c r="L13" s="265">
        <v>0.78</v>
      </c>
      <c r="M13" s="265">
        <v>0.82</v>
      </c>
      <c r="N13" s="265">
        <v>0.6</v>
      </c>
      <c r="O13" s="265">
        <v>0.75</v>
      </c>
      <c r="P13" s="265">
        <v>1.65</v>
      </c>
      <c r="Q13" s="668">
        <f>AVERAGE(B13:P13)</f>
        <v>1.0835714285714286</v>
      </c>
      <c r="R13" s="668">
        <f t="shared" si="0"/>
        <v>0.9916666666666667</v>
      </c>
      <c r="S13" s="669">
        <f>MAX(B13:P13)</f>
        <v>1.75</v>
      </c>
    </row>
    <row r="14" spans="1:19" s="7" customFormat="1" ht="15.5">
      <c r="A14" s="351">
        <v>43</v>
      </c>
      <c r="B14" s="265">
        <v>1.63</v>
      </c>
      <c r="C14" s="265"/>
      <c r="D14" s="265">
        <v>1.24</v>
      </c>
      <c r="E14" s="265">
        <v>1.38</v>
      </c>
      <c r="F14" s="265">
        <v>0.61</v>
      </c>
      <c r="G14" s="265">
        <v>2</v>
      </c>
      <c r="H14" s="265">
        <v>1.45</v>
      </c>
      <c r="I14" s="265">
        <v>1.42</v>
      </c>
      <c r="J14" s="265">
        <v>0.94</v>
      </c>
      <c r="K14" s="265">
        <v>0.88</v>
      </c>
      <c r="L14" s="265">
        <v>0.82</v>
      </c>
      <c r="M14" s="265">
        <v>0.75</v>
      </c>
      <c r="N14" s="265">
        <v>0.65</v>
      </c>
      <c r="O14" s="265">
        <v>0.8</v>
      </c>
      <c r="P14" s="265">
        <v>2</v>
      </c>
      <c r="Q14" s="668">
        <f>AVERAGE(B14:P14)</f>
        <v>1.1835714285714285</v>
      </c>
      <c r="R14" s="668">
        <f t="shared" si="0"/>
        <v>1.0433333333333334</v>
      </c>
      <c r="S14" s="669">
        <f>MAX(B14:P14)</f>
        <v>2</v>
      </c>
    </row>
    <row r="15" spans="1:19" s="3" customFormat="1" ht="15.5">
      <c r="A15" s="351">
        <v>44</v>
      </c>
      <c r="B15" s="264">
        <v>1.72</v>
      </c>
      <c r="C15" s="265"/>
      <c r="D15" s="264">
        <v>1.21</v>
      </c>
      <c r="E15" s="264">
        <v>1.34</v>
      </c>
      <c r="F15" s="264">
        <v>0.64</v>
      </c>
      <c r="G15" s="264">
        <v>2</v>
      </c>
      <c r="H15" s="264">
        <v>1.5</v>
      </c>
      <c r="I15" s="264">
        <v>1.27</v>
      </c>
      <c r="J15" s="264">
        <v>0.9</v>
      </c>
      <c r="K15" s="264">
        <v>0.75</v>
      </c>
      <c r="L15" s="264">
        <v>0.8</v>
      </c>
      <c r="M15" s="264">
        <v>0.68</v>
      </c>
      <c r="N15" s="264">
        <v>0.6</v>
      </c>
      <c r="O15" s="264">
        <v>0.85</v>
      </c>
      <c r="P15" s="264">
        <v>2</v>
      </c>
      <c r="Q15" s="668">
        <f>AVERAGE(B15:P15)</f>
        <v>1.1614285714285713</v>
      </c>
      <c r="R15" s="668">
        <f t="shared" si="0"/>
        <v>0.98333333333333328</v>
      </c>
      <c r="S15" s="669">
        <f>MAX(B15:P15)</f>
        <v>2</v>
      </c>
    </row>
    <row r="16" spans="1:19">
      <c r="A16" s="121" t="s">
        <v>360</v>
      </c>
      <c r="B16" s="266">
        <f>AVERAGE(B11:B15)</f>
        <v>1.534</v>
      </c>
      <c r="C16" s="266">
        <f>AVERAGE(C11:C15)</f>
        <v>2.6</v>
      </c>
      <c r="D16" s="266">
        <f t="shared" ref="D16:O16" si="1">AVERAGE(D11:D15)</f>
        <v>1.3240000000000001</v>
      </c>
      <c r="E16" s="266">
        <f t="shared" si="1"/>
        <v>1.204</v>
      </c>
      <c r="F16" s="266">
        <f t="shared" si="1"/>
        <v>0.58200000000000007</v>
      </c>
      <c r="G16" s="266">
        <f t="shared" si="1"/>
        <v>1.95</v>
      </c>
      <c r="H16" s="266">
        <f t="shared" si="1"/>
        <v>1.494</v>
      </c>
      <c r="I16" s="266">
        <f t="shared" si="1"/>
        <v>1.4</v>
      </c>
      <c r="J16" s="266">
        <f t="shared" si="1"/>
        <v>0.94800000000000006</v>
      </c>
      <c r="K16" s="266">
        <f t="shared" si="1"/>
        <v>0.8859999999999999</v>
      </c>
      <c r="L16" s="266">
        <f t="shared" si="1"/>
        <v>0.79200000000000004</v>
      </c>
      <c r="M16" s="266">
        <f t="shared" si="1"/>
        <v>0.69599999999999995</v>
      </c>
      <c r="N16" s="266">
        <f t="shared" si="1"/>
        <v>0.61</v>
      </c>
      <c r="O16" s="266">
        <f t="shared" si="1"/>
        <v>0.75000000000000011</v>
      </c>
      <c r="P16" s="266">
        <f>AVERAGE(P11:P15)</f>
        <v>1.9300000000000002</v>
      </c>
      <c r="Q16" s="670">
        <f>AVERAGE(B11:P15)</f>
        <v>1.1704225352112678</v>
      </c>
      <c r="R16" s="668">
        <f t="shared" si="0"/>
        <v>1.0359999999999998</v>
      </c>
      <c r="S16" s="668"/>
    </row>
    <row r="17" spans="1:27">
      <c r="A17" s="86" t="s">
        <v>120</v>
      </c>
      <c r="B17" s="44">
        <f>B16*3.28</f>
        <v>5.0315199999999995</v>
      </c>
      <c r="C17" s="44">
        <f t="shared" ref="C17:O17" si="2">C16*3.28</f>
        <v>8.5280000000000005</v>
      </c>
      <c r="D17" s="44">
        <f t="shared" si="2"/>
        <v>4.3427199999999999</v>
      </c>
      <c r="E17" s="44">
        <f t="shared" si="2"/>
        <v>3.9491199999999997</v>
      </c>
      <c r="F17" s="44">
        <f t="shared" si="2"/>
        <v>1.9089600000000002</v>
      </c>
      <c r="G17" s="44">
        <f t="shared" si="2"/>
        <v>6.3959999999999999</v>
      </c>
      <c r="H17" s="44">
        <f t="shared" si="2"/>
        <v>4.9003199999999998</v>
      </c>
      <c r="I17" s="44">
        <f t="shared" si="2"/>
        <v>4.5919999999999996</v>
      </c>
      <c r="J17" s="44">
        <f t="shared" si="2"/>
        <v>3.1094400000000002</v>
      </c>
      <c r="K17" s="44">
        <f t="shared" si="2"/>
        <v>2.9060799999999993</v>
      </c>
      <c r="L17" s="44">
        <f t="shared" si="2"/>
        <v>2.5977600000000001</v>
      </c>
      <c r="M17" s="44">
        <f t="shared" si="2"/>
        <v>2.2828799999999996</v>
      </c>
      <c r="N17" s="44">
        <f t="shared" si="2"/>
        <v>2.0007999999999999</v>
      </c>
      <c r="O17" s="44">
        <f t="shared" si="2"/>
        <v>2.4600000000000004</v>
      </c>
      <c r="P17" s="44">
        <f>P16*3.28</f>
        <v>6.3304</v>
      </c>
    </row>
    <row r="20" spans="1:27"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>
      <c r="A21" s="86"/>
      <c r="B21" s="122" t="s">
        <v>68</v>
      </c>
      <c r="C21" s="122" t="s">
        <v>69</v>
      </c>
      <c r="D21" s="122" t="s">
        <v>70</v>
      </c>
      <c r="E21" s="122" t="s">
        <v>71</v>
      </c>
      <c r="F21" s="122" t="s">
        <v>72</v>
      </c>
      <c r="G21" s="122" t="s">
        <v>73</v>
      </c>
      <c r="H21" s="122" t="s">
        <v>74</v>
      </c>
      <c r="I21" s="122" t="s">
        <v>75</v>
      </c>
      <c r="J21" s="122" t="s">
        <v>76</v>
      </c>
      <c r="K21" s="122" t="s">
        <v>77</v>
      </c>
      <c r="L21" s="122" t="s">
        <v>78</v>
      </c>
      <c r="M21" s="122" t="s">
        <v>79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86" t="s">
        <v>119</v>
      </c>
      <c r="B22" s="169">
        <f>B5</f>
        <v>17.850000000000001</v>
      </c>
      <c r="C22" s="169">
        <f t="shared" ref="C22:G22" si="3">C5</f>
        <v>3.75</v>
      </c>
      <c r="D22" s="169">
        <f t="shared" si="3"/>
        <v>9.4</v>
      </c>
      <c r="E22" s="169">
        <f t="shared" si="3"/>
        <v>7.7</v>
      </c>
      <c r="F22" s="169">
        <f t="shared" si="3"/>
        <v>3.9</v>
      </c>
      <c r="G22" s="169">
        <f t="shared" si="3"/>
        <v>3.45</v>
      </c>
      <c r="H22" s="169">
        <f>AVERAGE(H5:I5)</f>
        <v>10.175000000000001</v>
      </c>
      <c r="I22" s="169">
        <f>AVERAGE(J5:K5)</f>
        <v>25.65</v>
      </c>
      <c r="J22" s="169">
        <f>AVERAGE(L5:M5)</f>
        <v>26.8</v>
      </c>
      <c r="K22" s="169">
        <f>N5</f>
        <v>13.3</v>
      </c>
      <c r="L22" s="169">
        <f>O5</f>
        <v>8.8000000000000007</v>
      </c>
      <c r="M22" s="169">
        <f>P5</f>
        <v>4.5999999999999996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86" t="s">
        <v>121</v>
      </c>
      <c r="B23" s="44">
        <f t="shared" ref="B23:G23" si="4">B17</f>
        <v>5.0315199999999995</v>
      </c>
      <c r="C23" s="44">
        <f t="shared" si="4"/>
        <v>8.5280000000000005</v>
      </c>
      <c r="D23" s="44">
        <f t="shared" si="4"/>
        <v>4.3427199999999999</v>
      </c>
      <c r="E23" s="44">
        <f t="shared" si="4"/>
        <v>3.9491199999999997</v>
      </c>
      <c r="F23" s="44">
        <f t="shared" si="4"/>
        <v>1.9089600000000002</v>
      </c>
      <c r="G23" s="44">
        <f t="shared" si="4"/>
        <v>6.3959999999999999</v>
      </c>
      <c r="H23" s="44">
        <f>AVERAGE(H17:I17)</f>
        <v>4.7461599999999997</v>
      </c>
      <c r="I23" s="44">
        <f>AVERAGE(J17:K17)</f>
        <v>3.0077599999999998</v>
      </c>
      <c r="J23" s="44">
        <f>AVERAGE(L17:M17)</f>
        <v>2.4403199999999998</v>
      </c>
      <c r="K23" s="44">
        <f>N17</f>
        <v>2.0007999999999999</v>
      </c>
      <c r="L23" s="44">
        <f>O17</f>
        <v>2.4600000000000004</v>
      </c>
      <c r="M23" s="44">
        <f>P17</f>
        <v>6.3304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</sheetData>
  <mergeCells count="1">
    <mergeCell ref="A1:P1"/>
  </mergeCells>
  <phoneticPr fontId="0" type="noConversion"/>
  <pageMargins left="0.75" right="0.75" top="1" bottom="1" header="0.5" footer="0.5"/>
  <pageSetup scale="56" orientation="landscape" horizontalDpi="429496729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N481"/>
  <sheetViews>
    <sheetView topLeftCell="A127" workbookViewId="0">
      <selection activeCell="H148" sqref="H148:H155"/>
    </sheetView>
  </sheetViews>
  <sheetFormatPr defaultRowHeight="14"/>
  <cols>
    <col min="1" max="1" width="10.6328125" bestFit="1" customWidth="1"/>
    <col min="2" max="2" width="6.08984375" bestFit="1" customWidth="1"/>
    <col min="3" max="4" width="10.08984375" bestFit="1" customWidth="1"/>
    <col min="5" max="5" width="26.1796875" bestFit="1" customWidth="1"/>
    <col min="6" max="6" width="5.453125" bestFit="1" customWidth="1"/>
    <col min="7" max="7" width="16.453125" bestFit="1" customWidth="1"/>
    <col min="8" max="9" width="5.54296875" bestFit="1" customWidth="1"/>
    <col min="10" max="10" width="4.1796875" bestFit="1" customWidth="1"/>
    <col min="11" max="11" width="5" bestFit="1" customWidth="1"/>
    <col min="12" max="12" width="4" bestFit="1" customWidth="1"/>
    <col min="13" max="13" width="3.1796875" bestFit="1" customWidth="1"/>
    <col min="14" max="14" width="10.08984375" bestFit="1" customWidth="1"/>
  </cols>
  <sheetData>
    <row r="1" spans="1:14">
      <c r="A1" s="830" t="s">
        <v>1097</v>
      </c>
      <c r="B1" s="830" t="s">
        <v>1098</v>
      </c>
      <c r="C1" s="831" t="s">
        <v>1099</v>
      </c>
      <c r="D1" s="831" t="s">
        <v>1100</v>
      </c>
      <c r="E1" s="830" t="s">
        <v>1101</v>
      </c>
      <c r="F1" s="830" t="s">
        <v>1102</v>
      </c>
      <c r="G1" s="830" t="s">
        <v>1103</v>
      </c>
      <c r="H1" s="830" t="s">
        <v>1104</v>
      </c>
      <c r="I1" s="832" t="s">
        <v>1104</v>
      </c>
      <c r="J1" s="830" t="s">
        <v>1105</v>
      </c>
      <c r="K1" s="830" t="s">
        <v>1106</v>
      </c>
      <c r="L1" s="833" t="s">
        <v>1107</v>
      </c>
      <c r="M1" s="833" t="s">
        <v>652</v>
      </c>
      <c r="N1" s="831" t="s">
        <v>975</v>
      </c>
    </row>
    <row r="2" spans="1:14">
      <c r="A2" s="577" t="s">
        <v>1108</v>
      </c>
      <c r="B2" s="560" t="s">
        <v>1109</v>
      </c>
      <c r="C2" s="193">
        <v>42009</v>
      </c>
      <c r="D2" s="193">
        <v>42009</v>
      </c>
      <c r="E2" s="561" t="s">
        <v>195</v>
      </c>
      <c r="F2" s="562" t="s">
        <v>1110</v>
      </c>
      <c r="G2" s="563" t="s">
        <v>1111</v>
      </c>
      <c r="H2" s="562">
        <v>1056</v>
      </c>
      <c r="I2" s="560">
        <v>1056</v>
      </c>
      <c r="J2" s="562"/>
      <c r="K2" s="377" t="s">
        <v>1112</v>
      </c>
      <c r="L2" s="447">
        <v>6</v>
      </c>
      <c r="M2" s="447">
        <v>42</v>
      </c>
      <c r="N2" s="448">
        <v>42011</v>
      </c>
    </row>
    <row r="3" spans="1:14">
      <c r="A3" s="577" t="s">
        <v>1108</v>
      </c>
      <c r="B3" s="560" t="s">
        <v>1109</v>
      </c>
      <c r="C3" s="193">
        <v>42009</v>
      </c>
      <c r="D3" s="193">
        <v>42009</v>
      </c>
      <c r="E3" s="562" t="s">
        <v>177</v>
      </c>
      <c r="F3" s="562" t="s">
        <v>1110</v>
      </c>
      <c r="G3" s="562" t="s">
        <v>1113</v>
      </c>
      <c r="H3" s="562">
        <v>614</v>
      </c>
      <c r="I3" s="560">
        <v>614</v>
      </c>
      <c r="J3" s="562"/>
      <c r="K3" s="562" t="s">
        <v>1112</v>
      </c>
      <c r="L3" s="447">
        <v>2</v>
      </c>
      <c r="M3" s="447">
        <v>8</v>
      </c>
      <c r="N3" s="448">
        <v>42010</v>
      </c>
    </row>
    <row r="4" spans="1:14">
      <c r="A4" s="577" t="s">
        <v>1108</v>
      </c>
      <c r="B4" s="560" t="s">
        <v>1109</v>
      </c>
      <c r="C4" s="193">
        <v>42009</v>
      </c>
      <c r="D4" s="193">
        <v>42009</v>
      </c>
      <c r="E4" s="562" t="s">
        <v>223</v>
      </c>
      <c r="F4" s="562" t="s">
        <v>1110</v>
      </c>
      <c r="G4" s="562" t="s">
        <v>1114</v>
      </c>
      <c r="H4" s="562">
        <v>27</v>
      </c>
      <c r="I4" s="560">
        <v>27</v>
      </c>
      <c r="J4" s="562" t="s">
        <v>1115</v>
      </c>
      <c r="K4" s="377" t="s">
        <v>1112</v>
      </c>
      <c r="L4" s="449">
        <v>5</v>
      </c>
      <c r="M4" s="449">
        <v>35</v>
      </c>
      <c r="N4" s="448">
        <v>42013</v>
      </c>
    </row>
    <row r="5" spans="1:14">
      <c r="A5" s="577" t="s">
        <v>1108</v>
      </c>
      <c r="B5" s="560" t="s">
        <v>1109</v>
      </c>
      <c r="C5" s="193">
        <v>42009</v>
      </c>
      <c r="D5" s="193">
        <v>42009</v>
      </c>
      <c r="E5" s="562" t="s">
        <v>171</v>
      </c>
      <c r="F5" s="562" t="s">
        <v>1110</v>
      </c>
      <c r="G5" s="563" t="s">
        <v>1116</v>
      </c>
      <c r="H5" s="562">
        <v>13</v>
      </c>
      <c r="I5" s="560">
        <v>13</v>
      </c>
      <c r="J5" s="562"/>
      <c r="K5" s="562" t="s">
        <v>1112</v>
      </c>
      <c r="L5" s="447">
        <v>2</v>
      </c>
      <c r="M5" s="447">
        <v>8</v>
      </c>
      <c r="N5" s="448">
        <v>42011</v>
      </c>
    </row>
    <row r="6" spans="1:14">
      <c r="A6" s="562" t="s">
        <v>1108</v>
      </c>
      <c r="B6" s="560" t="s">
        <v>1109</v>
      </c>
      <c r="C6" s="193">
        <v>42009</v>
      </c>
      <c r="D6" s="193">
        <v>42009</v>
      </c>
      <c r="E6" s="564" t="s">
        <v>172</v>
      </c>
      <c r="F6" s="562" t="s">
        <v>1110</v>
      </c>
      <c r="G6" s="563" t="s">
        <v>1116</v>
      </c>
      <c r="H6" s="565">
        <v>5</v>
      </c>
      <c r="I6" s="564">
        <v>5</v>
      </c>
      <c r="J6" s="377" t="s">
        <v>1115</v>
      </c>
      <c r="K6" s="562" t="s">
        <v>1112</v>
      </c>
      <c r="L6" s="566">
        <v>2</v>
      </c>
      <c r="M6" s="566">
        <v>8</v>
      </c>
      <c r="N6" s="448">
        <v>42011</v>
      </c>
    </row>
    <row r="7" spans="1:14">
      <c r="A7" s="577" t="s">
        <v>1108</v>
      </c>
      <c r="B7" s="560" t="s">
        <v>1109</v>
      </c>
      <c r="C7" s="193">
        <v>42009</v>
      </c>
      <c r="D7" s="193">
        <v>42009</v>
      </c>
      <c r="E7" s="562" t="s">
        <v>176</v>
      </c>
      <c r="F7" s="562" t="s">
        <v>1110</v>
      </c>
      <c r="G7" s="562" t="s">
        <v>1117</v>
      </c>
      <c r="H7" s="354">
        <v>11.5</v>
      </c>
      <c r="I7" s="450">
        <v>11.5</v>
      </c>
      <c r="J7" s="562"/>
      <c r="K7" s="562" t="s">
        <v>1118</v>
      </c>
      <c r="L7" s="447">
        <v>4</v>
      </c>
      <c r="M7" s="447"/>
      <c r="N7" s="448">
        <v>42011</v>
      </c>
    </row>
    <row r="8" spans="1:14">
      <c r="A8" s="559" t="s">
        <v>1119</v>
      </c>
      <c r="B8" s="560" t="s">
        <v>1120</v>
      </c>
      <c r="C8" s="193">
        <v>42009</v>
      </c>
      <c r="D8" s="193">
        <v>42009</v>
      </c>
      <c r="E8" s="561" t="s">
        <v>195</v>
      </c>
      <c r="F8" s="562" t="s">
        <v>1110</v>
      </c>
      <c r="G8" s="563" t="s">
        <v>1111</v>
      </c>
      <c r="H8" s="562">
        <v>1316</v>
      </c>
      <c r="I8" s="560">
        <v>1316</v>
      </c>
      <c r="J8" s="562"/>
      <c r="K8" s="377" t="s">
        <v>1112</v>
      </c>
      <c r="L8" s="447">
        <v>6</v>
      </c>
      <c r="M8" s="447">
        <v>42</v>
      </c>
      <c r="N8" s="448">
        <v>42011</v>
      </c>
    </row>
    <row r="9" spans="1:14">
      <c r="A9" s="577" t="s">
        <v>1119</v>
      </c>
      <c r="B9" s="560" t="s">
        <v>1120</v>
      </c>
      <c r="C9" s="193">
        <v>42009</v>
      </c>
      <c r="D9" s="193">
        <v>42009</v>
      </c>
      <c r="E9" s="562" t="s">
        <v>177</v>
      </c>
      <c r="F9" s="562" t="s">
        <v>1110</v>
      </c>
      <c r="G9" s="562" t="s">
        <v>1113</v>
      </c>
      <c r="H9" s="562">
        <v>971</v>
      </c>
      <c r="I9" s="560">
        <v>971</v>
      </c>
      <c r="J9" s="562"/>
      <c r="K9" s="562" t="s">
        <v>1112</v>
      </c>
      <c r="L9" s="447">
        <v>2</v>
      </c>
      <c r="M9" s="447">
        <v>8</v>
      </c>
      <c r="N9" s="448">
        <v>42010</v>
      </c>
    </row>
    <row r="10" spans="1:14">
      <c r="A10" s="577" t="s">
        <v>1119</v>
      </c>
      <c r="B10" s="560" t="s">
        <v>1120</v>
      </c>
      <c r="C10" s="193">
        <v>42009</v>
      </c>
      <c r="D10" s="193">
        <v>42009</v>
      </c>
      <c r="E10" s="562" t="s">
        <v>223</v>
      </c>
      <c r="F10" s="562" t="s">
        <v>1110</v>
      </c>
      <c r="G10" s="562" t="s">
        <v>1114</v>
      </c>
      <c r="H10" s="562">
        <v>75</v>
      </c>
      <c r="I10" s="560">
        <v>75</v>
      </c>
      <c r="J10" s="562"/>
      <c r="K10" s="377" t="s">
        <v>1112</v>
      </c>
      <c r="L10" s="449">
        <v>5</v>
      </c>
      <c r="M10" s="449">
        <v>35</v>
      </c>
      <c r="N10" s="448">
        <v>42013</v>
      </c>
    </row>
    <row r="11" spans="1:14">
      <c r="A11" s="577" t="s">
        <v>1119</v>
      </c>
      <c r="B11" s="560" t="s">
        <v>1120</v>
      </c>
      <c r="C11" s="193">
        <v>42009</v>
      </c>
      <c r="D11" s="193">
        <v>42009</v>
      </c>
      <c r="E11" s="562" t="s">
        <v>171</v>
      </c>
      <c r="F11" s="562" t="s">
        <v>1110</v>
      </c>
      <c r="G11" s="563" t="s">
        <v>1116</v>
      </c>
      <c r="H11" s="562">
        <v>22</v>
      </c>
      <c r="I11" s="560">
        <v>22</v>
      </c>
      <c r="J11" s="562"/>
      <c r="K11" s="562" t="s">
        <v>1112</v>
      </c>
      <c r="L11" s="447">
        <v>2</v>
      </c>
      <c r="M11" s="447">
        <v>8</v>
      </c>
      <c r="N11" s="448">
        <v>42011</v>
      </c>
    </row>
    <row r="12" spans="1:14">
      <c r="A12" s="562" t="s">
        <v>1119</v>
      </c>
      <c r="B12" s="560" t="s">
        <v>1120</v>
      </c>
      <c r="C12" s="193">
        <v>42009</v>
      </c>
      <c r="D12" s="193">
        <v>42009</v>
      </c>
      <c r="E12" s="564" t="s">
        <v>172</v>
      </c>
      <c r="F12" s="562" t="s">
        <v>1110</v>
      </c>
      <c r="G12" s="563" t="s">
        <v>1116</v>
      </c>
      <c r="H12" s="565">
        <v>11</v>
      </c>
      <c r="I12" s="564">
        <v>11</v>
      </c>
      <c r="J12" s="377"/>
      <c r="K12" s="562" t="s">
        <v>1112</v>
      </c>
      <c r="L12" s="566">
        <v>2</v>
      </c>
      <c r="M12" s="566">
        <v>8</v>
      </c>
      <c r="N12" s="448">
        <v>42011</v>
      </c>
    </row>
    <row r="13" spans="1:14">
      <c r="A13" s="577" t="s">
        <v>1119</v>
      </c>
      <c r="B13" s="560" t="s">
        <v>1120</v>
      </c>
      <c r="C13" s="193">
        <v>42009</v>
      </c>
      <c r="D13" s="193">
        <v>42009</v>
      </c>
      <c r="E13" s="562" t="s">
        <v>176</v>
      </c>
      <c r="F13" s="562" t="s">
        <v>1110</v>
      </c>
      <c r="G13" s="562" t="s">
        <v>1117</v>
      </c>
      <c r="H13" s="354">
        <v>4</v>
      </c>
      <c r="I13" s="450"/>
      <c r="J13" s="562" t="s">
        <v>1121</v>
      </c>
      <c r="K13" s="562" t="s">
        <v>1118</v>
      </c>
      <c r="L13" s="447">
        <v>4</v>
      </c>
      <c r="M13" s="447"/>
      <c r="N13" s="448">
        <v>42011</v>
      </c>
    </row>
    <row r="14" spans="1:14">
      <c r="A14" s="562" t="s">
        <v>1122</v>
      </c>
      <c r="B14" s="560">
        <v>45</v>
      </c>
      <c r="C14" s="193">
        <v>42009</v>
      </c>
      <c r="D14" s="193">
        <v>42009</v>
      </c>
      <c r="E14" s="561" t="s">
        <v>195</v>
      </c>
      <c r="F14" s="562" t="s">
        <v>1110</v>
      </c>
      <c r="G14" s="563" t="s">
        <v>1111</v>
      </c>
      <c r="H14" s="562">
        <v>1050</v>
      </c>
      <c r="I14" s="560">
        <v>1050</v>
      </c>
      <c r="J14" s="562"/>
      <c r="K14" s="377" t="s">
        <v>1112</v>
      </c>
      <c r="L14" s="447">
        <v>6</v>
      </c>
      <c r="M14" s="447">
        <v>42</v>
      </c>
      <c r="N14" s="448">
        <v>42011</v>
      </c>
    </row>
    <row r="15" spans="1:14">
      <c r="A15" s="559" t="s">
        <v>1122</v>
      </c>
      <c r="B15" s="560">
        <v>45</v>
      </c>
      <c r="C15" s="193">
        <v>42009</v>
      </c>
      <c r="D15" s="193">
        <v>42009</v>
      </c>
      <c r="E15" s="562" t="s">
        <v>177</v>
      </c>
      <c r="F15" s="562" t="s">
        <v>1110</v>
      </c>
      <c r="G15" s="562" t="s">
        <v>1113</v>
      </c>
      <c r="H15" s="562">
        <v>623</v>
      </c>
      <c r="I15" s="560">
        <v>623</v>
      </c>
      <c r="J15" s="562"/>
      <c r="K15" s="562" t="s">
        <v>1112</v>
      </c>
      <c r="L15" s="447">
        <v>2</v>
      </c>
      <c r="M15" s="447">
        <v>8</v>
      </c>
      <c r="N15" s="448">
        <v>42010</v>
      </c>
    </row>
    <row r="16" spans="1:14">
      <c r="A16" s="559" t="s">
        <v>1122</v>
      </c>
      <c r="B16" s="560">
        <v>45</v>
      </c>
      <c r="C16" s="193">
        <v>42009</v>
      </c>
      <c r="D16" s="193">
        <v>42009</v>
      </c>
      <c r="E16" s="562" t="s">
        <v>223</v>
      </c>
      <c r="F16" s="562" t="s">
        <v>1110</v>
      </c>
      <c r="G16" s="562" t="s">
        <v>1114</v>
      </c>
      <c r="H16" s="562">
        <v>87</v>
      </c>
      <c r="I16" s="560">
        <v>87</v>
      </c>
      <c r="J16" s="562"/>
      <c r="K16" s="377" t="s">
        <v>1112</v>
      </c>
      <c r="L16" s="449">
        <v>5</v>
      </c>
      <c r="M16" s="449">
        <v>35</v>
      </c>
      <c r="N16" s="448">
        <v>42013</v>
      </c>
    </row>
    <row r="17" spans="1:14">
      <c r="A17" s="559" t="s">
        <v>1122</v>
      </c>
      <c r="B17" s="560">
        <v>45</v>
      </c>
      <c r="C17" s="193">
        <v>42009</v>
      </c>
      <c r="D17" s="193">
        <v>42009</v>
      </c>
      <c r="E17" s="562" t="s">
        <v>171</v>
      </c>
      <c r="F17" s="562" t="s">
        <v>1110</v>
      </c>
      <c r="G17" s="563" t="s">
        <v>1116</v>
      </c>
      <c r="H17" s="562">
        <v>13</v>
      </c>
      <c r="I17" s="560">
        <v>13</v>
      </c>
      <c r="J17" s="562"/>
      <c r="K17" s="562" t="s">
        <v>1112</v>
      </c>
      <c r="L17" s="447">
        <v>2</v>
      </c>
      <c r="M17" s="447">
        <v>8</v>
      </c>
      <c r="N17" s="448">
        <v>42011</v>
      </c>
    </row>
    <row r="18" spans="1:14">
      <c r="A18" s="562" t="s">
        <v>1122</v>
      </c>
      <c r="B18" s="560">
        <v>45</v>
      </c>
      <c r="C18" s="193">
        <v>42009</v>
      </c>
      <c r="D18" s="193">
        <v>42009</v>
      </c>
      <c r="E18" s="564" t="s">
        <v>172</v>
      </c>
      <c r="F18" s="562" t="s">
        <v>1110</v>
      </c>
      <c r="G18" s="563" t="s">
        <v>1116</v>
      </c>
      <c r="H18" s="565">
        <v>6</v>
      </c>
      <c r="I18" s="564">
        <v>6</v>
      </c>
      <c r="J18" s="377" t="s">
        <v>1115</v>
      </c>
      <c r="K18" s="562" t="s">
        <v>1112</v>
      </c>
      <c r="L18" s="566">
        <v>2</v>
      </c>
      <c r="M18" s="566">
        <v>8</v>
      </c>
      <c r="N18" s="448">
        <v>42011</v>
      </c>
    </row>
    <row r="19" spans="1:14">
      <c r="A19" s="559" t="s">
        <v>1122</v>
      </c>
      <c r="B19" s="560">
        <v>45</v>
      </c>
      <c r="C19" s="193">
        <v>42009</v>
      </c>
      <c r="D19" s="193">
        <v>42009</v>
      </c>
      <c r="E19" s="562" t="s">
        <v>176</v>
      </c>
      <c r="F19" s="562" t="s">
        <v>1110</v>
      </c>
      <c r="G19" s="562" t="s">
        <v>1117</v>
      </c>
      <c r="H19" s="354">
        <v>4</v>
      </c>
      <c r="I19" s="450">
        <v>4</v>
      </c>
      <c r="J19" s="562" t="s">
        <v>1121</v>
      </c>
      <c r="K19" s="562" t="s">
        <v>1118</v>
      </c>
      <c r="L19" s="447">
        <v>4</v>
      </c>
      <c r="M19" s="447"/>
      <c r="N19" s="448">
        <v>42011</v>
      </c>
    </row>
    <row r="20" spans="1:14">
      <c r="A20" s="559" t="s">
        <v>1123</v>
      </c>
      <c r="B20" s="829" t="s">
        <v>1124</v>
      </c>
      <c r="C20" s="193">
        <v>42009</v>
      </c>
      <c r="D20" s="193">
        <v>42009</v>
      </c>
      <c r="E20" s="561" t="s">
        <v>195</v>
      </c>
      <c r="F20" s="562" t="s">
        <v>1110</v>
      </c>
      <c r="G20" s="563" t="s">
        <v>1111</v>
      </c>
      <c r="H20" s="562">
        <v>1294</v>
      </c>
      <c r="I20" s="560">
        <v>1294</v>
      </c>
      <c r="J20" s="562"/>
      <c r="K20" s="377" t="s">
        <v>1112</v>
      </c>
      <c r="L20" s="447">
        <v>6</v>
      </c>
      <c r="M20" s="447">
        <v>42</v>
      </c>
      <c r="N20" s="448">
        <v>42011</v>
      </c>
    </row>
    <row r="21" spans="1:14">
      <c r="A21" s="562" t="s">
        <v>1123</v>
      </c>
      <c r="B21" s="829" t="s">
        <v>1124</v>
      </c>
      <c r="C21" s="193">
        <v>42009</v>
      </c>
      <c r="D21" s="193">
        <v>42009</v>
      </c>
      <c r="E21" s="562" t="s">
        <v>177</v>
      </c>
      <c r="F21" s="562" t="s">
        <v>1110</v>
      </c>
      <c r="G21" s="562" t="s">
        <v>1113</v>
      </c>
      <c r="H21" s="562">
        <v>848</v>
      </c>
      <c r="I21" s="560">
        <v>848</v>
      </c>
      <c r="J21" s="562"/>
      <c r="K21" s="562" t="s">
        <v>1112</v>
      </c>
      <c r="L21" s="447">
        <v>2</v>
      </c>
      <c r="M21" s="447">
        <v>8</v>
      </c>
      <c r="N21" s="448">
        <v>42010</v>
      </c>
    </row>
    <row r="22" spans="1:14">
      <c r="A22" s="577" t="s">
        <v>1123</v>
      </c>
      <c r="B22" s="829" t="s">
        <v>1124</v>
      </c>
      <c r="C22" s="193">
        <v>42009</v>
      </c>
      <c r="D22" s="193">
        <v>42009</v>
      </c>
      <c r="E22" s="562" t="s">
        <v>223</v>
      </c>
      <c r="F22" s="562" t="s">
        <v>1110</v>
      </c>
      <c r="G22" s="562" t="s">
        <v>1114</v>
      </c>
      <c r="H22" s="562">
        <v>65</v>
      </c>
      <c r="I22" s="560">
        <v>65</v>
      </c>
      <c r="J22" s="562"/>
      <c r="K22" s="377" t="s">
        <v>1112</v>
      </c>
      <c r="L22" s="449">
        <v>5</v>
      </c>
      <c r="M22" s="449">
        <v>35</v>
      </c>
      <c r="N22" s="448">
        <v>42013</v>
      </c>
    </row>
    <row r="23" spans="1:14">
      <c r="A23" s="562" t="s">
        <v>1123</v>
      </c>
      <c r="B23" s="829" t="s">
        <v>1124</v>
      </c>
      <c r="C23" s="193">
        <v>42009</v>
      </c>
      <c r="D23" s="193">
        <v>42009</v>
      </c>
      <c r="E23" s="562" t="s">
        <v>171</v>
      </c>
      <c r="F23" s="562" t="s">
        <v>1110</v>
      </c>
      <c r="G23" s="563" t="s">
        <v>1116</v>
      </c>
      <c r="H23" s="562">
        <v>21</v>
      </c>
      <c r="I23" s="560">
        <v>21</v>
      </c>
      <c r="J23" s="562"/>
      <c r="K23" s="562" t="s">
        <v>1112</v>
      </c>
      <c r="L23" s="447">
        <v>2</v>
      </c>
      <c r="M23" s="447">
        <v>8</v>
      </c>
      <c r="N23" s="448">
        <v>42011</v>
      </c>
    </row>
    <row r="24" spans="1:14">
      <c r="A24" s="562" t="s">
        <v>1123</v>
      </c>
      <c r="B24" s="829" t="s">
        <v>1124</v>
      </c>
      <c r="C24" s="193">
        <v>42009</v>
      </c>
      <c r="D24" s="193">
        <v>42009</v>
      </c>
      <c r="E24" s="564" t="s">
        <v>172</v>
      </c>
      <c r="F24" s="562" t="s">
        <v>1110</v>
      </c>
      <c r="G24" s="563" t="s">
        <v>1116</v>
      </c>
      <c r="H24" s="565">
        <v>9</v>
      </c>
      <c r="I24" s="564">
        <v>9</v>
      </c>
      <c r="J24" s="377"/>
      <c r="K24" s="562" t="s">
        <v>1112</v>
      </c>
      <c r="L24" s="566">
        <v>2</v>
      </c>
      <c r="M24" s="566">
        <v>8</v>
      </c>
      <c r="N24" s="448">
        <v>42011</v>
      </c>
    </row>
    <row r="25" spans="1:14">
      <c r="A25" s="562" t="s">
        <v>1123</v>
      </c>
      <c r="B25" s="829" t="s">
        <v>1124</v>
      </c>
      <c r="C25" s="193">
        <v>42009</v>
      </c>
      <c r="D25" s="193">
        <v>42009</v>
      </c>
      <c r="E25" s="562" t="s">
        <v>176</v>
      </c>
      <c r="F25" s="562" t="s">
        <v>1110</v>
      </c>
      <c r="G25" s="562" t="s">
        <v>1117</v>
      </c>
      <c r="H25" s="354">
        <v>4</v>
      </c>
      <c r="I25" s="450">
        <v>4</v>
      </c>
      <c r="J25" s="562" t="s">
        <v>1121</v>
      </c>
      <c r="K25" s="562" t="s">
        <v>1118</v>
      </c>
      <c r="L25" s="447">
        <v>4</v>
      </c>
      <c r="M25" s="447"/>
      <c r="N25" s="448">
        <v>42011</v>
      </c>
    </row>
    <row r="26" spans="1:14">
      <c r="A26" s="559" t="s">
        <v>1123</v>
      </c>
      <c r="B26" s="560" t="s">
        <v>1124</v>
      </c>
      <c r="C26" s="193">
        <v>42009</v>
      </c>
      <c r="D26" s="193">
        <v>42009</v>
      </c>
      <c r="E26" s="561" t="s">
        <v>173</v>
      </c>
      <c r="F26" s="559" t="s">
        <v>1110</v>
      </c>
      <c r="G26" s="567" t="s">
        <v>1125</v>
      </c>
      <c r="H26" s="254">
        <v>17.7</v>
      </c>
      <c r="I26" s="451">
        <v>17.7</v>
      </c>
      <c r="J26" s="568"/>
      <c r="K26" s="562" t="s">
        <v>1112</v>
      </c>
      <c r="L26" s="566">
        <v>0.1</v>
      </c>
      <c r="M26" s="566"/>
      <c r="N26" s="448">
        <v>42019</v>
      </c>
    </row>
    <row r="27" spans="1:14">
      <c r="A27" s="559" t="s">
        <v>1123</v>
      </c>
      <c r="B27" s="560" t="s">
        <v>1124</v>
      </c>
      <c r="C27" s="193">
        <v>42009</v>
      </c>
      <c r="D27" s="193">
        <v>42009</v>
      </c>
      <c r="E27" s="561" t="s">
        <v>173</v>
      </c>
      <c r="F27" s="559" t="s">
        <v>1110</v>
      </c>
      <c r="G27" s="567" t="s">
        <v>1125</v>
      </c>
      <c r="H27" s="254">
        <v>18</v>
      </c>
      <c r="I27" s="451">
        <v>18</v>
      </c>
      <c r="J27" s="568"/>
      <c r="K27" s="562" t="s">
        <v>1112</v>
      </c>
      <c r="L27" s="566">
        <v>0.1</v>
      </c>
      <c r="M27" s="566"/>
      <c r="N27" s="448">
        <v>42019</v>
      </c>
    </row>
    <row r="28" spans="1:14">
      <c r="A28" s="562" t="s">
        <v>1126</v>
      </c>
      <c r="B28" s="560" t="s">
        <v>1127</v>
      </c>
      <c r="C28" s="193">
        <v>42009</v>
      </c>
      <c r="D28" s="193">
        <v>42009</v>
      </c>
      <c r="E28" s="561" t="s">
        <v>195</v>
      </c>
      <c r="F28" s="562" t="s">
        <v>1110</v>
      </c>
      <c r="G28" s="563" t="s">
        <v>1111</v>
      </c>
      <c r="H28" s="562">
        <v>1192</v>
      </c>
      <c r="I28" s="560">
        <v>1192</v>
      </c>
      <c r="J28" s="562"/>
      <c r="K28" s="377" t="s">
        <v>1112</v>
      </c>
      <c r="L28" s="447">
        <v>6</v>
      </c>
      <c r="M28" s="447">
        <v>42</v>
      </c>
      <c r="N28" s="448">
        <v>42011</v>
      </c>
    </row>
    <row r="29" spans="1:14">
      <c r="A29" s="562" t="s">
        <v>1126</v>
      </c>
      <c r="B29" s="560" t="s">
        <v>1127</v>
      </c>
      <c r="C29" s="193">
        <v>42009</v>
      </c>
      <c r="D29" s="193">
        <v>42009</v>
      </c>
      <c r="E29" s="562" t="s">
        <v>177</v>
      </c>
      <c r="F29" s="562" t="s">
        <v>1110</v>
      </c>
      <c r="G29" s="562" t="s">
        <v>1113</v>
      </c>
      <c r="H29" s="562">
        <v>458</v>
      </c>
      <c r="I29" s="560">
        <v>458</v>
      </c>
      <c r="J29" s="562"/>
      <c r="K29" s="562" t="s">
        <v>1112</v>
      </c>
      <c r="L29" s="447">
        <v>2</v>
      </c>
      <c r="M29" s="447">
        <v>8</v>
      </c>
      <c r="N29" s="448">
        <v>42010</v>
      </c>
    </row>
    <row r="30" spans="1:14">
      <c r="A30" s="577" t="s">
        <v>1126</v>
      </c>
      <c r="B30" s="560" t="s">
        <v>1127</v>
      </c>
      <c r="C30" s="193">
        <v>42009</v>
      </c>
      <c r="D30" s="193">
        <v>42009</v>
      </c>
      <c r="E30" s="562" t="s">
        <v>223</v>
      </c>
      <c r="F30" s="562" t="s">
        <v>1110</v>
      </c>
      <c r="G30" s="562" t="s">
        <v>1114</v>
      </c>
      <c r="H30" s="562">
        <v>400</v>
      </c>
      <c r="I30" s="560">
        <v>400</v>
      </c>
      <c r="J30" s="562"/>
      <c r="K30" s="377" t="s">
        <v>1112</v>
      </c>
      <c r="L30" s="449">
        <v>5</v>
      </c>
      <c r="M30" s="449">
        <v>35</v>
      </c>
      <c r="N30" s="448">
        <v>42013</v>
      </c>
    </row>
    <row r="31" spans="1:14">
      <c r="A31" s="562" t="s">
        <v>1126</v>
      </c>
      <c r="B31" s="560" t="s">
        <v>1127</v>
      </c>
      <c r="C31" s="193">
        <v>42009</v>
      </c>
      <c r="D31" s="193">
        <v>42009</v>
      </c>
      <c r="E31" s="562" t="s">
        <v>171</v>
      </c>
      <c r="F31" s="562" t="s">
        <v>1110</v>
      </c>
      <c r="G31" s="563" t="s">
        <v>1116</v>
      </c>
      <c r="H31" s="562">
        <v>49</v>
      </c>
      <c r="I31" s="560">
        <v>49</v>
      </c>
      <c r="J31" s="562"/>
      <c r="K31" s="562" t="s">
        <v>1112</v>
      </c>
      <c r="L31" s="447">
        <v>2</v>
      </c>
      <c r="M31" s="447">
        <v>8</v>
      </c>
      <c r="N31" s="448">
        <v>42011</v>
      </c>
    </row>
    <row r="32" spans="1:14">
      <c r="A32" s="562" t="s">
        <v>1126</v>
      </c>
      <c r="B32" s="560" t="s">
        <v>1127</v>
      </c>
      <c r="C32" s="193">
        <v>42009</v>
      </c>
      <c r="D32" s="193">
        <v>42009</v>
      </c>
      <c r="E32" s="564" t="s">
        <v>172</v>
      </c>
      <c r="F32" s="562" t="s">
        <v>1110</v>
      </c>
      <c r="G32" s="563" t="s">
        <v>1116</v>
      </c>
      <c r="H32" s="565">
        <v>8</v>
      </c>
      <c r="I32" s="564">
        <v>8</v>
      </c>
      <c r="J32" s="377" t="s">
        <v>1115</v>
      </c>
      <c r="K32" s="562" t="s">
        <v>1112</v>
      </c>
      <c r="L32" s="566">
        <v>2</v>
      </c>
      <c r="M32" s="566">
        <v>8</v>
      </c>
      <c r="N32" s="448">
        <v>42011</v>
      </c>
    </row>
    <row r="33" spans="1:14">
      <c r="A33" s="562" t="s">
        <v>1126</v>
      </c>
      <c r="B33" s="560" t="s">
        <v>1127</v>
      </c>
      <c r="C33" s="193">
        <v>42009</v>
      </c>
      <c r="D33" s="193">
        <v>42009</v>
      </c>
      <c r="E33" s="562" t="s">
        <v>176</v>
      </c>
      <c r="F33" s="562" t="s">
        <v>1110</v>
      </c>
      <c r="G33" s="562" t="s">
        <v>1117</v>
      </c>
      <c r="H33" s="354">
        <v>4</v>
      </c>
      <c r="I33" s="450">
        <v>4</v>
      </c>
      <c r="J33" s="562" t="s">
        <v>1121</v>
      </c>
      <c r="K33" s="562" t="s">
        <v>1118</v>
      </c>
      <c r="L33" s="447">
        <v>4</v>
      </c>
      <c r="M33" s="447"/>
      <c r="N33" s="448">
        <v>42011</v>
      </c>
    </row>
    <row r="34" spans="1:14">
      <c r="A34" s="577" t="s">
        <v>1344</v>
      </c>
      <c r="B34" s="560" t="s">
        <v>1109</v>
      </c>
      <c r="C34" s="193">
        <v>42052</v>
      </c>
      <c r="D34" s="193">
        <v>42052</v>
      </c>
      <c r="E34" s="561" t="s">
        <v>195</v>
      </c>
      <c r="F34" s="562" t="s">
        <v>1110</v>
      </c>
      <c r="G34" s="563" t="s">
        <v>1111</v>
      </c>
      <c r="H34" s="562">
        <v>772</v>
      </c>
      <c r="I34" s="560">
        <v>772</v>
      </c>
      <c r="J34" s="562"/>
      <c r="K34" s="377" t="s">
        <v>1112</v>
      </c>
      <c r="L34" s="447">
        <v>6</v>
      </c>
      <c r="M34" s="447">
        <v>42</v>
      </c>
      <c r="N34" s="448">
        <v>42054</v>
      </c>
    </row>
    <row r="35" spans="1:14">
      <c r="A35" s="577" t="s">
        <v>1344</v>
      </c>
      <c r="B35" s="560" t="s">
        <v>1109</v>
      </c>
      <c r="C35" s="193">
        <v>42052</v>
      </c>
      <c r="D35" s="193">
        <v>42052</v>
      </c>
      <c r="E35" s="562" t="s">
        <v>177</v>
      </c>
      <c r="F35" s="562" t="s">
        <v>1110</v>
      </c>
      <c r="G35" s="562" t="s">
        <v>1113</v>
      </c>
      <c r="H35" s="562">
        <v>473</v>
      </c>
      <c r="I35" s="560">
        <v>473</v>
      </c>
      <c r="J35" s="562"/>
      <c r="K35" s="562" t="s">
        <v>1112</v>
      </c>
      <c r="L35" s="447">
        <v>2</v>
      </c>
      <c r="M35" s="447">
        <v>8</v>
      </c>
      <c r="N35" s="448">
        <v>42052</v>
      </c>
    </row>
    <row r="36" spans="1:14">
      <c r="A36" s="577" t="s">
        <v>1344</v>
      </c>
      <c r="B36" s="560" t="s">
        <v>1109</v>
      </c>
      <c r="C36" s="193">
        <v>42052</v>
      </c>
      <c r="D36" s="193">
        <v>42052</v>
      </c>
      <c r="E36" s="562" t="s">
        <v>223</v>
      </c>
      <c r="F36" s="562" t="s">
        <v>1110</v>
      </c>
      <c r="G36" s="562" t="s">
        <v>1114</v>
      </c>
      <c r="H36" s="562">
        <v>25</v>
      </c>
      <c r="I36" s="560">
        <v>25</v>
      </c>
      <c r="J36" s="562" t="s">
        <v>1115</v>
      </c>
      <c r="K36" s="377" t="s">
        <v>1112</v>
      </c>
      <c r="L36" s="449">
        <v>5</v>
      </c>
      <c r="M36" s="449">
        <v>35</v>
      </c>
      <c r="N36" s="448">
        <v>42054</v>
      </c>
    </row>
    <row r="37" spans="1:14">
      <c r="A37" s="577" t="s">
        <v>1344</v>
      </c>
      <c r="B37" s="560" t="s">
        <v>1109</v>
      </c>
      <c r="C37" s="193">
        <v>42052</v>
      </c>
      <c r="D37" s="193">
        <v>42052</v>
      </c>
      <c r="E37" s="562" t="s">
        <v>171</v>
      </c>
      <c r="F37" s="562" t="s">
        <v>1110</v>
      </c>
      <c r="G37" s="563" t="s">
        <v>1116</v>
      </c>
      <c r="H37" s="562">
        <v>8</v>
      </c>
      <c r="I37" s="560">
        <v>8</v>
      </c>
      <c r="J37" s="562" t="s">
        <v>1115</v>
      </c>
      <c r="K37" s="562" t="s">
        <v>1112</v>
      </c>
      <c r="L37" s="447">
        <v>2</v>
      </c>
      <c r="M37" s="447">
        <v>8</v>
      </c>
      <c r="N37" s="448">
        <v>42054</v>
      </c>
    </row>
    <row r="38" spans="1:14">
      <c r="A38" s="562" t="s">
        <v>1344</v>
      </c>
      <c r="B38" s="560" t="s">
        <v>1109</v>
      </c>
      <c r="C38" s="193">
        <v>42052</v>
      </c>
      <c r="D38" s="193">
        <v>42052</v>
      </c>
      <c r="E38" s="564" t="s">
        <v>172</v>
      </c>
      <c r="F38" s="562" t="s">
        <v>1110</v>
      </c>
      <c r="G38" s="563" t="s">
        <v>1116</v>
      </c>
      <c r="H38" s="565"/>
      <c r="I38" s="564">
        <v>2</v>
      </c>
      <c r="J38" s="377" t="s">
        <v>1121</v>
      </c>
      <c r="K38" s="562" t="s">
        <v>1112</v>
      </c>
      <c r="L38" s="566">
        <v>2</v>
      </c>
      <c r="M38" s="566">
        <v>8</v>
      </c>
      <c r="N38" s="448">
        <v>42054</v>
      </c>
    </row>
    <row r="39" spans="1:14">
      <c r="A39" s="577" t="s">
        <v>1344</v>
      </c>
      <c r="B39" s="560" t="s">
        <v>1109</v>
      </c>
      <c r="C39" s="193">
        <v>42052</v>
      </c>
      <c r="D39" s="193">
        <v>42052</v>
      </c>
      <c r="E39" s="562" t="s">
        <v>176</v>
      </c>
      <c r="F39" s="562" t="s">
        <v>1110</v>
      </c>
      <c r="G39" s="562" t="s">
        <v>1117</v>
      </c>
      <c r="H39" s="354"/>
      <c r="I39" s="450">
        <v>4</v>
      </c>
      <c r="J39" s="562" t="s">
        <v>1121</v>
      </c>
      <c r="K39" s="562" t="s">
        <v>1118</v>
      </c>
      <c r="L39" s="447">
        <v>4</v>
      </c>
      <c r="M39" s="447"/>
      <c r="N39" s="448">
        <v>42055</v>
      </c>
    </row>
    <row r="40" spans="1:14">
      <c r="A40" s="559" t="s">
        <v>1345</v>
      </c>
      <c r="B40" s="560" t="s">
        <v>1120</v>
      </c>
      <c r="C40" s="193">
        <v>42052</v>
      </c>
      <c r="D40" s="193">
        <v>42052</v>
      </c>
      <c r="E40" s="561" t="s">
        <v>195</v>
      </c>
      <c r="F40" s="562" t="s">
        <v>1110</v>
      </c>
      <c r="G40" s="563" t="s">
        <v>1111</v>
      </c>
      <c r="H40" s="562">
        <v>1089</v>
      </c>
      <c r="I40" s="560">
        <v>1089</v>
      </c>
      <c r="J40" s="562"/>
      <c r="K40" s="377" t="s">
        <v>1112</v>
      </c>
      <c r="L40" s="447">
        <v>6</v>
      </c>
      <c r="M40" s="447">
        <v>42</v>
      </c>
      <c r="N40" s="448">
        <v>42054</v>
      </c>
    </row>
    <row r="41" spans="1:14">
      <c r="A41" s="577" t="s">
        <v>1345</v>
      </c>
      <c r="B41" s="560" t="s">
        <v>1120</v>
      </c>
      <c r="C41" s="193">
        <v>42052</v>
      </c>
      <c r="D41" s="193">
        <v>42052</v>
      </c>
      <c r="E41" s="562" t="s">
        <v>177</v>
      </c>
      <c r="F41" s="562" t="s">
        <v>1110</v>
      </c>
      <c r="G41" s="562" t="s">
        <v>1113</v>
      </c>
      <c r="H41" s="562">
        <v>751</v>
      </c>
      <c r="I41" s="560">
        <v>751</v>
      </c>
      <c r="J41" s="562"/>
      <c r="K41" s="562" t="s">
        <v>1112</v>
      </c>
      <c r="L41" s="447">
        <v>2</v>
      </c>
      <c r="M41" s="447">
        <v>8</v>
      </c>
      <c r="N41" s="448">
        <v>42052</v>
      </c>
    </row>
    <row r="42" spans="1:14">
      <c r="A42" s="577" t="s">
        <v>1345</v>
      </c>
      <c r="B42" s="560" t="s">
        <v>1120</v>
      </c>
      <c r="C42" s="193">
        <v>42052</v>
      </c>
      <c r="D42" s="193">
        <v>42052</v>
      </c>
      <c r="E42" s="562" t="s">
        <v>223</v>
      </c>
      <c r="F42" s="562" t="s">
        <v>1110</v>
      </c>
      <c r="G42" s="562" t="s">
        <v>1114</v>
      </c>
      <c r="H42" s="562">
        <v>23</v>
      </c>
      <c r="I42" s="560">
        <v>23</v>
      </c>
      <c r="J42" s="562" t="s">
        <v>1115</v>
      </c>
      <c r="K42" s="377" t="s">
        <v>1112</v>
      </c>
      <c r="L42" s="449">
        <v>5</v>
      </c>
      <c r="M42" s="449">
        <v>35</v>
      </c>
      <c r="N42" s="448">
        <v>42054</v>
      </c>
    </row>
    <row r="43" spans="1:14">
      <c r="A43" s="577" t="s">
        <v>1345</v>
      </c>
      <c r="B43" s="560" t="s">
        <v>1120</v>
      </c>
      <c r="C43" s="193">
        <v>42052</v>
      </c>
      <c r="D43" s="193">
        <v>42052</v>
      </c>
      <c r="E43" s="562" t="s">
        <v>171</v>
      </c>
      <c r="F43" s="562" t="s">
        <v>1110</v>
      </c>
      <c r="G43" s="563" t="s">
        <v>1116</v>
      </c>
      <c r="H43" s="562">
        <v>30</v>
      </c>
      <c r="I43" s="560">
        <v>30</v>
      </c>
      <c r="J43" s="562"/>
      <c r="K43" s="562" t="s">
        <v>1112</v>
      </c>
      <c r="L43" s="447">
        <v>2</v>
      </c>
      <c r="M43" s="447">
        <v>8</v>
      </c>
      <c r="N43" s="448">
        <v>42054</v>
      </c>
    </row>
    <row r="44" spans="1:14">
      <c r="A44" s="562" t="s">
        <v>1345</v>
      </c>
      <c r="B44" s="560" t="s">
        <v>1120</v>
      </c>
      <c r="C44" s="193">
        <v>42052</v>
      </c>
      <c r="D44" s="193">
        <v>42052</v>
      </c>
      <c r="E44" s="564" t="s">
        <v>172</v>
      </c>
      <c r="F44" s="562" t="s">
        <v>1110</v>
      </c>
      <c r="G44" s="563" t="s">
        <v>1116</v>
      </c>
      <c r="H44" s="565">
        <v>12</v>
      </c>
      <c r="I44" s="564">
        <v>12</v>
      </c>
      <c r="J44" s="377"/>
      <c r="K44" s="562" t="s">
        <v>1112</v>
      </c>
      <c r="L44" s="566">
        <v>2</v>
      </c>
      <c r="M44" s="566">
        <v>8</v>
      </c>
      <c r="N44" s="448">
        <v>42054</v>
      </c>
    </row>
    <row r="45" spans="1:14">
      <c r="A45" s="577" t="s">
        <v>1345</v>
      </c>
      <c r="B45" s="560" t="s">
        <v>1120</v>
      </c>
      <c r="C45" s="193">
        <v>42052</v>
      </c>
      <c r="D45" s="193">
        <v>42052</v>
      </c>
      <c r="E45" s="562" t="s">
        <v>176</v>
      </c>
      <c r="F45" s="562" t="s">
        <v>1110</v>
      </c>
      <c r="G45" s="562" t="s">
        <v>1117</v>
      </c>
      <c r="H45" s="354"/>
      <c r="I45" s="450">
        <v>4</v>
      </c>
      <c r="J45" s="562" t="s">
        <v>1121</v>
      </c>
      <c r="K45" s="562" t="s">
        <v>1118</v>
      </c>
      <c r="L45" s="447">
        <v>4</v>
      </c>
      <c r="M45" s="447"/>
      <c r="N45" s="448">
        <v>42055</v>
      </c>
    </row>
    <row r="46" spans="1:14">
      <c r="A46" s="562" t="s">
        <v>1346</v>
      </c>
      <c r="B46" s="560">
        <v>45</v>
      </c>
      <c r="C46" s="193">
        <v>42052</v>
      </c>
      <c r="D46" s="193">
        <v>42052</v>
      </c>
      <c r="E46" s="561" t="s">
        <v>195</v>
      </c>
      <c r="F46" s="562" t="s">
        <v>1110</v>
      </c>
      <c r="G46" s="563" t="s">
        <v>1111</v>
      </c>
      <c r="H46" s="562">
        <v>915</v>
      </c>
      <c r="I46" s="560">
        <v>915</v>
      </c>
      <c r="J46" s="562"/>
      <c r="K46" s="377" t="s">
        <v>1112</v>
      </c>
      <c r="L46" s="447">
        <v>6</v>
      </c>
      <c r="M46" s="447">
        <v>42</v>
      </c>
      <c r="N46" s="448">
        <v>42054</v>
      </c>
    </row>
    <row r="47" spans="1:14">
      <c r="A47" s="559" t="s">
        <v>1346</v>
      </c>
      <c r="B47" s="560">
        <v>45</v>
      </c>
      <c r="C47" s="193">
        <v>42052</v>
      </c>
      <c r="D47" s="193">
        <v>42052</v>
      </c>
      <c r="E47" s="562" t="s">
        <v>177</v>
      </c>
      <c r="F47" s="562" t="s">
        <v>1110</v>
      </c>
      <c r="G47" s="562" t="s">
        <v>1113</v>
      </c>
      <c r="H47" s="562">
        <v>595</v>
      </c>
      <c r="I47" s="560">
        <v>595</v>
      </c>
      <c r="J47" s="562"/>
      <c r="K47" s="562" t="s">
        <v>1112</v>
      </c>
      <c r="L47" s="447">
        <v>2</v>
      </c>
      <c r="M47" s="447">
        <v>8</v>
      </c>
      <c r="N47" s="448">
        <v>42052</v>
      </c>
    </row>
    <row r="48" spans="1:14">
      <c r="A48" s="559" t="s">
        <v>1346</v>
      </c>
      <c r="B48" s="560">
        <v>45</v>
      </c>
      <c r="C48" s="193">
        <v>42052</v>
      </c>
      <c r="D48" s="193">
        <v>42052</v>
      </c>
      <c r="E48" s="562" t="s">
        <v>223</v>
      </c>
      <c r="F48" s="562" t="s">
        <v>1110</v>
      </c>
      <c r="G48" s="562" t="s">
        <v>1114</v>
      </c>
      <c r="H48" s="562">
        <v>25</v>
      </c>
      <c r="I48" s="560">
        <v>25</v>
      </c>
      <c r="J48" s="562" t="s">
        <v>1115</v>
      </c>
      <c r="K48" s="377" t="s">
        <v>1112</v>
      </c>
      <c r="L48" s="449">
        <v>5</v>
      </c>
      <c r="M48" s="449">
        <v>35</v>
      </c>
      <c r="N48" s="448">
        <v>42054</v>
      </c>
    </row>
    <row r="49" spans="1:14">
      <c r="A49" s="559" t="s">
        <v>1346</v>
      </c>
      <c r="B49" s="560">
        <v>45</v>
      </c>
      <c r="C49" s="193">
        <v>42052</v>
      </c>
      <c r="D49" s="193">
        <v>42052</v>
      </c>
      <c r="E49" s="562" t="s">
        <v>171</v>
      </c>
      <c r="F49" s="562" t="s">
        <v>1110</v>
      </c>
      <c r="G49" s="563" t="s">
        <v>1116</v>
      </c>
      <c r="H49" s="562">
        <v>17</v>
      </c>
      <c r="I49" s="560">
        <v>17</v>
      </c>
      <c r="J49" s="562"/>
      <c r="K49" s="562" t="s">
        <v>1112</v>
      </c>
      <c r="L49" s="447">
        <v>2</v>
      </c>
      <c r="M49" s="447">
        <v>8</v>
      </c>
      <c r="N49" s="448">
        <v>42054</v>
      </c>
    </row>
    <row r="50" spans="1:14">
      <c r="A50" s="562" t="s">
        <v>1346</v>
      </c>
      <c r="B50" s="560">
        <v>45</v>
      </c>
      <c r="C50" s="193">
        <v>42052</v>
      </c>
      <c r="D50" s="193">
        <v>42052</v>
      </c>
      <c r="E50" s="564" t="s">
        <v>172</v>
      </c>
      <c r="F50" s="562" t="s">
        <v>1110</v>
      </c>
      <c r="G50" s="563" t="s">
        <v>1116</v>
      </c>
      <c r="H50" s="565">
        <v>4</v>
      </c>
      <c r="I50" s="564">
        <v>4</v>
      </c>
      <c r="J50" s="377" t="s">
        <v>1115</v>
      </c>
      <c r="K50" s="562" t="s">
        <v>1112</v>
      </c>
      <c r="L50" s="566">
        <v>2</v>
      </c>
      <c r="M50" s="566">
        <v>8</v>
      </c>
      <c r="N50" s="448">
        <v>42054</v>
      </c>
    </row>
    <row r="51" spans="1:14">
      <c r="A51" s="559" t="s">
        <v>1346</v>
      </c>
      <c r="B51" s="560">
        <v>45</v>
      </c>
      <c r="C51" s="193">
        <v>42052</v>
      </c>
      <c r="D51" s="193">
        <v>42052</v>
      </c>
      <c r="E51" s="562" t="s">
        <v>176</v>
      </c>
      <c r="F51" s="562" t="s">
        <v>1110</v>
      </c>
      <c r="G51" s="562" t="s">
        <v>1117</v>
      </c>
      <c r="H51" s="354"/>
      <c r="I51" s="450">
        <v>4</v>
      </c>
      <c r="J51" s="562" t="s">
        <v>1121</v>
      </c>
      <c r="K51" s="562" t="s">
        <v>1118</v>
      </c>
      <c r="L51" s="447">
        <v>4</v>
      </c>
      <c r="M51" s="447"/>
      <c r="N51" s="448">
        <v>42055</v>
      </c>
    </row>
    <row r="52" spans="1:14">
      <c r="A52" s="559" t="s">
        <v>1347</v>
      </c>
      <c r="B52" s="829" t="s">
        <v>1124</v>
      </c>
      <c r="C52" s="193">
        <v>42052</v>
      </c>
      <c r="D52" s="193">
        <v>42052</v>
      </c>
      <c r="E52" s="561" t="s">
        <v>195</v>
      </c>
      <c r="F52" s="562" t="s">
        <v>1110</v>
      </c>
      <c r="G52" s="563" t="s">
        <v>1111</v>
      </c>
      <c r="H52" s="562">
        <v>1113</v>
      </c>
      <c r="I52" s="560">
        <v>1113</v>
      </c>
      <c r="J52" s="562"/>
      <c r="K52" s="377" t="s">
        <v>1112</v>
      </c>
      <c r="L52" s="447">
        <v>6</v>
      </c>
      <c r="M52" s="447">
        <v>42</v>
      </c>
      <c r="N52" s="448">
        <v>42054</v>
      </c>
    </row>
    <row r="53" spans="1:14">
      <c r="A53" s="562" t="s">
        <v>1347</v>
      </c>
      <c r="B53" s="829" t="s">
        <v>1124</v>
      </c>
      <c r="C53" s="193">
        <v>42052</v>
      </c>
      <c r="D53" s="193">
        <v>42052</v>
      </c>
      <c r="E53" s="562" t="s">
        <v>177</v>
      </c>
      <c r="F53" s="562" t="s">
        <v>1110</v>
      </c>
      <c r="G53" s="562" t="s">
        <v>1113</v>
      </c>
      <c r="H53" s="562">
        <v>606</v>
      </c>
      <c r="I53" s="560">
        <v>606</v>
      </c>
      <c r="J53" s="562"/>
      <c r="K53" s="562" t="s">
        <v>1112</v>
      </c>
      <c r="L53" s="447">
        <v>2</v>
      </c>
      <c r="M53" s="447">
        <v>8</v>
      </c>
      <c r="N53" s="448">
        <v>42052</v>
      </c>
    </row>
    <row r="54" spans="1:14">
      <c r="A54" s="577" t="s">
        <v>1347</v>
      </c>
      <c r="B54" s="829" t="s">
        <v>1124</v>
      </c>
      <c r="C54" s="193">
        <v>42052</v>
      </c>
      <c r="D54" s="193">
        <v>42052</v>
      </c>
      <c r="E54" s="562" t="s">
        <v>223</v>
      </c>
      <c r="F54" s="562" t="s">
        <v>1110</v>
      </c>
      <c r="G54" s="562" t="s">
        <v>1114</v>
      </c>
      <c r="H54" s="562">
        <v>20</v>
      </c>
      <c r="I54" s="560">
        <v>20</v>
      </c>
      <c r="J54" s="562" t="s">
        <v>1115</v>
      </c>
      <c r="K54" s="377" t="s">
        <v>1112</v>
      </c>
      <c r="L54" s="449">
        <v>5</v>
      </c>
      <c r="M54" s="449">
        <v>35</v>
      </c>
      <c r="N54" s="448">
        <v>42054</v>
      </c>
    </row>
    <row r="55" spans="1:14">
      <c r="A55" s="562" t="s">
        <v>1347</v>
      </c>
      <c r="B55" s="829" t="s">
        <v>1124</v>
      </c>
      <c r="C55" s="193">
        <v>42052</v>
      </c>
      <c r="D55" s="193">
        <v>42052</v>
      </c>
      <c r="E55" s="562" t="s">
        <v>171</v>
      </c>
      <c r="F55" s="562" t="s">
        <v>1110</v>
      </c>
      <c r="G55" s="563" t="s">
        <v>1116</v>
      </c>
      <c r="H55" s="562">
        <v>17</v>
      </c>
      <c r="I55" s="560">
        <v>17</v>
      </c>
      <c r="J55" s="562"/>
      <c r="K55" s="562" t="s">
        <v>1112</v>
      </c>
      <c r="L55" s="447">
        <v>2</v>
      </c>
      <c r="M55" s="447">
        <v>8</v>
      </c>
      <c r="N55" s="448">
        <v>42054</v>
      </c>
    </row>
    <row r="56" spans="1:14">
      <c r="A56" s="562" t="s">
        <v>1347</v>
      </c>
      <c r="B56" s="829" t="s">
        <v>1124</v>
      </c>
      <c r="C56" s="193">
        <v>42052</v>
      </c>
      <c r="D56" s="193">
        <v>42052</v>
      </c>
      <c r="E56" s="564" t="s">
        <v>172</v>
      </c>
      <c r="F56" s="562" t="s">
        <v>1110</v>
      </c>
      <c r="G56" s="563" t="s">
        <v>1116</v>
      </c>
      <c r="H56" s="565">
        <v>3</v>
      </c>
      <c r="I56" s="564">
        <v>3</v>
      </c>
      <c r="J56" s="377" t="s">
        <v>1115</v>
      </c>
      <c r="K56" s="562" t="s">
        <v>1112</v>
      </c>
      <c r="L56" s="566">
        <v>2</v>
      </c>
      <c r="M56" s="566">
        <v>8</v>
      </c>
      <c r="N56" s="448">
        <v>42054</v>
      </c>
    </row>
    <row r="57" spans="1:14">
      <c r="A57" s="562" t="s">
        <v>1347</v>
      </c>
      <c r="B57" s="829" t="s">
        <v>1124</v>
      </c>
      <c r="C57" s="193">
        <v>42052</v>
      </c>
      <c r="D57" s="193">
        <v>42052</v>
      </c>
      <c r="E57" s="562" t="s">
        <v>176</v>
      </c>
      <c r="F57" s="562" t="s">
        <v>1110</v>
      </c>
      <c r="G57" s="562" t="s">
        <v>1117</v>
      </c>
      <c r="H57" s="354"/>
      <c r="I57" s="450">
        <v>4</v>
      </c>
      <c r="J57" s="562" t="s">
        <v>1121</v>
      </c>
      <c r="K57" s="562" t="s">
        <v>1118</v>
      </c>
      <c r="L57" s="447">
        <v>4</v>
      </c>
      <c r="M57" s="447"/>
      <c r="N57" s="448">
        <v>42055</v>
      </c>
    </row>
    <row r="58" spans="1:14">
      <c r="A58" s="559" t="s">
        <v>1347</v>
      </c>
      <c r="B58" s="560" t="s">
        <v>1124</v>
      </c>
      <c r="C58" s="193">
        <v>42052</v>
      </c>
      <c r="D58" s="193">
        <v>42052</v>
      </c>
      <c r="E58" s="561" t="s">
        <v>173</v>
      </c>
      <c r="F58" s="559" t="s">
        <v>1110</v>
      </c>
      <c r="G58" s="567" t="s">
        <v>1125</v>
      </c>
      <c r="H58" s="254">
        <v>3.9</v>
      </c>
      <c r="I58" s="451">
        <v>3.9</v>
      </c>
      <c r="J58" s="568"/>
      <c r="K58" s="562" t="s">
        <v>1112</v>
      </c>
      <c r="L58" s="566">
        <v>0.1</v>
      </c>
      <c r="M58" s="566"/>
      <c r="N58" s="448">
        <v>42054</v>
      </c>
    </row>
    <row r="59" spans="1:14">
      <c r="A59" s="559" t="s">
        <v>1347</v>
      </c>
      <c r="B59" s="560" t="s">
        <v>1124</v>
      </c>
      <c r="C59" s="193">
        <v>42052</v>
      </c>
      <c r="D59" s="193">
        <v>42052</v>
      </c>
      <c r="E59" s="561" t="s">
        <v>173</v>
      </c>
      <c r="F59" s="559" t="s">
        <v>1110</v>
      </c>
      <c r="G59" s="567" t="s">
        <v>1125</v>
      </c>
      <c r="H59" s="254">
        <v>3.6</v>
      </c>
      <c r="I59" s="451">
        <v>3.6</v>
      </c>
      <c r="J59" s="568"/>
      <c r="K59" s="562" t="s">
        <v>1112</v>
      </c>
      <c r="L59" s="566">
        <v>0.1</v>
      </c>
      <c r="M59" s="566"/>
      <c r="N59" s="448">
        <v>42054</v>
      </c>
    </row>
    <row r="60" spans="1:14">
      <c r="A60" s="562" t="s">
        <v>1348</v>
      </c>
      <c r="B60" s="560" t="s">
        <v>1127</v>
      </c>
      <c r="C60" s="193">
        <v>42052</v>
      </c>
      <c r="D60" s="193">
        <v>42052</v>
      </c>
      <c r="E60" s="561" t="s">
        <v>195</v>
      </c>
      <c r="F60" s="562" t="s">
        <v>1110</v>
      </c>
      <c r="G60" s="563" t="s">
        <v>1111</v>
      </c>
      <c r="H60" s="562">
        <v>1283</v>
      </c>
      <c r="I60" s="560">
        <v>1283</v>
      </c>
      <c r="J60" s="562"/>
      <c r="K60" s="377" t="s">
        <v>1112</v>
      </c>
      <c r="L60" s="447">
        <v>6</v>
      </c>
      <c r="M60" s="447">
        <v>42</v>
      </c>
      <c r="N60" s="448">
        <v>42054</v>
      </c>
    </row>
    <row r="61" spans="1:14">
      <c r="A61" s="562" t="s">
        <v>1348</v>
      </c>
      <c r="B61" s="560" t="s">
        <v>1127</v>
      </c>
      <c r="C61" s="193">
        <v>42052</v>
      </c>
      <c r="D61" s="193">
        <v>42052</v>
      </c>
      <c r="E61" s="562" t="s">
        <v>177</v>
      </c>
      <c r="F61" s="562" t="s">
        <v>1110</v>
      </c>
      <c r="G61" s="562" t="s">
        <v>1113</v>
      </c>
      <c r="H61" s="562">
        <v>316</v>
      </c>
      <c r="I61" s="560">
        <v>316</v>
      </c>
      <c r="J61" s="562"/>
      <c r="K61" s="562" t="s">
        <v>1112</v>
      </c>
      <c r="L61" s="447">
        <v>2</v>
      </c>
      <c r="M61" s="447">
        <v>8</v>
      </c>
      <c r="N61" s="448">
        <v>42052</v>
      </c>
    </row>
    <row r="62" spans="1:14">
      <c r="A62" s="577" t="s">
        <v>1348</v>
      </c>
      <c r="B62" s="560" t="s">
        <v>1127</v>
      </c>
      <c r="C62" s="193">
        <v>42052</v>
      </c>
      <c r="D62" s="193">
        <v>42052</v>
      </c>
      <c r="E62" s="562" t="s">
        <v>223</v>
      </c>
      <c r="F62" s="562" t="s">
        <v>1110</v>
      </c>
      <c r="G62" s="562" t="s">
        <v>1114</v>
      </c>
      <c r="H62" s="562">
        <v>705</v>
      </c>
      <c r="I62" s="560">
        <v>705</v>
      </c>
      <c r="J62" s="562"/>
      <c r="K62" s="377" t="s">
        <v>1112</v>
      </c>
      <c r="L62" s="449">
        <v>5</v>
      </c>
      <c r="M62" s="449">
        <v>35</v>
      </c>
      <c r="N62" s="448">
        <v>42054</v>
      </c>
    </row>
    <row r="63" spans="1:14">
      <c r="A63" s="562" t="s">
        <v>1348</v>
      </c>
      <c r="B63" s="560" t="s">
        <v>1127</v>
      </c>
      <c r="C63" s="193">
        <v>42052</v>
      </c>
      <c r="D63" s="193">
        <v>42052</v>
      </c>
      <c r="E63" s="562" t="s">
        <v>171</v>
      </c>
      <c r="F63" s="562" t="s">
        <v>1110</v>
      </c>
      <c r="G63" s="563" t="s">
        <v>1116</v>
      </c>
      <c r="H63" s="562">
        <v>22</v>
      </c>
      <c r="I63" s="560">
        <v>22</v>
      </c>
      <c r="J63" s="562"/>
      <c r="K63" s="562" t="s">
        <v>1112</v>
      </c>
      <c r="L63" s="447">
        <v>2</v>
      </c>
      <c r="M63" s="447">
        <v>8</v>
      </c>
      <c r="N63" s="448">
        <v>42054</v>
      </c>
    </row>
    <row r="64" spans="1:14">
      <c r="A64" s="562" t="s">
        <v>1348</v>
      </c>
      <c r="B64" s="560" t="s">
        <v>1127</v>
      </c>
      <c r="C64" s="193">
        <v>42052</v>
      </c>
      <c r="D64" s="193">
        <v>42052</v>
      </c>
      <c r="E64" s="564" t="s">
        <v>172</v>
      </c>
      <c r="F64" s="562" t="s">
        <v>1110</v>
      </c>
      <c r="G64" s="563" t="s">
        <v>1116</v>
      </c>
      <c r="H64" s="565">
        <v>5</v>
      </c>
      <c r="I64" s="564">
        <v>5</v>
      </c>
      <c r="J64" s="377" t="s">
        <v>1115</v>
      </c>
      <c r="K64" s="562" t="s">
        <v>1112</v>
      </c>
      <c r="L64" s="566">
        <v>2</v>
      </c>
      <c r="M64" s="566">
        <v>8</v>
      </c>
      <c r="N64" s="448">
        <v>42054</v>
      </c>
    </row>
    <row r="65" spans="1:14">
      <c r="A65" s="562" t="s">
        <v>1348</v>
      </c>
      <c r="B65" s="560" t="s">
        <v>1127</v>
      </c>
      <c r="C65" s="193">
        <v>42052</v>
      </c>
      <c r="D65" s="193">
        <v>42052</v>
      </c>
      <c r="E65" s="562" t="s">
        <v>176</v>
      </c>
      <c r="F65" s="562" t="s">
        <v>1110</v>
      </c>
      <c r="G65" s="562" t="s">
        <v>1117</v>
      </c>
      <c r="H65" s="354"/>
      <c r="I65" s="450">
        <v>4</v>
      </c>
      <c r="J65" s="562" t="s">
        <v>1121</v>
      </c>
      <c r="K65" s="562" t="s">
        <v>1118</v>
      </c>
      <c r="L65" s="447">
        <v>4</v>
      </c>
      <c r="M65" s="447"/>
      <c r="N65" s="448">
        <v>42055</v>
      </c>
    </row>
    <row r="66" spans="1:14">
      <c r="A66" s="577" t="s">
        <v>1357</v>
      </c>
      <c r="B66" s="560" t="s">
        <v>1109</v>
      </c>
      <c r="C66" s="193">
        <v>42086</v>
      </c>
      <c r="D66" s="193">
        <v>42086</v>
      </c>
      <c r="E66" s="561" t="s">
        <v>195</v>
      </c>
      <c r="F66" s="562" t="s">
        <v>1110</v>
      </c>
      <c r="G66" s="563" t="s">
        <v>1111</v>
      </c>
      <c r="H66" s="562">
        <v>1372</v>
      </c>
      <c r="I66" s="560">
        <v>1372</v>
      </c>
      <c r="J66" s="562"/>
      <c r="K66" s="377" t="s">
        <v>1112</v>
      </c>
      <c r="L66" s="447">
        <v>6</v>
      </c>
      <c r="M66" s="447">
        <v>42</v>
      </c>
      <c r="N66" s="448">
        <v>42096</v>
      </c>
    </row>
    <row r="67" spans="1:14">
      <c r="A67" s="577" t="s">
        <v>1357</v>
      </c>
      <c r="B67" s="560" t="s">
        <v>1109</v>
      </c>
      <c r="C67" s="193">
        <v>42086</v>
      </c>
      <c r="D67" s="193">
        <v>42086</v>
      </c>
      <c r="E67" s="562" t="s">
        <v>177</v>
      </c>
      <c r="F67" s="562" t="s">
        <v>1110</v>
      </c>
      <c r="G67" s="562" t="s">
        <v>1113</v>
      </c>
      <c r="H67" s="562">
        <v>644</v>
      </c>
      <c r="I67" s="560">
        <v>644</v>
      </c>
      <c r="J67" s="562"/>
      <c r="K67" s="562" t="s">
        <v>1112</v>
      </c>
      <c r="L67" s="447">
        <v>2</v>
      </c>
      <c r="M67" s="447">
        <v>8</v>
      </c>
      <c r="N67" s="448">
        <v>42088</v>
      </c>
    </row>
    <row r="68" spans="1:14">
      <c r="A68" s="577" t="s">
        <v>1357</v>
      </c>
      <c r="B68" s="560" t="s">
        <v>1109</v>
      </c>
      <c r="C68" s="193">
        <v>42086</v>
      </c>
      <c r="D68" s="193">
        <v>42086</v>
      </c>
      <c r="E68" s="562" t="s">
        <v>223</v>
      </c>
      <c r="F68" s="562" t="s">
        <v>1110</v>
      </c>
      <c r="G68" s="562" t="s">
        <v>1114</v>
      </c>
      <c r="H68" s="562">
        <v>22</v>
      </c>
      <c r="I68" s="560">
        <v>22</v>
      </c>
      <c r="J68" s="562" t="s">
        <v>1115</v>
      </c>
      <c r="K68" s="377" t="s">
        <v>1112</v>
      </c>
      <c r="L68" s="449">
        <v>5</v>
      </c>
      <c r="M68" s="449">
        <v>35</v>
      </c>
      <c r="N68" s="448">
        <v>42097</v>
      </c>
    </row>
    <row r="69" spans="1:14">
      <c r="A69" s="577" t="s">
        <v>1357</v>
      </c>
      <c r="B69" s="560" t="s">
        <v>1109</v>
      </c>
      <c r="C69" s="193">
        <v>42086</v>
      </c>
      <c r="D69" s="193">
        <v>42086</v>
      </c>
      <c r="E69" s="562" t="s">
        <v>171</v>
      </c>
      <c r="F69" s="562" t="s">
        <v>1110</v>
      </c>
      <c r="G69" s="563" t="s">
        <v>1116</v>
      </c>
      <c r="H69" s="562">
        <v>32</v>
      </c>
      <c r="I69" s="560">
        <v>32</v>
      </c>
      <c r="J69" s="562"/>
      <c r="K69" s="562" t="s">
        <v>1112</v>
      </c>
      <c r="L69" s="447">
        <v>2</v>
      </c>
      <c r="M69" s="447">
        <v>8</v>
      </c>
      <c r="N69" s="448">
        <v>42096</v>
      </c>
    </row>
    <row r="70" spans="1:14">
      <c r="A70" s="562" t="s">
        <v>1357</v>
      </c>
      <c r="B70" s="560" t="s">
        <v>1109</v>
      </c>
      <c r="C70" s="193">
        <v>42086</v>
      </c>
      <c r="D70" s="193">
        <v>42086</v>
      </c>
      <c r="E70" s="564" t="s">
        <v>172</v>
      </c>
      <c r="F70" s="562" t="s">
        <v>1110</v>
      </c>
      <c r="G70" s="563" t="s">
        <v>1116</v>
      </c>
      <c r="H70" s="565">
        <v>5</v>
      </c>
      <c r="I70" s="564">
        <v>5</v>
      </c>
      <c r="J70" s="377" t="s">
        <v>1115</v>
      </c>
      <c r="K70" s="562" t="s">
        <v>1112</v>
      </c>
      <c r="L70" s="566">
        <v>2</v>
      </c>
      <c r="M70" s="566">
        <v>8</v>
      </c>
      <c r="N70" s="448">
        <v>42096</v>
      </c>
    </row>
    <row r="71" spans="1:14">
      <c r="A71" s="577" t="s">
        <v>1357</v>
      </c>
      <c r="B71" s="560" t="s">
        <v>1109</v>
      </c>
      <c r="C71" s="193">
        <v>42086</v>
      </c>
      <c r="D71" s="193">
        <v>42086</v>
      </c>
      <c r="E71" s="562" t="s">
        <v>176</v>
      </c>
      <c r="F71" s="562" t="s">
        <v>1110</v>
      </c>
      <c r="G71" s="562" t="s">
        <v>1117</v>
      </c>
      <c r="H71" s="354">
        <v>10.4</v>
      </c>
      <c r="I71" s="450">
        <v>10.4</v>
      </c>
      <c r="J71" s="562"/>
      <c r="K71" s="562" t="s">
        <v>1118</v>
      </c>
      <c r="L71" s="447">
        <v>4</v>
      </c>
      <c r="M71" s="447"/>
      <c r="N71" s="448">
        <v>42094</v>
      </c>
    </row>
    <row r="72" spans="1:14">
      <c r="A72" s="559" t="s">
        <v>1358</v>
      </c>
      <c r="B72" s="560" t="s">
        <v>1120</v>
      </c>
      <c r="C72" s="193">
        <v>42086</v>
      </c>
      <c r="D72" s="193">
        <v>42086</v>
      </c>
      <c r="E72" s="561" t="s">
        <v>195</v>
      </c>
      <c r="F72" s="562" t="s">
        <v>1110</v>
      </c>
      <c r="G72" s="563" t="s">
        <v>1111</v>
      </c>
      <c r="H72" s="562">
        <v>939</v>
      </c>
      <c r="I72" s="560">
        <v>939</v>
      </c>
      <c r="J72" s="562"/>
      <c r="K72" s="377" t="s">
        <v>1112</v>
      </c>
      <c r="L72" s="447">
        <v>6</v>
      </c>
      <c r="M72" s="447">
        <v>42</v>
      </c>
      <c r="N72" s="448">
        <v>42096</v>
      </c>
    </row>
    <row r="73" spans="1:14">
      <c r="A73" s="577" t="s">
        <v>1358</v>
      </c>
      <c r="B73" s="560" t="s">
        <v>1120</v>
      </c>
      <c r="C73" s="193">
        <v>42086</v>
      </c>
      <c r="D73" s="193">
        <v>42086</v>
      </c>
      <c r="E73" s="562" t="s">
        <v>177</v>
      </c>
      <c r="F73" s="562" t="s">
        <v>1110</v>
      </c>
      <c r="G73" s="562" t="s">
        <v>1113</v>
      </c>
      <c r="H73" s="562">
        <v>640</v>
      </c>
      <c r="I73" s="560">
        <v>640</v>
      </c>
      <c r="J73" s="562"/>
      <c r="K73" s="562" t="s">
        <v>1112</v>
      </c>
      <c r="L73" s="447">
        <v>2</v>
      </c>
      <c r="M73" s="447">
        <v>8</v>
      </c>
      <c r="N73" s="448">
        <v>42088</v>
      </c>
    </row>
    <row r="74" spans="1:14">
      <c r="A74" s="577" t="s">
        <v>1358</v>
      </c>
      <c r="B74" s="560" t="s">
        <v>1120</v>
      </c>
      <c r="C74" s="193">
        <v>42086</v>
      </c>
      <c r="D74" s="193">
        <v>42086</v>
      </c>
      <c r="E74" s="562" t="s">
        <v>223</v>
      </c>
      <c r="F74" s="562" t="s">
        <v>1110</v>
      </c>
      <c r="G74" s="562" t="s">
        <v>1114</v>
      </c>
      <c r="H74" s="562">
        <v>58</v>
      </c>
      <c r="I74" s="560">
        <v>58</v>
      </c>
      <c r="J74" s="562"/>
      <c r="K74" s="377" t="s">
        <v>1112</v>
      </c>
      <c r="L74" s="449">
        <v>5</v>
      </c>
      <c r="M74" s="449">
        <v>35</v>
      </c>
      <c r="N74" s="448">
        <v>42097</v>
      </c>
    </row>
    <row r="75" spans="1:14">
      <c r="A75" s="577" t="s">
        <v>1358</v>
      </c>
      <c r="B75" s="560" t="s">
        <v>1120</v>
      </c>
      <c r="C75" s="193">
        <v>42086</v>
      </c>
      <c r="D75" s="193">
        <v>42086</v>
      </c>
      <c r="E75" s="562" t="s">
        <v>171</v>
      </c>
      <c r="F75" s="562" t="s">
        <v>1110</v>
      </c>
      <c r="G75" s="563" t="s">
        <v>1116</v>
      </c>
      <c r="H75" s="562">
        <v>47</v>
      </c>
      <c r="I75" s="560">
        <v>47</v>
      </c>
      <c r="J75" s="562"/>
      <c r="K75" s="562" t="s">
        <v>1112</v>
      </c>
      <c r="L75" s="447">
        <v>2</v>
      </c>
      <c r="M75" s="447">
        <v>8</v>
      </c>
      <c r="N75" s="448">
        <v>42096</v>
      </c>
    </row>
    <row r="76" spans="1:14">
      <c r="A76" s="562" t="s">
        <v>1358</v>
      </c>
      <c r="B76" s="560" t="s">
        <v>1120</v>
      </c>
      <c r="C76" s="193">
        <v>42086</v>
      </c>
      <c r="D76" s="193">
        <v>42086</v>
      </c>
      <c r="E76" s="564" t="s">
        <v>172</v>
      </c>
      <c r="F76" s="562" t="s">
        <v>1110</v>
      </c>
      <c r="G76" s="563" t="s">
        <v>1116</v>
      </c>
      <c r="H76" s="565">
        <v>9</v>
      </c>
      <c r="I76" s="564">
        <v>9</v>
      </c>
      <c r="J76" s="377"/>
      <c r="K76" s="562" t="s">
        <v>1112</v>
      </c>
      <c r="L76" s="566">
        <v>2</v>
      </c>
      <c r="M76" s="566">
        <v>8</v>
      </c>
      <c r="N76" s="448">
        <v>42096</v>
      </c>
    </row>
    <row r="77" spans="1:14">
      <c r="A77" s="577" t="s">
        <v>1358</v>
      </c>
      <c r="B77" s="560" t="s">
        <v>1120</v>
      </c>
      <c r="C77" s="193">
        <v>42086</v>
      </c>
      <c r="D77" s="193">
        <v>42086</v>
      </c>
      <c r="E77" s="562" t="s">
        <v>176</v>
      </c>
      <c r="F77" s="562" t="s">
        <v>1110</v>
      </c>
      <c r="G77" s="562" t="s">
        <v>1117</v>
      </c>
      <c r="H77" s="354">
        <v>16.399999999999999</v>
      </c>
      <c r="I77" s="450">
        <v>16.399999999999999</v>
      </c>
      <c r="J77" s="562"/>
      <c r="K77" s="562" t="s">
        <v>1118</v>
      </c>
      <c r="L77" s="447">
        <v>4</v>
      </c>
      <c r="M77" s="447"/>
      <c r="N77" s="448">
        <v>42094</v>
      </c>
    </row>
    <row r="78" spans="1:14">
      <c r="A78" s="562" t="s">
        <v>1359</v>
      </c>
      <c r="B78" s="560">
        <v>45</v>
      </c>
      <c r="C78" s="193">
        <v>42086</v>
      </c>
      <c r="D78" s="193">
        <v>42086</v>
      </c>
      <c r="E78" s="561" t="s">
        <v>195</v>
      </c>
      <c r="F78" s="562" t="s">
        <v>1110</v>
      </c>
      <c r="G78" s="563" t="s">
        <v>1111</v>
      </c>
      <c r="H78" s="562">
        <v>1077</v>
      </c>
      <c r="I78" s="560">
        <v>1077</v>
      </c>
      <c r="J78" s="562"/>
      <c r="K78" s="377" t="s">
        <v>1112</v>
      </c>
      <c r="L78" s="447">
        <v>6</v>
      </c>
      <c r="M78" s="447">
        <v>42</v>
      </c>
      <c r="N78" s="448">
        <v>42096</v>
      </c>
    </row>
    <row r="79" spans="1:14">
      <c r="A79" s="559" t="s">
        <v>1359</v>
      </c>
      <c r="B79" s="560">
        <v>45</v>
      </c>
      <c r="C79" s="193">
        <v>42086</v>
      </c>
      <c r="D79" s="193">
        <v>42086</v>
      </c>
      <c r="E79" s="562" t="s">
        <v>177</v>
      </c>
      <c r="F79" s="562" t="s">
        <v>1110</v>
      </c>
      <c r="G79" s="562" t="s">
        <v>1113</v>
      </c>
      <c r="H79" s="562">
        <v>522</v>
      </c>
      <c r="I79" s="560">
        <v>522</v>
      </c>
      <c r="J79" s="562"/>
      <c r="K79" s="562" t="s">
        <v>1112</v>
      </c>
      <c r="L79" s="447">
        <v>2</v>
      </c>
      <c r="M79" s="447">
        <v>8</v>
      </c>
      <c r="N79" s="448">
        <v>42088</v>
      </c>
    </row>
    <row r="80" spans="1:14">
      <c r="A80" s="559" t="s">
        <v>1359</v>
      </c>
      <c r="B80" s="560">
        <v>45</v>
      </c>
      <c r="C80" s="193">
        <v>42086</v>
      </c>
      <c r="D80" s="193">
        <v>42086</v>
      </c>
      <c r="E80" s="562" t="s">
        <v>223</v>
      </c>
      <c r="F80" s="562" t="s">
        <v>1110</v>
      </c>
      <c r="G80" s="562" t="s">
        <v>1114</v>
      </c>
      <c r="H80" s="562">
        <v>26</v>
      </c>
      <c r="I80" s="560">
        <v>26</v>
      </c>
      <c r="J80" s="562" t="s">
        <v>1115</v>
      </c>
      <c r="K80" s="377" t="s">
        <v>1112</v>
      </c>
      <c r="L80" s="449">
        <v>5</v>
      </c>
      <c r="M80" s="449">
        <v>35</v>
      </c>
      <c r="N80" s="448">
        <v>42097</v>
      </c>
    </row>
    <row r="81" spans="1:14">
      <c r="A81" s="559" t="s">
        <v>1359</v>
      </c>
      <c r="B81" s="560">
        <v>45</v>
      </c>
      <c r="C81" s="193">
        <v>42086</v>
      </c>
      <c r="D81" s="193">
        <v>42086</v>
      </c>
      <c r="E81" s="562" t="s">
        <v>171</v>
      </c>
      <c r="F81" s="562" t="s">
        <v>1110</v>
      </c>
      <c r="G81" s="563" t="s">
        <v>1116</v>
      </c>
      <c r="H81" s="562">
        <v>22</v>
      </c>
      <c r="I81" s="560">
        <v>22</v>
      </c>
      <c r="J81" s="562"/>
      <c r="K81" s="562" t="s">
        <v>1112</v>
      </c>
      <c r="L81" s="447">
        <v>2</v>
      </c>
      <c r="M81" s="447">
        <v>8</v>
      </c>
      <c r="N81" s="448">
        <v>42096</v>
      </c>
    </row>
    <row r="82" spans="1:14">
      <c r="A82" s="562" t="s">
        <v>1359</v>
      </c>
      <c r="B82" s="560">
        <v>45</v>
      </c>
      <c r="C82" s="193">
        <v>42086</v>
      </c>
      <c r="D82" s="193">
        <v>42086</v>
      </c>
      <c r="E82" s="564" t="s">
        <v>172</v>
      </c>
      <c r="F82" s="562" t="s">
        <v>1110</v>
      </c>
      <c r="G82" s="563" t="s">
        <v>1116</v>
      </c>
      <c r="H82" s="565">
        <v>2</v>
      </c>
      <c r="I82" s="564">
        <v>2</v>
      </c>
      <c r="J82" s="377" t="s">
        <v>1115</v>
      </c>
      <c r="K82" s="562" t="s">
        <v>1112</v>
      </c>
      <c r="L82" s="566">
        <v>2</v>
      </c>
      <c r="M82" s="566">
        <v>8</v>
      </c>
      <c r="N82" s="448">
        <v>42096</v>
      </c>
    </row>
    <row r="83" spans="1:14">
      <c r="A83" s="559" t="s">
        <v>1359</v>
      </c>
      <c r="B83" s="560">
        <v>45</v>
      </c>
      <c r="C83" s="193">
        <v>42086</v>
      </c>
      <c r="D83" s="193">
        <v>42086</v>
      </c>
      <c r="E83" s="562" t="s">
        <v>176</v>
      </c>
      <c r="F83" s="562" t="s">
        <v>1110</v>
      </c>
      <c r="G83" s="562" t="s">
        <v>1117</v>
      </c>
      <c r="H83" s="354">
        <v>6.1</v>
      </c>
      <c r="I83" s="450">
        <v>6.1</v>
      </c>
      <c r="J83" s="562"/>
      <c r="K83" s="562" t="s">
        <v>1118</v>
      </c>
      <c r="L83" s="447">
        <v>4</v>
      </c>
      <c r="M83" s="447"/>
      <c r="N83" s="448">
        <v>42094</v>
      </c>
    </row>
    <row r="84" spans="1:14">
      <c r="A84" s="559" t="s">
        <v>1360</v>
      </c>
      <c r="B84" s="829" t="s">
        <v>1124</v>
      </c>
      <c r="C84" s="193">
        <v>42086</v>
      </c>
      <c r="D84" s="193">
        <v>42086</v>
      </c>
      <c r="E84" s="561" t="s">
        <v>195</v>
      </c>
      <c r="F84" s="562" t="s">
        <v>1110</v>
      </c>
      <c r="G84" s="563" t="s">
        <v>1111</v>
      </c>
      <c r="H84" s="562">
        <v>910</v>
      </c>
      <c r="I84" s="560">
        <v>910</v>
      </c>
      <c r="J84" s="562"/>
      <c r="K84" s="377" t="s">
        <v>1112</v>
      </c>
      <c r="L84" s="447">
        <v>6</v>
      </c>
      <c r="M84" s="447">
        <v>42</v>
      </c>
      <c r="N84" s="448">
        <v>42096</v>
      </c>
    </row>
    <row r="85" spans="1:14">
      <c r="A85" s="562" t="s">
        <v>1360</v>
      </c>
      <c r="B85" s="829" t="s">
        <v>1124</v>
      </c>
      <c r="C85" s="193">
        <v>42086</v>
      </c>
      <c r="D85" s="193">
        <v>42086</v>
      </c>
      <c r="E85" s="562" t="s">
        <v>177</v>
      </c>
      <c r="F85" s="562" t="s">
        <v>1110</v>
      </c>
      <c r="G85" s="562" t="s">
        <v>1113</v>
      </c>
      <c r="H85" s="562">
        <v>533</v>
      </c>
      <c r="I85" s="560">
        <v>533</v>
      </c>
      <c r="J85" s="562"/>
      <c r="K85" s="562" t="s">
        <v>1112</v>
      </c>
      <c r="L85" s="447">
        <v>2</v>
      </c>
      <c r="M85" s="447">
        <v>8</v>
      </c>
      <c r="N85" s="448">
        <v>42088</v>
      </c>
    </row>
    <row r="86" spans="1:14">
      <c r="A86" s="577" t="s">
        <v>1360</v>
      </c>
      <c r="B86" s="829" t="s">
        <v>1124</v>
      </c>
      <c r="C86" s="193">
        <v>42086</v>
      </c>
      <c r="D86" s="193">
        <v>42086</v>
      </c>
      <c r="E86" s="562" t="s">
        <v>223</v>
      </c>
      <c r="F86" s="562" t="s">
        <v>1110</v>
      </c>
      <c r="G86" s="562" t="s">
        <v>1114</v>
      </c>
      <c r="H86" s="562">
        <v>25</v>
      </c>
      <c r="I86" s="560">
        <v>25</v>
      </c>
      <c r="J86" s="562" t="s">
        <v>1115</v>
      </c>
      <c r="K86" s="377" t="s">
        <v>1112</v>
      </c>
      <c r="L86" s="449">
        <v>5</v>
      </c>
      <c r="M86" s="449">
        <v>35</v>
      </c>
      <c r="N86" s="448">
        <v>42097</v>
      </c>
    </row>
    <row r="87" spans="1:14">
      <c r="A87" s="562" t="s">
        <v>1360</v>
      </c>
      <c r="B87" s="829" t="s">
        <v>1124</v>
      </c>
      <c r="C87" s="193">
        <v>42086</v>
      </c>
      <c r="D87" s="193">
        <v>42086</v>
      </c>
      <c r="E87" s="562" t="s">
        <v>171</v>
      </c>
      <c r="F87" s="562" t="s">
        <v>1110</v>
      </c>
      <c r="G87" s="563" t="s">
        <v>1116</v>
      </c>
      <c r="H87" s="562">
        <v>16</v>
      </c>
      <c r="I87" s="560">
        <v>16</v>
      </c>
      <c r="J87" s="562"/>
      <c r="K87" s="562" t="s">
        <v>1112</v>
      </c>
      <c r="L87" s="447">
        <v>2</v>
      </c>
      <c r="M87" s="447">
        <v>8</v>
      </c>
      <c r="N87" s="448">
        <v>42096</v>
      </c>
    </row>
    <row r="88" spans="1:14">
      <c r="A88" s="562" t="s">
        <v>1360</v>
      </c>
      <c r="B88" s="829" t="s">
        <v>1124</v>
      </c>
      <c r="C88" s="193">
        <v>42086</v>
      </c>
      <c r="D88" s="193">
        <v>42086</v>
      </c>
      <c r="E88" s="564" t="s">
        <v>172</v>
      </c>
      <c r="F88" s="562" t="s">
        <v>1110</v>
      </c>
      <c r="G88" s="563" t="s">
        <v>1116</v>
      </c>
      <c r="H88" s="565">
        <v>14</v>
      </c>
      <c r="I88" s="564">
        <v>14</v>
      </c>
      <c r="J88" s="377"/>
      <c r="K88" s="562" t="s">
        <v>1112</v>
      </c>
      <c r="L88" s="566">
        <v>2</v>
      </c>
      <c r="M88" s="566">
        <v>8</v>
      </c>
      <c r="N88" s="448">
        <v>42096</v>
      </c>
    </row>
    <row r="89" spans="1:14">
      <c r="A89" s="562" t="s">
        <v>1360</v>
      </c>
      <c r="B89" s="829" t="s">
        <v>1124</v>
      </c>
      <c r="C89" s="193">
        <v>42086</v>
      </c>
      <c r="D89" s="193">
        <v>42086</v>
      </c>
      <c r="E89" s="562" t="s">
        <v>176</v>
      </c>
      <c r="F89" s="562" t="s">
        <v>1110</v>
      </c>
      <c r="G89" s="562" t="s">
        <v>1117</v>
      </c>
      <c r="H89" s="354">
        <v>4.8</v>
      </c>
      <c r="I89" s="450">
        <v>4.8</v>
      </c>
      <c r="J89" s="562"/>
      <c r="K89" s="562" t="s">
        <v>1118</v>
      </c>
      <c r="L89" s="447">
        <v>4</v>
      </c>
      <c r="M89" s="447"/>
      <c r="N89" s="448">
        <v>42094</v>
      </c>
    </row>
    <row r="90" spans="1:14">
      <c r="A90" s="559" t="s">
        <v>1360</v>
      </c>
      <c r="B90" s="560" t="s">
        <v>1124</v>
      </c>
      <c r="C90" s="193">
        <v>42086</v>
      </c>
      <c r="D90" s="193">
        <v>42086</v>
      </c>
      <c r="E90" s="561" t="s">
        <v>173</v>
      </c>
      <c r="F90" s="559" t="s">
        <v>1110</v>
      </c>
      <c r="G90" s="567" t="s">
        <v>1125</v>
      </c>
      <c r="H90" s="254">
        <v>7.4</v>
      </c>
      <c r="I90" s="451">
        <v>7.4</v>
      </c>
      <c r="J90" s="568"/>
      <c r="K90" s="562" t="s">
        <v>1112</v>
      </c>
      <c r="L90" s="566">
        <v>0.1</v>
      </c>
      <c r="M90" s="566"/>
      <c r="N90" s="448">
        <v>42089</v>
      </c>
    </row>
    <row r="91" spans="1:14">
      <c r="A91" s="559" t="s">
        <v>1360</v>
      </c>
      <c r="B91" s="560" t="s">
        <v>1124</v>
      </c>
      <c r="C91" s="193">
        <v>42086</v>
      </c>
      <c r="D91" s="193">
        <v>42086</v>
      </c>
      <c r="E91" s="561" t="s">
        <v>173</v>
      </c>
      <c r="F91" s="559" t="s">
        <v>1110</v>
      </c>
      <c r="G91" s="567" t="s">
        <v>1125</v>
      </c>
      <c r="H91" s="254">
        <v>11.4</v>
      </c>
      <c r="I91" s="451">
        <v>11.4</v>
      </c>
      <c r="J91" s="568"/>
      <c r="K91" s="562" t="s">
        <v>1112</v>
      </c>
      <c r="L91" s="566">
        <v>0.1</v>
      </c>
      <c r="M91" s="566"/>
      <c r="N91" s="448">
        <v>42089</v>
      </c>
    </row>
    <row r="92" spans="1:14">
      <c r="A92" s="562" t="s">
        <v>1361</v>
      </c>
      <c r="B92" s="560" t="s">
        <v>1127</v>
      </c>
      <c r="C92" s="193">
        <v>42086</v>
      </c>
      <c r="D92" s="193">
        <v>42086</v>
      </c>
      <c r="E92" s="561" t="s">
        <v>195</v>
      </c>
      <c r="F92" s="562" t="s">
        <v>1110</v>
      </c>
      <c r="G92" s="563" t="s">
        <v>1111</v>
      </c>
      <c r="H92" s="562">
        <v>1206</v>
      </c>
      <c r="I92" s="560">
        <v>1206</v>
      </c>
      <c r="J92" s="562"/>
      <c r="K92" s="377" t="s">
        <v>1112</v>
      </c>
      <c r="L92" s="447">
        <v>6</v>
      </c>
      <c r="M92" s="447">
        <v>42</v>
      </c>
      <c r="N92" s="448">
        <v>42096</v>
      </c>
    </row>
    <row r="93" spans="1:14">
      <c r="A93" s="562" t="s">
        <v>1361</v>
      </c>
      <c r="B93" s="560" t="s">
        <v>1127</v>
      </c>
      <c r="C93" s="193">
        <v>42086</v>
      </c>
      <c r="D93" s="193">
        <v>42086</v>
      </c>
      <c r="E93" s="562" t="s">
        <v>177</v>
      </c>
      <c r="F93" s="562" t="s">
        <v>1110</v>
      </c>
      <c r="G93" s="562" t="s">
        <v>1113</v>
      </c>
      <c r="H93" s="562">
        <v>478</v>
      </c>
      <c r="I93" s="560">
        <v>478</v>
      </c>
      <c r="J93" s="562"/>
      <c r="K93" s="562" t="s">
        <v>1112</v>
      </c>
      <c r="L93" s="447">
        <v>2</v>
      </c>
      <c r="M93" s="447">
        <v>8</v>
      </c>
      <c r="N93" s="448">
        <v>42088</v>
      </c>
    </row>
    <row r="94" spans="1:14">
      <c r="A94" s="577" t="s">
        <v>1361</v>
      </c>
      <c r="B94" s="560" t="s">
        <v>1127</v>
      </c>
      <c r="C94" s="193">
        <v>42086</v>
      </c>
      <c r="D94" s="193">
        <v>42086</v>
      </c>
      <c r="E94" s="562" t="s">
        <v>223</v>
      </c>
      <c r="F94" s="562" t="s">
        <v>1110</v>
      </c>
      <c r="G94" s="562" t="s">
        <v>1114</v>
      </c>
      <c r="H94" s="562">
        <v>359</v>
      </c>
      <c r="I94" s="560">
        <v>359</v>
      </c>
      <c r="J94" s="562"/>
      <c r="K94" s="377" t="s">
        <v>1112</v>
      </c>
      <c r="L94" s="449">
        <v>5</v>
      </c>
      <c r="M94" s="449">
        <v>35</v>
      </c>
      <c r="N94" s="448">
        <v>42097</v>
      </c>
    </row>
    <row r="95" spans="1:14">
      <c r="A95" s="562" t="s">
        <v>1361</v>
      </c>
      <c r="B95" s="560" t="s">
        <v>1127</v>
      </c>
      <c r="C95" s="193">
        <v>42086</v>
      </c>
      <c r="D95" s="193">
        <v>42086</v>
      </c>
      <c r="E95" s="562" t="s">
        <v>171</v>
      </c>
      <c r="F95" s="562" t="s">
        <v>1110</v>
      </c>
      <c r="G95" s="563" t="s">
        <v>1116</v>
      </c>
      <c r="H95" s="562">
        <v>13</v>
      </c>
      <c r="I95" s="560">
        <v>13</v>
      </c>
      <c r="J95" s="562"/>
      <c r="K95" s="562" t="s">
        <v>1112</v>
      </c>
      <c r="L95" s="447">
        <v>2</v>
      </c>
      <c r="M95" s="447">
        <v>8</v>
      </c>
      <c r="N95" s="448">
        <v>42096</v>
      </c>
    </row>
    <row r="96" spans="1:14">
      <c r="A96" s="562" t="s">
        <v>1361</v>
      </c>
      <c r="B96" s="560" t="s">
        <v>1127</v>
      </c>
      <c r="C96" s="193">
        <v>42086</v>
      </c>
      <c r="D96" s="193">
        <v>42086</v>
      </c>
      <c r="E96" s="564" t="s">
        <v>172</v>
      </c>
      <c r="F96" s="562" t="s">
        <v>1110</v>
      </c>
      <c r="G96" s="563" t="s">
        <v>1116</v>
      </c>
      <c r="H96" s="565">
        <v>6</v>
      </c>
      <c r="I96" s="564">
        <v>6</v>
      </c>
      <c r="J96" s="377" t="s">
        <v>1115</v>
      </c>
      <c r="K96" s="562" t="s">
        <v>1112</v>
      </c>
      <c r="L96" s="566">
        <v>2</v>
      </c>
      <c r="M96" s="566">
        <v>8</v>
      </c>
      <c r="N96" s="448">
        <v>42096</v>
      </c>
    </row>
    <row r="97" spans="1:14">
      <c r="A97" s="562" t="s">
        <v>1361</v>
      </c>
      <c r="B97" s="560" t="s">
        <v>1127</v>
      </c>
      <c r="C97" s="193">
        <v>42086</v>
      </c>
      <c r="D97" s="193">
        <v>42086</v>
      </c>
      <c r="E97" s="562" t="s">
        <v>176</v>
      </c>
      <c r="F97" s="562" t="s">
        <v>1110</v>
      </c>
      <c r="G97" s="562" t="s">
        <v>1117</v>
      </c>
      <c r="H97" s="354"/>
      <c r="I97" s="450">
        <v>4</v>
      </c>
      <c r="J97" s="562" t="s">
        <v>1121</v>
      </c>
      <c r="K97" s="562" t="s">
        <v>1118</v>
      </c>
      <c r="L97" s="447">
        <v>4</v>
      </c>
      <c r="M97" s="447"/>
      <c r="N97" s="448">
        <v>42094</v>
      </c>
    </row>
    <row r="98" spans="1:14">
      <c r="A98" s="577" t="s">
        <v>1366</v>
      </c>
      <c r="B98" s="560" t="s">
        <v>1109</v>
      </c>
      <c r="C98" s="193">
        <v>42114</v>
      </c>
      <c r="D98" s="193">
        <v>42114</v>
      </c>
      <c r="E98" s="561" t="s">
        <v>195</v>
      </c>
      <c r="F98" s="562" t="s">
        <v>1110</v>
      </c>
      <c r="G98" s="563" t="s">
        <v>1111</v>
      </c>
      <c r="H98" s="562">
        <v>818</v>
      </c>
      <c r="I98" s="560">
        <v>818</v>
      </c>
      <c r="J98" s="562"/>
      <c r="K98" s="377" t="s">
        <v>1112</v>
      </c>
      <c r="L98" s="447">
        <v>6</v>
      </c>
      <c r="M98" s="447">
        <v>42</v>
      </c>
      <c r="N98" s="448">
        <v>42123</v>
      </c>
    </row>
    <row r="99" spans="1:14">
      <c r="A99" s="577" t="s">
        <v>1366</v>
      </c>
      <c r="B99" s="560" t="s">
        <v>1109</v>
      </c>
      <c r="C99" s="193">
        <v>42114</v>
      </c>
      <c r="D99" s="193">
        <v>42114</v>
      </c>
      <c r="E99" s="562" t="s">
        <v>177</v>
      </c>
      <c r="F99" s="562" t="s">
        <v>1110</v>
      </c>
      <c r="G99" s="562" t="s">
        <v>1113</v>
      </c>
      <c r="H99" s="562">
        <v>591</v>
      </c>
      <c r="I99" s="560">
        <v>591</v>
      </c>
      <c r="J99" s="562"/>
      <c r="K99" s="562" t="s">
        <v>1112</v>
      </c>
      <c r="L99" s="447">
        <v>2</v>
      </c>
      <c r="M99" s="447">
        <v>8</v>
      </c>
      <c r="N99" s="448">
        <v>42115</v>
      </c>
    </row>
    <row r="100" spans="1:14">
      <c r="A100" s="577" t="s">
        <v>1366</v>
      </c>
      <c r="B100" s="560" t="s">
        <v>1109</v>
      </c>
      <c r="C100" s="193">
        <v>42114</v>
      </c>
      <c r="D100" s="193">
        <v>42114</v>
      </c>
      <c r="E100" s="562" t="s">
        <v>223</v>
      </c>
      <c r="F100" s="562" t="s">
        <v>1110</v>
      </c>
      <c r="G100" s="562" t="s">
        <v>1114</v>
      </c>
      <c r="H100" s="562">
        <v>25</v>
      </c>
      <c r="I100" s="560">
        <v>25</v>
      </c>
      <c r="J100" s="562" t="s">
        <v>1115</v>
      </c>
      <c r="K100" s="377" t="s">
        <v>1112</v>
      </c>
      <c r="L100" s="449">
        <v>5</v>
      </c>
      <c r="M100" s="449">
        <v>35</v>
      </c>
      <c r="N100" s="448">
        <v>42117</v>
      </c>
    </row>
    <row r="101" spans="1:14">
      <c r="A101" s="577" t="s">
        <v>1366</v>
      </c>
      <c r="B101" s="560" t="s">
        <v>1109</v>
      </c>
      <c r="C101" s="193">
        <v>42114</v>
      </c>
      <c r="D101" s="193">
        <v>42114</v>
      </c>
      <c r="E101" s="562" t="s">
        <v>171</v>
      </c>
      <c r="F101" s="562" t="s">
        <v>1110</v>
      </c>
      <c r="G101" s="563" t="s">
        <v>1116</v>
      </c>
      <c r="H101" s="562">
        <v>66</v>
      </c>
      <c r="I101" s="560">
        <v>66</v>
      </c>
      <c r="J101" s="562"/>
      <c r="K101" s="562" t="s">
        <v>1112</v>
      </c>
      <c r="L101" s="447">
        <v>2</v>
      </c>
      <c r="M101" s="447">
        <v>8</v>
      </c>
      <c r="N101" s="448">
        <v>42123</v>
      </c>
    </row>
    <row r="102" spans="1:14">
      <c r="A102" s="562" t="s">
        <v>1366</v>
      </c>
      <c r="B102" s="560" t="s">
        <v>1109</v>
      </c>
      <c r="C102" s="193">
        <v>42114</v>
      </c>
      <c r="D102" s="193">
        <v>42114</v>
      </c>
      <c r="E102" s="564" t="s">
        <v>172</v>
      </c>
      <c r="F102" s="562" t="s">
        <v>1110</v>
      </c>
      <c r="G102" s="563" t="s">
        <v>1116</v>
      </c>
      <c r="H102" s="565">
        <v>7</v>
      </c>
      <c r="I102" s="564">
        <v>7</v>
      </c>
      <c r="J102" s="377" t="s">
        <v>1115</v>
      </c>
      <c r="K102" s="562" t="s">
        <v>1112</v>
      </c>
      <c r="L102" s="566">
        <v>2</v>
      </c>
      <c r="M102" s="566">
        <v>8</v>
      </c>
      <c r="N102" s="448">
        <v>42123</v>
      </c>
    </row>
    <row r="103" spans="1:14">
      <c r="A103" s="577" t="s">
        <v>1366</v>
      </c>
      <c r="B103" s="560" t="s">
        <v>1109</v>
      </c>
      <c r="C103" s="193">
        <v>42114</v>
      </c>
      <c r="D103" s="193">
        <v>42114</v>
      </c>
      <c r="E103" s="562" t="s">
        <v>176</v>
      </c>
      <c r="F103" s="562" t="s">
        <v>1110</v>
      </c>
      <c r="G103" s="562" t="s">
        <v>1117</v>
      </c>
      <c r="H103" s="354">
        <v>20.3</v>
      </c>
      <c r="I103" s="450">
        <v>20.3</v>
      </c>
      <c r="J103" s="562"/>
      <c r="K103" s="562" t="s">
        <v>1118</v>
      </c>
      <c r="L103" s="447">
        <v>4</v>
      </c>
      <c r="M103" s="447"/>
      <c r="N103" s="448">
        <v>42117</v>
      </c>
    </row>
    <row r="104" spans="1:14">
      <c r="A104" s="559" t="s">
        <v>1367</v>
      </c>
      <c r="B104" s="560" t="s">
        <v>1120</v>
      </c>
      <c r="C104" s="193">
        <v>42114</v>
      </c>
      <c r="D104" s="193">
        <v>42114</v>
      </c>
      <c r="E104" s="561" t="s">
        <v>195</v>
      </c>
      <c r="F104" s="562" t="s">
        <v>1110</v>
      </c>
      <c r="G104" s="563" t="s">
        <v>1111</v>
      </c>
      <c r="H104" s="562">
        <v>947</v>
      </c>
      <c r="I104" s="560">
        <v>947</v>
      </c>
      <c r="J104" s="562"/>
      <c r="K104" s="377" t="s">
        <v>1112</v>
      </c>
      <c r="L104" s="447">
        <v>6</v>
      </c>
      <c r="M104" s="447">
        <v>42</v>
      </c>
      <c r="N104" s="448">
        <v>42123</v>
      </c>
    </row>
    <row r="105" spans="1:14">
      <c r="A105" s="577" t="s">
        <v>1367</v>
      </c>
      <c r="B105" s="560" t="s">
        <v>1120</v>
      </c>
      <c r="C105" s="193">
        <v>42114</v>
      </c>
      <c r="D105" s="193">
        <v>42114</v>
      </c>
      <c r="E105" s="562" t="s">
        <v>177</v>
      </c>
      <c r="F105" s="562" t="s">
        <v>1110</v>
      </c>
      <c r="G105" s="562" t="s">
        <v>1113</v>
      </c>
      <c r="H105" s="562">
        <v>746</v>
      </c>
      <c r="I105" s="560">
        <v>746</v>
      </c>
      <c r="J105" s="562"/>
      <c r="K105" s="562" t="s">
        <v>1112</v>
      </c>
      <c r="L105" s="447">
        <v>2</v>
      </c>
      <c r="M105" s="447">
        <v>8</v>
      </c>
      <c r="N105" s="448">
        <v>42115</v>
      </c>
    </row>
    <row r="106" spans="1:14">
      <c r="A106" s="577" t="s">
        <v>1367</v>
      </c>
      <c r="B106" s="560" t="s">
        <v>1120</v>
      </c>
      <c r="C106" s="193">
        <v>42114</v>
      </c>
      <c r="D106" s="193">
        <v>42114</v>
      </c>
      <c r="E106" s="562" t="s">
        <v>223</v>
      </c>
      <c r="F106" s="562" t="s">
        <v>1110</v>
      </c>
      <c r="G106" s="562" t="s">
        <v>1114</v>
      </c>
      <c r="H106" s="562">
        <v>26</v>
      </c>
      <c r="I106" s="560">
        <v>26</v>
      </c>
      <c r="J106" s="562" t="s">
        <v>1115</v>
      </c>
      <c r="K106" s="377" t="s">
        <v>1112</v>
      </c>
      <c r="L106" s="449">
        <v>5</v>
      </c>
      <c r="M106" s="449">
        <v>35</v>
      </c>
      <c r="N106" s="448">
        <v>42117</v>
      </c>
    </row>
    <row r="107" spans="1:14">
      <c r="A107" s="577" t="s">
        <v>1367</v>
      </c>
      <c r="B107" s="560" t="s">
        <v>1120</v>
      </c>
      <c r="C107" s="193">
        <v>42114</v>
      </c>
      <c r="D107" s="193">
        <v>42114</v>
      </c>
      <c r="E107" s="562" t="s">
        <v>171</v>
      </c>
      <c r="F107" s="562" t="s">
        <v>1110</v>
      </c>
      <c r="G107" s="563" t="s">
        <v>1116</v>
      </c>
      <c r="H107" s="562">
        <v>54</v>
      </c>
      <c r="I107" s="560">
        <v>54</v>
      </c>
      <c r="J107" s="562"/>
      <c r="K107" s="562" t="s">
        <v>1112</v>
      </c>
      <c r="L107" s="447">
        <v>2</v>
      </c>
      <c r="M107" s="447">
        <v>8</v>
      </c>
      <c r="N107" s="448">
        <v>42123</v>
      </c>
    </row>
    <row r="108" spans="1:14">
      <c r="A108" s="562" t="s">
        <v>1367</v>
      </c>
      <c r="B108" s="560" t="s">
        <v>1120</v>
      </c>
      <c r="C108" s="193">
        <v>42114</v>
      </c>
      <c r="D108" s="193">
        <v>42114</v>
      </c>
      <c r="E108" s="564" t="s">
        <v>172</v>
      </c>
      <c r="F108" s="562" t="s">
        <v>1110</v>
      </c>
      <c r="G108" s="563" t="s">
        <v>1116</v>
      </c>
      <c r="H108" s="565">
        <v>12</v>
      </c>
      <c r="I108" s="564">
        <v>12</v>
      </c>
      <c r="J108" s="377"/>
      <c r="K108" s="562" t="s">
        <v>1112</v>
      </c>
      <c r="L108" s="566">
        <v>2</v>
      </c>
      <c r="M108" s="566">
        <v>8</v>
      </c>
      <c r="N108" s="448">
        <v>42123</v>
      </c>
    </row>
    <row r="109" spans="1:14">
      <c r="A109" s="577" t="s">
        <v>1367</v>
      </c>
      <c r="B109" s="560" t="s">
        <v>1120</v>
      </c>
      <c r="C109" s="193">
        <v>42114</v>
      </c>
      <c r="D109" s="193">
        <v>42114</v>
      </c>
      <c r="E109" s="562" t="s">
        <v>176</v>
      </c>
      <c r="F109" s="562" t="s">
        <v>1110</v>
      </c>
      <c r="G109" s="562" t="s">
        <v>1117</v>
      </c>
      <c r="H109" s="354">
        <v>67.7</v>
      </c>
      <c r="I109" s="450">
        <v>67.7</v>
      </c>
      <c r="J109" s="562"/>
      <c r="K109" s="562" t="s">
        <v>1118</v>
      </c>
      <c r="L109" s="447">
        <v>4</v>
      </c>
      <c r="M109" s="447"/>
      <c r="N109" s="448">
        <v>42117</v>
      </c>
    </row>
    <row r="110" spans="1:14">
      <c r="A110" s="562" t="s">
        <v>1368</v>
      </c>
      <c r="B110" s="560">
        <v>45</v>
      </c>
      <c r="C110" s="193">
        <v>42114</v>
      </c>
      <c r="D110" s="193">
        <v>42114</v>
      </c>
      <c r="E110" s="561" t="s">
        <v>195</v>
      </c>
      <c r="F110" s="562" t="s">
        <v>1110</v>
      </c>
      <c r="G110" s="563" t="s">
        <v>1111</v>
      </c>
      <c r="H110" s="562">
        <v>916</v>
      </c>
      <c r="I110" s="560">
        <v>916</v>
      </c>
      <c r="J110" s="562"/>
      <c r="K110" s="377" t="s">
        <v>1112</v>
      </c>
      <c r="L110" s="447">
        <v>6</v>
      </c>
      <c r="M110" s="447">
        <v>42</v>
      </c>
      <c r="N110" s="448">
        <v>42123</v>
      </c>
    </row>
    <row r="111" spans="1:14">
      <c r="A111" s="559" t="s">
        <v>1368</v>
      </c>
      <c r="B111" s="560">
        <v>45</v>
      </c>
      <c r="C111" s="193">
        <v>42114</v>
      </c>
      <c r="D111" s="193">
        <v>42114</v>
      </c>
      <c r="E111" s="562" t="s">
        <v>177</v>
      </c>
      <c r="F111" s="562" t="s">
        <v>1110</v>
      </c>
      <c r="G111" s="562" t="s">
        <v>1113</v>
      </c>
      <c r="H111" s="562">
        <v>452</v>
      </c>
      <c r="I111" s="560">
        <v>452</v>
      </c>
      <c r="J111" s="562"/>
      <c r="K111" s="562" t="s">
        <v>1112</v>
      </c>
      <c r="L111" s="447">
        <v>2</v>
      </c>
      <c r="M111" s="447">
        <v>8</v>
      </c>
      <c r="N111" s="448">
        <v>42115</v>
      </c>
    </row>
    <row r="112" spans="1:14">
      <c r="A112" s="559" t="s">
        <v>1368</v>
      </c>
      <c r="B112" s="560">
        <v>45</v>
      </c>
      <c r="C112" s="193">
        <v>42114</v>
      </c>
      <c r="D112" s="193">
        <v>42114</v>
      </c>
      <c r="E112" s="562" t="s">
        <v>223</v>
      </c>
      <c r="F112" s="562" t="s">
        <v>1110</v>
      </c>
      <c r="G112" s="562" t="s">
        <v>1114</v>
      </c>
      <c r="H112" s="562">
        <v>35</v>
      </c>
      <c r="I112" s="560">
        <v>35</v>
      </c>
      <c r="J112" s="562" t="s">
        <v>1115</v>
      </c>
      <c r="K112" s="377" t="s">
        <v>1112</v>
      </c>
      <c r="L112" s="449">
        <v>5</v>
      </c>
      <c r="M112" s="449">
        <v>35</v>
      </c>
      <c r="N112" s="448">
        <v>42117</v>
      </c>
    </row>
    <row r="113" spans="1:14">
      <c r="A113" s="559" t="s">
        <v>1368</v>
      </c>
      <c r="B113" s="560">
        <v>45</v>
      </c>
      <c r="C113" s="193">
        <v>42114</v>
      </c>
      <c r="D113" s="193">
        <v>42114</v>
      </c>
      <c r="E113" s="562" t="s">
        <v>171</v>
      </c>
      <c r="F113" s="562" t="s">
        <v>1110</v>
      </c>
      <c r="G113" s="563" t="s">
        <v>1116</v>
      </c>
      <c r="H113" s="562">
        <v>46</v>
      </c>
      <c r="I113" s="560">
        <v>46</v>
      </c>
      <c r="J113" s="562"/>
      <c r="K113" s="562" t="s">
        <v>1112</v>
      </c>
      <c r="L113" s="447">
        <v>2</v>
      </c>
      <c r="M113" s="447">
        <v>8</v>
      </c>
      <c r="N113" s="448">
        <v>42123</v>
      </c>
    </row>
    <row r="114" spans="1:14">
      <c r="A114" s="562" t="s">
        <v>1368</v>
      </c>
      <c r="B114" s="560">
        <v>45</v>
      </c>
      <c r="C114" s="193">
        <v>42114</v>
      </c>
      <c r="D114" s="193">
        <v>42114</v>
      </c>
      <c r="E114" s="564" t="s">
        <v>172</v>
      </c>
      <c r="F114" s="562" t="s">
        <v>1110</v>
      </c>
      <c r="G114" s="563" t="s">
        <v>1116</v>
      </c>
      <c r="H114" s="565">
        <v>7</v>
      </c>
      <c r="I114" s="564">
        <v>7</v>
      </c>
      <c r="J114" s="377" t="s">
        <v>1115</v>
      </c>
      <c r="K114" s="562" t="s">
        <v>1112</v>
      </c>
      <c r="L114" s="566">
        <v>2</v>
      </c>
      <c r="M114" s="566">
        <v>8</v>
      </c>
      <c r="N114" s="448">
        <v>42123</v>
      </c>
    </row>
    <row r="115" spans="1:14">
      <c r="A115" s="559" t="s">
        <v>1368</v>
      </c>
      <c r="B115" s="560">
        <v>45</v>
      </c>
      <c r="C115" s="193">
        <v>42114</v>
      </c>
      <c r="D115" s="193">
        <v>42114</v>
      </c>
      <c r="E115" s="562" t="s">
        <v>176</v>
      </c>
      <c r="F115" s="562" t="s">
        <v>1110</v>
      </c>
      <c r="G115" s="562" t="s">
        <v>1117</v>
      </c>
      <c r="H115" s="354">
        <v>12.6</v>
      </c>
      <c r="I115" s="450">
        <v>12.6</v>
      </c>
      <c r="J115" s="562"/>
      <c r="K115" s="562" t="s">
        <v>1118</v>
      </c>
      <c r="L115" s="447">
        <v>4</v>
      </c>
      <c r="M115" s="447"/>
      <c r="N115" s="448">
        <v>42117</v>
      </c>
    </row>
    <row r="116" spans="1:14">
      <c r="A116" s="559" t="s">
        <v>1369</v>
      </c>
      <c r="B116" s="829" t="s">
        <v>1124</v>
      </c>
      <c r="C116" s="193">
        <v>42114</v>
      </c>
      <c r="D116" s="193">
        <v>42114</v>
      </c>
      <c r="E116" s="561" t="s">
        <v>195</v>
      </c>
      <c r="F116" s="562" t="s">
        <v>1110</v>
      </c>
      <c r="G116" s="563" t="s">
        <v>1111</v>
      </c>
      <c r="H116" s="562">
        <v>820</v>
      </c>
      <c r="I116" s="560">
        <v>820</v>
      </c>
      <c r="J116" s="562"/>
      <c r="K116" s="377" t="s">
        <v>1112</v>
      </c>
      <c r="L116" s="447">
        <v>6</v>
      </c>
      <c r="M116" s="447">
        <v>42</v>
      </c>
      <c r="N116" s="448">
        <v>42123</v>
      </c>
    </row>
    <row r="117" spans="1:14">
      <c r="A117" s="562" t="s">
        <v>1369</v>
      </c>
      <c r="B117" s="829" t="s">
        <v>1124</v>
      </c>
      <c r="C117" s="193">
        <v>42114</v>
      </c>
      <c r="D117" s="193">
        <v>42114</v>
      </c>
      <c r="E117" s="562" t="s">
        <v>177</v>
      </c>
      <c r="F117" s="562" t="s">
        <v>1110</v>
      </c>
      <c r="G117" s="562" t="s">
        <v>1113</v>
      </c>
      <c r="H117" s="562">
        <v>456</v>
      </c>
      <c r="I117" s="560">
        <v>456</v>
      </c>
      <c r="J117" s="562"/>
      <c r="K117" s="562" t="s">
        <v>1112</v>
      </c>
      <c r="L117" s="447">
        <v>2</v>
      </c>
      <c r="M117" s="447">
        <v>8</v>
      </c>
      <c r="N117" s="448">
        <v>42115</v>
      </c>
    </row>
    <row r="118" spans="1:14">
      <c r="A118" s="577" t="s">
        <v>1369</v>
      </c>
      <c r="B118" s="829" t="s">
        <v>1124</v>
      </c>
      <c r="C118" s="193">
        <v>42114</v>
      </c>
      <c r="D118" s="193">
        <v>42114</v>
      </c>
      <c r="E118" s="562" t="s">
        <v>223</v>
      </c>
      <c r="F118" s="562" t="s">
        <v>1110</v>
      </c>
      <c r="G118" s="562" t="s">
        <v>1114</v>
      </c>
      <c r="H118" s="562">
        <v>29</v>
      </c>
      <c r="I118" s="560">
        <v>29</v>
      </c>
      <c r="J118" s="562" t="s">
        <v>1115</v>
      </c>
      <c r="K118" s="377" t="s">
        <v>1112</v>
      </c>
      <c r="L118" s="449">
        <v>5</v>
      </c>
      <c r="M118" s="449">
        <v>35</v>
      </c>
      <c r="N118" s="448">
        <v>42117</v>
      </c>
    </row>
    <row r="119" spans="1:14">
      <c r="A119" s="562" t="s">
        <v>1369</v>
      </c>
      <c r="B119" s="829" t="s">
        <v>1124</v>
      </c>
      <c r="C119" s="193">
        <v>42114</v>
      </c>
      <c r="D119" s="193">
        <v>42114</v>
      </c>
      <c r="E119" s="562" t="s">
        <v>171</v>
      </c>
      <c r="F119" s="562" t="s">
        <v>1110</v>
      </c>
      <c r="G119" s="563" t="s">
        <v>1116</v>
      </c>
      <c r="H119" s="562">
        <v>28</v>
      </c>
      <c r="I119" s="560">
        <v>28</v>
      </c>
      <c r="J119" s="562"/>
      <c r="K119" s="562" t="s">
        <v>1112</v>
      </c>
      <c r="L119" s="447">
        <v>2</v>
      </c>
      <c r="M119" s="447">
        <v>8</v>
      </c>
      <c r="N119" s="448">
        <v>42123</v>
      </c>
    </row>
    <row r="120" spans="1:14">
      <c r="A120" s="562" t="s">
        <v>1369</v>
      </c>
      <c r="B120" s="829" t="s">
        <v>1124</v>
      </c>
      <c r="C120" s="193">
        <v>42114</v>
      </c>
      <c r="D120" s="193">
        <v>42114</v>
      </c>
      <c r="E120" s="564" t="s">
        <v>172</v>
      </c>
      <c r="F120" s="562" t="s">
        <v>1110</v>
      </c>
      <c r="G120" s="563" t="s">
        <v>1116</v>
      </c>
      <c r="H120" s="565">
        <v>11</v>
      </c>
      <c r="I120" s="564">
        <v>11</v>
      </c>
      <c r="J120" s="377"/>
      <c r="K120" s="562" t="s">
        <v>1112</v>
      </c>
      <c r="L120" s="566">
        <v>2</v>
      </c>
      <c r="M120" s="566">
        <v>8</v>
      </c>
      <c r="N120" s="448">
        <v>42123</v>
      </c>
    </row>
    <row r="121" spans="1:14">
      <c r="A121" s="562" t="s">
        <v>1369</v>
      </c>
      <c r="B121" s="829" t="s">
        <v>1124</v>
      </c>
      <c r="C121" s="193">
        <v>42114</v>
      </c>
      <c r="D121" s="193">
        <v>42114</v>
      </c>
      <c r="E121" s="562" t="s">
        <v>176</v>
      </c>
      <c r="F121" s="562" t="s">
        <v>1110</v>
      </c>
      <c r="G121" s="562" t="s">
        <v>1117</v>
      </c>
      <c r="H121" s="354">
        <v>5.2</v>
      </c>
      <c r="I121" s="450">
        <v>5.2</v>
      </c>
      <c r="J121" s="562"/>
      <c r="K121" s="562" t="s">
        <v>1118</v>
      </c>
      <c r="L121" s="447">
        <v>4</v>
      </c>
      <c r="M121" s="447"/>
      <c r="N121" s="448">
        <v>42117</v>
      </c>
    </row>
    <row r="122" spans="1:14">
      <c r="A122" s="559" t="s">
        <v>1369</v>
      </c>
      <c r="B122" s="560" t="s">
        <v>1124</v>
      </c>
      <c r="C122" s="193">
        <v>42114</v>
      </c>
      <c r="D122" s="193">
        <v>42114</v>
      </c>
      <c r="E122" s="561" t="s">
        <v>173</v>
      </c>
      <c r="F122" s="559" t="s">
        <v>1110</v>
      </c>
      <c r="G122" s="567" t="s">
        <v>1125</v>
      </c>
      <c r="H122" s="254">
        <v>7.7</v>
      </c>
      <c r="I122" s="451">
        <v>7.7</v>
      </c>
      <c r="J122" s="568"/>
      <c r="K122" s="562" t="s">
        <v>1112</v>
      </c>
      <c r="L122" s="566">
        <v>0.1</v>
      </c>
      <c r="M122" s="566"/>
      <c r="N122" s="448">
        <v>42117</v>
      </c>
    </row>
    <row r="123" spans="1:14">
      <c r="A123" s="559" t="s">
        <v>1369</v>
      </c>
      <c r="B123" s="560" t="s">
        <v>1124</v>
      </c>
      <c r="C123" s="193">
        <v>42114</v>
      </c>
      <c r="D123" s="193">
        <v>42114</v>
      </c>
      <c r="E123" s="561" t="s">
        <v>173</v>
      </c>
      <c r="F123" s="559" t="s">
        <v>1110</v>
      </c>
      <c r="G123" s="567" t="s">
        <v>1125</v>
      </c>
      <c r="H123" s="254">
        <v>7.7</v>
      </c>
      <c r="I123" s="451">
        <v>7.7</v>
      </c>
      <c r="J123" s="568"/>
      <c r="K123" s="562" t="s">
        <v>1112</v>
      </c>
      <c r="L123" s="566">
        <v>0.1</v>
      </c>
      <c r="M123" s="566"/>
      <c r="N123" s="448">
        <v>42117</v>
      </c>
    </row>
    <row r="124" spans="1:14">
      <c r="A124" s="562" t="s">
        <v>1370</v>
      </c>
      <c r="B124" s="560" t="s">
        <v>1127</v>
      </c>
      <c r="C124" s="193">
        <v>42114</v>
      </c>
      <c r="D124" s="193">
        <v>42114</v>
      </c>
      <c r="E124" s="561" t="s">
        <v>195</v>
      </c>
      <c r="F124" s="562" t="s">
        <v>1110</v>
      </c>
      <c r="G124" s="563" t="s">
        <v>1111</v>
      </c>
      <c r="H124" s="562">
        <v>786</v>
      </c>
      <c r="I124" s="560">
        <v>786</v>
      </c>
      <c r="J124" s="562"/>
      <c r="K124" s="377" t="s">
        <v>1112</v>
      </c>
      <c r="L124" s="447">
        <v>6</v>
      </c>
      <c r="M124" s="447">
        <v>42</v>
      </c>
      <c r="N124" s="448">
        <v>42123</v>
      </c>
    </row>
    <row r="125" spans="1:14">
      <c r="A125" s="562" t="s">
        <v>1370</v>
      </c>
      <c r="B125" s="560" t="s">
        <v>1127</v>
      </c>
      <c r="C125" s="193">
        <v>42114</v>
      </c>
      <c r="D125" s="193">
        <v>42114</v>
      </c>
      <c r="E125" s="562" t="s">
        <v>177</v>
      </c>
      <c r="F125" s="562" t="s">
        <v>1110</v>
      </c>
      <c r="G125" s="562" t="s">
        <v>1113</v>
      </c>
      <c r="H125" s="562">
        <v>411</v>
      </c>
      <c r="I125" s="560">
        <v>411</v>
      </c>
      <c r="J125" s="562"/>
      <c r="K125" s="562" t="s">
        <v>1112</v>
      </c>
      <c r="L125" s="447">
        <v>2</v>
      </c>
      <c r="M125" s="447">
        <v>8</v>
      </c>
      <c r="N125" s="448">
        <v>42115</v>
      </c>
    </row>
    <row r="126" spans="1:14">
      <c r="A126" s="577" t="s">
        <v>1370</v>
      </c>
      <c r="B126" s="560" t="s">
        <v>1127</v>
      </c>
      <c r="C126" s="193">
        <v>42114</v>
      </c>
      <c r="D126" s="193">
        <v>42114</v>
      </c>
      <c r="E126" s="562" t="s">
        <v>223</v>
      </c>
      <c r="F126" s="562" t="s">
        <v>1110</v>
      </c>
      <c r="G126" s="562" t="s">
        <v>1114</v>
      </c>
      <c r="H126" s="562">
        <v>198</v>
      </c>
      <c r="I126" s="560">
        <v>198</v>
      </c>
      <c r="J126" s="562"/>
      <c r="K126" s="377" t="s">
        <v>1112</v>
      </c>
      <c r="L126" s="449">
        <v>5</v>
      </c>
      <c r="M126" s="449">
        <v>35</v>
      </c>
      <c r="N126" s="448">
        <v>42117</v>
      </c>
    </row>
    <row r="127" spans="1:14">
      <c r="A127" s="562" t="s">
        <v>1370</v>
      </c>
      <c r="B127" s="560" t="s">
        <v>1127</v>
      </c>
      <c r="C127" s="193">
        <v>42114</v>
      </c>
      <c r="D127" s="193">
        <v>42114</v>
      </c>
      <c r="E127" s="562" t="s">
        <v>171</v>
      </c>
      <c r="F127" s="562" t="s">
        <v>1110</v>
      </c>
      <c r="G127" s="563" t="s">
        <v>1116</v>
      </c>
      <c r="H127" s="562">
        <v>27</v>
      </c>
      <c r="I127" s="560">
        <v>27</v>
      </c>
      <c r="J127" s="562"/>
      <c r="K127" s="562" t="s">
        <v>1112</v>
      </c>
      <c r="L127" s="447">
        <v>2</v>
      </c>
      <c r="M127" s="447">
        <v>8</v>
      </c>
      <c r="N127" s="448">
        <v>42123</v>
      </c>
    </row>
    <row r="128" spans="1:14">
      <c r="A128" s="562" t="s">
        <v>1370</v>
      </c>
      <c r="B128" s="560" t="s">
        <v>1127</v>
      </c>
      <c r="C128" s="193">
        <v>42114</v>
      </c>
      <c r="D128" s="193">
        <v>42114</v>
      </c>
      <c r="E128" s="564" t="s">
        <v>172</v>
      </c>
      <c r="F128" s="562" t="s">
        <v>1110</v>
      </c>
      <c r="G128" s="563" t="s">
        <v>1116</v>
      </c>
      <c r="H128" s="565">
        <v>5</v>
      </c>
      <c r="I128" s="564">
        <v>5</v>
      </c>
      <c r="J128" s="377" t="s">
        <v>1115</v>
      </c>
      <c r="K128" s="562" t="s">
        <v>1112</v>
      </c>
      <c r="L128" s="566">
        <v>2</v>
      </c>
      <c r="M128" s="566">
        <v>8</v>
      </c>
      <c r="N128" s="448">
        <v>42123</v>
      </c>
    </row>
    <row r="129" spans="1:14">
      <c r="A129" s="562" t="s">
        <v>1370</v>
      </c>
      <c r="B129" s="560" t="s">
        <v>1127</v>
      </c>
      <c r="C129" s="193">
        <v>42114</v>
      </c>
      <c r="D129" s="193">
        <v>42114</v>
      </c>
      <c r="E129" s="562" t="s">
        <v>176</v>
      </c>
      <c r="F129" s="562" t="s">
        <v>1110</v>
      </c>
      <c r="G129" s="562" t="s">
        <v>1117</v>
      </c>
      <c r="H129" s="354">
        <v>5.7</v>
      </c>
      <c r="I129" s="450">
        <v>5.7</v>
      </c>
      <c r="J129" s="562"/>
      <c r="K129" s="562" t="s">
        <v>1118</v>
      </c>
      <c r="L129" s="447">
        <v>4</v>
      </c>
      <c r="M129" s="447"/>
      <c r="N129" s="448">
        <v>42117</v>
      </c>
    </row>
    <row r="130" spans="1:14">
      <c r="A130" s="577" t="s">
        <v>1377</v>
      </c>
      <c r="B130" s="560" t="s">
        <v>1109</v>
      </c>
      <c r="C130" s="193">
        <v>42142</v>
      </c>
      <c r="D130" s="193">
        <v>42142</v>
      </c>
      <c r="E130" s="561" t="s">
        <v>195</v>
      </c>
      <c r="F130" s="562" t="s">
        <v>1110</v>
      </c>
      <c r="G130" s="563" t="s">
        <v>1111</v>
      </c>
      <c r="H130" s="562">
        <v>1114</v>
      </c>
      <c r="I130" s="560">
        <v>1114</v>
      </c>
      <c r="J130" s="562"/>
      <c r="K130" s="377" t="s">
        <v>1112</v>
      </c>
      <c r="L130" s="447">
        <v>6</v>
      </c>
      <c r="M130" s="447">
        <v>42</v>
      </c>
      <c r="N130" s="448">
        <v>42145</v>
      </c>
    </row>
    <row r="131" spans="1:14">
      <c r="A131" s="577" t="s">
        <v>1377</v>
      </c>
      <c r="B131" s="560" t="s">
        <v>1109</v>
      </c>
      <c r="C131" s="193">
        <v>42142</v>
      </c>
      <c r="D131" s="193">
        <v>42142</v>
      </c>
      <c r="E131" s="562" t="s">
        <v>177</v>
      </c>
      <c r="F131" s="562" t="s">
        <v>1110</v>
      </c>
      <c r="G131" s="562" t="s">
        <v>1113</v>
      </c>
      <c r="H131" s="562">
        <v>668</v>
      </c>
      <c r="I131" s="560">
        <v>668</v>
      </c>
      <c r="J131" s="562"/>
      <c r="K131" s="562" t="s">
        <v>1112</v>
      </c>
      <c r="L131" s="447">
        <v>2</v>
      </c>
      <c r="M131" s="447">
        <v>8</v>
      </c>
      <c r="N131" s="448">
        <v>42144</v>
      </c>
    </row>
    <row r="132" spans="1:14">
      <c r="A132" s="577" t="s">
        <v>1377</v>
      </c>
      <c r="B132" s="560" t="s">
        <v>1109</v>
      </c>
      <c r="C132" s="193">
        <v>42142</v>
      </c>
      <c r="D132" s="193">
        <v>42142</v>
      </c>
      <c r="E132" s="562" t="s">
        <v>223</v>
      </c>
      <c r="F132" s="562" t="s">
        <v>1110</v>
      </c>
      <c r="G132" s="562" t="s">
        <v>1114</v>
      </c>
      <c r="H132" s="562">
        <v>103</v>
      </c>
      <c r="I132" s="560">
        <v>103</v>
      </c>
      <c r="J132" s="562"/>
      <c r="K132" s="377" t="s">
        <v>1112</v>
      </c>
      <c r="L132" s="449">
        <v>5</v>
      </c>
      <c r="M132" s="449">
        <v>35</v>
      </c>
      <c r="N132" s="448">
        <v>42144</v>
      </c>
    </row>
    <row r="133" spans="1:14">
      <c r="A133" s="577" t="s">
        <v>1377</v>
      </c>
      <c r="B133" s="560" t="s">
        <v>1109</v>
      </c>
      <c r="C133" s="193">
        <v>42142</v>
      </c>
      <c r="D133" s="193">
        <v>42142</v>
      </c>
      <c r="E133" s="562" t="s">
        <v>171</v>
      </c>
      <c r="F133" s="562" t="s">
        <v>1110</v>
      </c>
      <c r="G133" s="563" t="s">
        <v>1116</v>
      </c>
      <c r="H133" s="562">
        <v>199</v>
      </c>
      <c r="I133" s="560">
        <v>199</v>
      </c>
      <c r="J133" s="562"/>
      <c r="K133" s="562" t="s">
        <v>1112</v>
      </c>
      <c r="L133" s="447">
        <v>2</v>
      </c>
      <c r="M133" s="447">
        <v>8</v>
      </c>
      <c r="N133" s="448">
        <v>42145</v>
      </c>
    </row>
    <row r="134" spans="1:14">
      <c r="A134" s="562" t="s">
        <v>1377</v>
      </c>
      <c r="B134" s="560" t="s">
        <v>1109</v>
      </c>
      <c r="C134" s="193">
        <v>42142</v>
      </c>
      <c r="D134" s="193">
        <v>42142</v>
      </c>
      <c r="E134" s="564" t="s">
        <v>172</v>
      </c>
      <c r="F134" s="562" t="s">
        <v>1110</v>
      </c>
      <c r="G134" s="563" t="s">
        <v>1116</v>
      </c>
      <c r="H134" s="565">
        <v>19</v>
      </c>
      <c r="I134" s="564">
        <v>19</v>
      </c>
      <c r="J134" s="377"/>
      <c r="K134" s="562" t="s">
        <v>1112</v>
      </c>
      <c r="L134" s="566">
        <v>2</v>
      </c>
      <c r="M134" s="566">
        <v>8</v>
      </c>
      <c r="N134" s="448">
        <v>42145</v>
      </c>
    </row>
    <row r="135" spans="1:14">
      <c r="A135" s="577" t="s">
        <v>1377</v>
      </c>
      <c r="B135" s="560" t="s">
        <v>1109</v>
      </c>
      <c r="C135" s="193">
        <v>42142</v>
      </c>
      <c r="D135" s="193">
        <v>42142</v>
      </c>
      <c r="E135" s="562" t="s">
        <v>176</v>
      </c>
      <c r="F135" s="562" t="s">
        <v>1110</v>
      </c>
      <c r="G135" s="562" t="s">
        <v>1117</v>
      </c>
      <c r="H135" s="354">
        <v>138</v>
      </c>
      <c r="I135" s="450">
        <v>138</v>
      </c>
      <c r="J135" s="562"/>
      <c r="K135" s="562" t="s">
        <v>1118</v>
      </c>
      <c r="L135" s="447">
        <v>4</v>
      </c>
      <c r="M135" s="447"/>
      <c r="N135" s="448">
        <v>42146</v>
      </c>
    </row>
    <row r="136" spans="1:14">
      <c r="A136" s="559" t="s">
        <v>1378</v>
      </c>
      <c r="B136" s="560" t="s">
        <v>1120</v>
      </c>
      <c r="C136" s="193">
        <v>42142</v>
      </c>
      <c r="D136" s="193">
        <v>42142</v>
      </c>
      <c r="E136" s="561" t="s">
        <v>195</v>
      </c>
      <c r="F136" s="562" t="s">
        <v>1110</v>
      </c>
      <c r="G136" s="563" t="s">
        <v>1111</v>
      </c>
      <c r="H136" s="562">
        <v>818</v>
      </c>
      <c r="I136" s="560">
        <v>818</v>
      </c>
      <c r="J136" s="562"/>
      <c r="K136" s="377" t="s">
        <v>1112</v>
      </c>
      <c r="L136" s="447">
        <v>6</v>
      </c>
      <c r="M136" s="447">
        <v>42</v>
      </c>
      <c r="N136" s="448">
        <v>42145</v>
      </c>
    </row>
    <row r="137" spans="1:14">
      <c r="A137" s="577" t="s">
        <v>1378</v>
      </c>
      <c r="B137" s="560" t="s">
        <v>1120</v>
      </c>
      <c r="C137" s="193">
        <v>42142</v>
      </c>
      <c r="D137" s="193">
        <v>42142</v>
      </c>
      <c r="E137" s="562" t="s">
        <v>177</v>
      </c>
      <c r="F137" s="562" t="s">
        <v>1110</v>
      </c>
      <c r="G137" s="562" t="s">
        <v>1113</v>
      </c>
      <c r="H137" s="562">
        <v>447</v>
      </c>
      <c r="I137" s="560">
        <v>447</v>
      </c>
      <c r="J137" s="562"/>
      <c r="K137" s="562" t="s">
        <v>1112</v>
      </c>
      <c r="L137" s="447">
        <v>2</v>
      </c>
      <c r="M137" s="447">
        <v>8</v>
      </c>
      <c r="N137" s="448">
        <v>42144</v>
      </c>
    </row>
    <row r="138" spans="1:14">
      <c r="A138" s="577" t="s">
        <v>1378</v>
      </c>
      <c r="B138" s="560" t="s">
        <v>1120</v>
      </c>
      <c r="C138" s="193">
        <v>42142</v>
      </c>
      <c r="D138" s="193">
        <v>42142</v>
      </c>
      <c r="E138" s="562" t="s">
        <v>223</v>
      </c>
      <c r="F138" s="562" t="s">
        <v>1110</v>
      </c>
      <c r="G138" s="562" t="s">
        <v>1114</v>
      </c>
      <c r="H138" s="562">
        <v>50</v>
      </c>
      <c r="I138" s="560">
        <v>50</v>
      </c>
      <c r="J138" s="562"/>
      <c r="K138" s="377" t="s">
        <v>1112</v>
      </c>
      <c r="L138" s="449">
        <v>5</v>
      </c>
      <c r="M138" s="449">
        <v>35</v>
      </c>
      <c r="N138" s="448">
        <v>42144</v>
      </c>
    </row>
    <row r="139" spans="1:14">
      <c r="A139" s="577" t="s">
        <v>1378</v>
      </c>
      <c r="B139" s="560" t="s">
        <v>1120</v>
      </c>
      <c r="C139" s="193">
        <v>42142</v>
      </c>
      <c r="D139" s="193">
        <v>42142</v>
      </c>
      <c r="E139" s="562" t="s">
        <v>171</v>
      </c>
      <c r="F139" s="562" t="s">
        <v>1110</v>
      </c>
      <c r="G139" s="563" t="s">
        <v>1116</v>
      </c>
      <c r="H139" s="562">
        <v>83</v>
      </c>
      <c r="I139" s="560">
        <v>83</v>
      </c>
      <c r="J139" s="562"/>
      <c r="K139" s="562" t="s">
        <v>1112</v>
      </c>
      <c r="L139" s="447">
        <v>2</v>
      </c>
      <c r="M139" s="447">
        <v>8</v>
      </c>
      <c r="N139" s="448">
        <v>42145</v>
      </c>
    </row>
    <row r="140" spans="1:14">
      <c r="A140" s="562" t="s">
        <v>1378</v>
      </c>
      <c r="B140" s="560" t="s">
        <v>1120</v>
      </c>
      <c r="C140" s="193">
        <v>42142</v>
      </c>
      <c r="D140" s="193">
        <v>42142</v>
      </c>
      <c r="E140" s="564" t="s">
        <v>172</v>
      </c>
      <c r="F140" s="562" t="s">
        <v>1110</v>
      </c>
      <c r="G140" s="563" t="s">
        <v>1116</v>
      </c>
      <c r="H140" s="565">
        <v>15</v>
      </c>
      <c r="I140" s="564">
        <v>15</v>
      </c>
      <c r="J140" s="377"/>
      <c r="K140" s="562" t="s">
        <v>1112</v>
      </c>
      <c r="L140" s="566">
        <v>2</v>
      </c>
      <c r="M140" s="566">
        <v>8</v>
      </c>
      <c r="N140" s="448">
        <v>42145</v>
      </c>
    </row>
    <row r="141" spans="1:14">
      <c r="A141" s="577" t="s">
        <v>1378</v>
      </c>
      <c r="B141" s="560" t="s">
        <v>1120</v>
      </c>
      <c r="C141" s="193">
        <v>42142</v>
      </c>
      <c r="D141" s="193">
        <v>42142</v>
      </c>
      <c r="E141" s="562" t="s">
        <v>176</v>
      </c>
      <c r="F141" s="562" t="s">
        <v>1110</v>
      </c>
      <c r="G141" s="562" t="s">
        <v>1117</v>
      </c>
      <c r="H141" s="354">
        <v>41.2</v>
      </c>
      <c r="I141" s="450">
        <v>41.2</v>
      </c>
      <c r="J141" s="562"/>
      <c r="K141" s="562" t="s">
        <v>1118</v>
      </c>
      <c r="L141" s="447">
        <v>4</v>
      </c>
      <c r="M141" s="447"/>
      <c r="N141" s="448">
        <v>42146</v>
      </c>
    </row>
    <row r="142" spans="1:14">
      <c r="A142" s="562" t="s">
        <v>1379</v>
      </c>
      <c r="B142" s="560">
        <v>45</v>
      </c>
      <c r="C142" s="193">
        <v>42142</v>
      </c>
      <c r="D142" s="193">
        <v>42142</v>
      </c>
      <c r="E142" s="561" t="s">
        <v>195</v>
      </c>
      <c r="F142" s="562" t="s">
        <v>1110</v>
      </c>
      <c r="G142" s="563" t="s">
        <v>1111</v>
      </c>
      <c r="H142" s="562">
        <v>975</v>
      </c>
      <c r="I142" s="560">
        <v>975</v>
      </c>
      <c r="J142" s="562"/>
      <c r="K142" s="377" t="s">
        <v>1112</v>
      </c>
      <c r="L142" s="447">
        <v>6</v>
      </c>
      <c r="M142" s="447">
        <v>42</v>
      </c>
      <c r="N142" s="448">
        <v>42145</v>
      </c>
    </row>
    <row r="143" spans="1:14">
      <c r="A143" s="559" t="s">
        <v>1379</v>
      </c>
      <c r="B143" s="560">
        <v>45</v>
      </c>
      <c r="C143" s="193">
        <v>42142</v>
      </c>
      <c r="D143" s="193">
        <v>42142</v>
      </c>
      <c r="E143" s="562" t="s">
        <v>177</v>
      </c>
      <c r="F143" s="562" t="s">
        <v>1110</v>
      </c>
      <c r="G143" s="562" t="s">
        <v>1113</v>
      </c>
      <c r="H143" s="562">
        <v>562</v>
      </c>
      <c r="I143" s="560">
        <v>562</v>
      </c>
      <c r="J143" s="562"/>
      <c r="K143" s="562" t="s">
        <v>1112</v>
      </c>
      <c r="L143" s="447">
        <v>2</v>
      </c>
      <c r="M143" s="447">
        <v>8</v>
      </c>
      <c r="N143" s="448">
        <v>42144</v>
      </c>
    </row>
    <row r="144" spans="1:14">
      <c r="A144" s="559" t="s">
        <v>1379</v>
      </c>
      <c r="B144" s="560">
        <v>45</v>
      </c>
      <c r="C144" s="193">
        <v>42142</v>
      </c>
      <c r="D144" s="193">
        <v>42142</v>
      </c>
      <c r="E144" s="562" t="s">
        <v>223</v>
      </c>
      <c r="F144" s="562" t="s">
        <v>1110</v>
      </c>
      <c r="G144" s="562" t="s">
        <v>1114</v>
      </c>
      <c r="H144" s="562">
        <v>47</v>
      </c>
      <c r="I144" s="560">
        <v>47</v>
      </c>
      <c r="J144" s="562"/>
      <c r="K144" s="377" t="s">
        <v>1112</v>
      </c>
      <c r="L144" s="449">
        <v>5</v>
      </c>
      <c r="M144" s="449">
        <v>35</v>
      </c>
      <c r="N144" s="448">
        <v>42144</v>
      </c>
    </row>
    <row r="145" spans="1:14">
      <c r="A145" s="559" t="s">
        <v>1379</v>
      </c>
      <c r="B145" s="560">
        <v>45</v>
      </c>
      <c r="C145" s="193">
        <v>42142</v>
      </c>
      <c r="D145" s="193">
        <v>42142</v>
      </c>
      <c r="E145" s="562" t="s">
        <v>171</v>
      </c>
      <c r="F145" s="562" t="s">
        <v>1110</v>
      </c>
      <c r="G145" s="563" t="s">
        <v>1116</v>
      </c>
      <c r="H145" s="562">
        <v>61</v>
      </c>
      <c r="I145" s="560">
        <v>61</v>
      </c>
      <c r="J145" s="562"/>
      <c r="K145" s="562" t="s">
        <v>1112</v>
      </c>
      <c r="L145" s="447">
        <v>2</v>
      </c>
      <c r="M145" s="447">
        <v>8</v>
      </c>
      <c r="N145" s="448">
        <v>42145</v>
      </c>
    </row>
    <row r="146" spans="1:14">
      <c r="A146" s="562" t="s">
        <v>1379</v>
      </c>
      <c r="B146" s="560">
        <v>45</v>
      </c>
      <c r="C146" s="193">
        <v>42142</v>
      </c>
      <c r="D146" s="193">
        <v>42142</v>
      </c>
      <c r="E146" s="564" t="s">
        <v>172</v>
      </c>
      <c r="F146" s="562" t="s">
        <v>1110</v>
      </c>
      <c r="G146" s="563" t="s">
        <v>1116</v>
      </c>
      <c r="H146" s="565">
        <v>26</v>
      </c>
      <c r="I146" s="564">
        <v>26</v>
      </c>
      <c r="J146" s="377"/>
      <c r="K146" s="562" t="s">
        <v>1112</v>
      </c>
      <c r="L146" s="566">
        <v>2</v>
      </c>
      <c r="M146" s="566">
        <v>8</v>
      </c>
      <c r="N146" s="448">
        <v>42145</v>
      </c>
    </row>
    <row r="147" spans="1:14">
      <c r="A147" s="559" t="s">
        <v>1379</v>
      </c>
      <c r="B147" s="560">
        <v>45</v>
      </c>
      <c r="C147" s="193">
        <v>42142</v>
      </c>
      <c r="D147" s="193">
        <v>42142</v>
      </c>
      <c r="E147" s="562" t="s">
        <v>176</v>
      </c>
      <c r="F147" s="562" t="s">
        <v>1110</v>
      </c>
      <c r="G147" s="562" t="s">
        <v>1117</v>
      </c>
      <c r="H147" s="354">
        <v>9.5</v>
      </c>
      <c r="I147" s="450">
        <v>9.5</v>
      </c>
      <c r="J147" s="562"/>
      <c r="K147" s="562" t="s">
        <v>1118</v>
      </c>
      <c r="L147" s="447">
        <v>4</v>
      </c>
      <c r="M147" s="447"/>
      <c r="N147" s="448">
        <v>42146</v>
      </c>
    </row>
    <row r="148" spans="1:14">
      <c r="A148" s="559" t="s">
        <v>1380</v>
      </c>
      <c r="B148" s="829" t="s">
        <v>1124</v>
      </c>
      <c r="C148" s="193">
        <v>42142</v>
      </c>
      <c r="D148" s="193">
        <v>42142</v>
      </c>
      <c r="E148" s="561" t="s">
        <v>195</v>
      </c>
      <c r="F148" s="562" t="s">
        <v>1110</v>
      </c>
      <c r="G148" s="563" t="s">
        <v>1111</v>
      </c>
      <c r="H148" s="562">
        <v>927</v>
      </c>
      <c r="I148" s="560">
        <v>975</v>
      </c>
      <c r="J148" s="562"/>
      <c r="K148" s="377" t="s">
        <v>1112</v>
      </c>
      <c r="L148" s="447">
        <v>6</v>
      </c>
      <c r="M148" s="447">
        <v>42</v>
      </c>
      <c r="N148" s="448">
        <v>42145</v>
      </c>
    </row>
    <row r="149" spans="1:14">
      <c r="A149" s="562" t="s">
        <v>1380</v>
      </c>
      <c r="B149" s="829" t="s">
        <v>1124</v>
      </c>
      <c r="C149" s="193">
        <v>42142</v>
      </c>
      <c r="D149" s="193">
        <v>42142</v>
      </c>
      <c r="E149" s="562" t="s">
        <v>177</v>
      </c>
      <c r="F149" s="562" t="s">
        <v>1110</v>
      </c>
      <c r="G149" s="562" t="s">
        <v>1113</v>
      </c>
      <c r="H149" s="562">
        <v>502</v>
      </c>
      <c r="I149" s="560">
        <v>562</v>
      </c>
      <c r="J149" s="562"/>
      <c r="K149" s="562" t="s">
        <v>1112</v>
      </c>
      <c r="L149" s="447">
        <v>2</v>
      </c>
      <c r="M149" s="447">
        <v>8</v>
      </c>
      <c r="N149" s="448">
        <v>42144</v>
      </c>
    </row>
    <row r="150" spans="1:14">
      <c r="A150" s="577" t="s">
        <v>1380</v>
      </c>
      <c r="B150" s="829" t="s">
        <v>1124</v>
      </c>
      <c r="C150" s="193">
        <v>42142</v>
      </c>
      <c r="D150" s="193">
        <v>42142</v>
      </c>
      <c r="E150" s="562" t="s">
        <v>223</v>
      </c>
      <c r="F150" s="562" t="s">
        <v>1110</v>
      </c>
      <c r="G150" s="562" t="s">
        <v>1114</v>
      </c>
      <c r="H150" s="562">
        <v>27</v>
      </c>
      <c r="I150" s="560">
        <v>47</v>
      </c>
      <c r="J150" s="562" t="s">
        <v>1115</v>
      </c>
      <c r="K150" s="377" t="s">
        <v>1112</v>
      </c>
      <c r="L150" s="449">
        <v>5</v>
      </c>
      <c r="M150" s="449">
        <v>35</v>
      </c>
      <c r="N150" s="448">
        <v>42144</v>
      </c>
    </row>
    <row r="151" spans="1:14">
      <c r="A151" s="562" t="s">
        <v>1380</v>
      </c>
      <c r="B151" s="829" t="s">
        <v>1124</v>
      </c>
      <c r="C151" s="193">
        <v>42142</v>
      </c>
      <c r="D151" s="193">
        <v>42142</v>
      </c>
      <c r="E151" s="562" t="s">
        <v>171</v>
      </c>
      <c r="F151" s="562" t="s">
        <v>1110</v>
      </c>
      <c r="G151" s="563" t="s">
        <v>1116</v>
      </c>
      <c r="H151" s="562">
        <v>56</v>
      </c>
      <c r="I151" s="560">
        <v>61</v>
      </c>
      <c r="J151" s="562"/>
      <c r="K151" s="562" t="s">
        <v>1112</v>
      </c>
      <c r="L151" s="447">
        <v>2</v>
      </c>
      <c r="M151" s="447">
        <v>8</v>
      </c>
      <c r="N151" s="448">
        <v>42145</v>
      </c>
    </row>
    <row r="152" spans="1:14">
      <c r="A152" s="562" t="s">
        <v>1380</v>
      </c>
      <c r="B152" s="829" t="s">
        <v>1124</v>
      </c>
      <c r="C152" s="193">
        <v>42142</v>
      </c>
      <c r="D152" s="193">
        <v>42142</v>
      </c>
      <c r="E152" s="564" t="s">
        <v>172</v>
      </c>
      <c r="F152" s="562" t="s">
        <v>1110</v>
      </c>
      <c r="G152" s="563" t="s">
        <v>1116</v>
      </c>
      <c r="H152" s="565">
        <v>20</v>
      </c>
      <c r="I152" s="564">
        <v>26</v>
      </c>
      <c r="J152" s="377"/>
      <c r="K152" s="562" t="s">
        <v>1112</v>
      </c>
      <c r="L152" s="566">
        <v>2</v>
      </c>
      <c r="M152" s="566">
        <v>8</v>
      </c>
      <c r="N152" s="448">
        <v>42145</v>
      </c>
    </row>
    <row r="153" spans="1:14">
      <c r="A153" s="562" t="s">
        <v>1380</v>
      </c>
      <c r="B153" s="829" t="s">
        <v>1124</v>
      </c>
      <c r="C153" s="193">
        <v>42142</v>
      </c>
      <c r="D153" s="193">
        <v>42142</v>
      </c>
      <c r="E153" s="562" t="s">
        <v>176</v>
      </c>
      <c r="F153" s="562" t="s">
        <v>1110</v>
      </c>
      <c r="G153" s="562" t="s">
        <v>1117</v>
      </c>
      <c r="H153" s="354">
        <v>8.1</v>
      </c>
      <c r="I153" s="450">
        <v>9.5</v>
      </c>
      <c r="J153" s="562"/>
      <c r="K153" s="562" t="s">
        <v>1118</v>
      </c>
      <c r="L153" s="447">
        <v>4</v>
      </c>
      <c r="M153" s="447"/>
      <c r="N153" s="448">
        <v>42146</v>
      </c>
    </row>
    <row r="154" spans="1:14">
      <c r="A154" s="559" t="s">
        <v>1380</v>
      </c>
      <c r="B154" s="560" t="s">
        <v>1124</v>
      </c>
      <c r="C154" s="193">
        <v>42142</v>
      </c>
      <c r="D154" s="193">
        <v>42142</v>
      </c>
      <c r="E154" s="561" t="s">
        <v>173</v>
      </c>
      <c r="F154" s="559" t="s">
        <v>1110</v>
      </c>
      <c r="G154" s="567" t="s">
        <v>1125</v>
      </c>
      <c r="H154" s="254">
        <v>3.9</v>
      </c>
      <c r="I154" s="451">
        <v>3.9</v>
      </c>
      <c r="J154" s="568"/>
      <c r="K154" s="562" t="s">
        <v>1112</v>
      </c>
      <c r="L154" s="566">
        <v>0.1</v>
      </c>
      <c r="M154" s="566"/>
      <c r="N154" s="448">
        <v>42145</v>
      </c>
    </row>
    <row r="155" spans="1:14">
      <c r="A155" s="559" t="s">
        <v>1380</v>
      </c>
      <c r="B155" s="560" t="s">
        <v>1124</v>
      </c>
      <c r="C155" s="193">
        <v>42142</v>
      </c>
      <c r="D155" s="193">
        <v>42142</v>
      </c>
      <c r="E155" s="561" t="s">
        <v>173</v>
      </c>
      <c r="F155" s="559" t="s">
        <v>1110</v>
      </c>
      <c r="G155" s="567" t="s">
        <v>1125</v>
      </c>
      <c r="H155" s="254">
        <v>3.9</v>
      </c>
      <c r="I155" s="451">
        <v>3.9</v>
      </c>
      <c r="J155" s="568"/>
      <c r="K155" s="562" t="s">
        <v>1112</v>
      </c>
      <c r="L155" s="566">
        <v>0.1</v>
      </c>
      <c r="M155" s="566"/>
      <c r="N155" s="448">
        <v>42145</v>
      </c>
    </row>
    <row r="156" spans="1:14">
      <c r="A156" s="562" t="s">
        <v>1381</v>
      </c>
      <c r="B156" s="560" t="s">
        <v>1127</v>
      </c>
      <c r="C156" s="193">
        <v>42142</v>
      </c>
      <c r="D156" s="193">
        <v>42142</v>
      </c>
      <c r="E156" s="561" t="s">
        <v>195</v>
      </c>
      <c r="F156" s="562" t="s">
        <v>1110</v>
      </c>
      <c r="G156" s="563" t="s">
        <v>1111</v>
      </c>
      <c r="H156" s="562">
        <v>1048</v>
      </c>
      <c r="I156" s="560">
        <v>1048</v>
      </c>
      <c r="J156" s="562"/>
      <c r="K156" s="377" t="s">
        <v>1112</v>
      </c>
      <c r="L156" s="447">
        <v>6</v>
      </c>
      <c r="M156" s="447">
        <v>42</v>
      </c>
      <c r="N156" s="448">
        <v>42145</v>
      </c>
    </row>
    <row r="157" spans="1:14">
      <c r="A157" s="562" t="s">
        <v>1381</v>
      </c>
      <c r="B157" s="560" t="s">
        <v>1127</v>
      </c>
      <c r="C157" s="193">
        <v>42142</v>
      </c>
      <c r="D157" s="193">
        <v>42142</v>
      </c>
      <c r="E157" s="562" t="s">
        <v>177</v>
      </c>
      <c r="F157" s="562" t="s">
        <v>1110</v>
      </c>
      <c r="G157" s="562" t="s">
        <v>1113</v>
      </c>
      <c r="H157" s="562">
        <v>598</v>
      </c>
      <c r="I157" s="560">
        <v>598</v>
      </c>
      <c r="J157" s="562"/>
      <c r="K157" s="562" t="s">
        <v>1112</v>
      </c>
      <c r="L157" s="447">
        <v>2</v>
      </c>
      <c r="M157" s="447">
        <v>8</v>
      </c>
      <c r="N157" s="448">
        <v>42144</v>
      </c>
    </row>
    <row r="158" spans="1:14">
      <c r="A158" s="577" t="s">
        <v>1381</v>
      </c>
      <c r="B158" s="560" t="s">
        <v>1127</v>
      </c>
      <c r="C158" s="193">
        <v>42142</v>
      </c>
      <c r="D158" s="193">
        <v>42142</v>
      </c>
      <c r="E158" s="562" t="s">
        <v>223</v>
      </c>
      <c r="F158" s="562" t="s">
        <v>1110</v>
      </c>
      <c r="G158" s="562" t="s">
        <v>1114</v>
      </c>
      <c r="H158" s="562">
        <v>101</v>
      </c>
      <c r="I158" s="560">
        <v>101</v>
      </c>
      <c r="J158" s="562"/>
      <c r="K158" s="377" t="s">
        <v>1112</v>
      </c>
      <c r="L158" s="449">
        <v>5</v>
      </c>
      <c r="M158" s="449">
        <v>35</v>
      </c>
      <c r="N158" s="448">
        <v>42144</v>
      </c>
    </row>
    <row r="159" spans="1:14">
      <c r="A159" s="562" t="s">
        <v>1381</v>
      </c>
      <c r="B159" s="560" t="s">
        <v>1127</v>
      </c>
      <c r="C159" s="193">
        <v>42142</v>
      </c>
      <c r="D159" s="193">
        <v>42142</v>
      </c>
      <c r="E159" s="562" t="s">
        <v>171</v>
      </c>
      <c r="F159" s="562" t="s">
        <v>1110</v>
      </c>
      <c r="G159" s="563" t="s">
        <v>1116</v>
      </c>
      <c r="H159" s="562">
        <v>78</v>
      </c>
      <c r="I159" s="560">
        <v>78</v>
      </c>
      <c r="J159" s="562"/>
      <c r="K159" s="562" t="s">
        <v>1112</v>
      </c>
      <c r="L159" s="447">
        <v>2</v>
      </c>
      <c r="M159" s="447">
        <v>8</v>
      </c>
      <c r="N159" s="448">
        <v>42145</v>
      </c>
    </row>
    <row r="160" spans="1:14">
      <c r="A160" s="562" t="s">
        <v>1381</v>
      </c>
      <c r="B160" s="560" t="s">
        <v>1127</v>
      </c>
      <c r="C160" s="193">
        <v>42142</v>
      </c>
      <c r="D160" s="193">
        <v>42142</v>
      </c>
      <c r="E160" s="564" t="s">
        <v>172</v>
      </c>
      <c r="F160" s="562" t="s">
        <v>1110</v>
      </c>
      <c r="G160" s="563" t="s">
        <v>1116</v>
      </c>
      <c r="H160" s="565">
        <v>28</v>
      </c>
      <c r="I160" s="564">
        <v>28</v>
      </c>
      <c r="J160" s="377"/>
      <c r="K160" s="562" t="s">
        <v>1112</v>
      </c>
      <c r="L160" s="566">
        <v>2</v>
      </c>
      <c r="M160" s="566">
        <v>8</v>
      </c>
      <c r="N160" s="448">
        <v>42145</v>
      </c>
    </row>
    <row r="161" spans="1:14">
      <c r="A161" s="562" t="s">
        <v>1381</v>
      </c>
      <c r="B161" s="560" t="s">
        <v>1127</v>
      </c>
      <c r="C161" s="193">
        <v>42142</v>
      </c>
      <c r="D161" s="193">
        <v>42142</v>
      </c>
      <c r="E161" s="562" t="s">
        <v>176</v>
      </c>
      <c r="F161" s="562" t="s">
        <v>1110</v>
      </c>
      <c r="G161" s="562" t="s">
        <v>1117</v>
      </c>
      <c r="H161" s="354">
        <v>11.8</v>
      </c>
      <c r="I161" s="450">
        <v>11.8</v>
      </c>
      <c r="J161" s="562"/>
      <c r="K161" s="562" t="s">
        <v>1118</v>
      </c>
      <c r="L161" s="447">
        <v>4</v>
      </c>
      <c r="M161" s="447"/>
      <c r="N161" s="448">
        <v>42146</v>
      </c>
    </row>
    <row r="162" spans="1:14">
      <c r="A162" s="577" t="s">
        <v>1382</v>
      </c>
      <c r="B162" s="560" t="s">
        <v>1109</v>
      </c>
      <c r="C162" s="193">
        <v>42170</v>
      </c>
      <c r="D162" s="193">
        <v>42170</v>
      </c>
      <c r="E162" s="561" t="s">
        <v>195</v>
      </c>
      <c r="F162" s="562" t="s">
        <v>1110</v>
      </c>
      <c r="G162" s="563" t="s">
        <v>1111</v>
      </c>
      <c r="H162" s="562">
        <v>887</v>
      </c>
      <c r="I162" s="560">
        <v>887</v>
      </c>
      <c r="J162" s="562"/>
      <c r="K162" s="377" t="s">
        <v>1112</v>
      </c>
      <c r="L162" s="447">
        <v>6</v>
      </c>
      <c r="M162" s="447">
        <v>42</v>
      </c>
      <c r="N162" s="448">
        <v>42181</v>
      </c>
    </row>
    <row r="163" spans="1:14">
      <c r="A163" s="577" t="s">
        <v>1382</v>
      </c>
      <c r="B163" s="560" t="s">
        <v>1109</v>
      </c>
      <c r="C163" s="193">
        <v>42170</v>
      </c>
      <c r="D163" s="193">
        <v>42170</v>
      </c>
      <c r="E163" s="562" t="s">
        <v>177</v>
      </c>
      <c r="F163" s="562" t="s">
        <v>1110</v>
      </c>
      <c r="G163" s="562" t="s">
        <v>1113</v>
      </c>
      <c r="H163" s="562">
        <v>452</v>
      </c>
      <c r="I163" s="560">
        <v>452</v>
      </c>
      <c r="J163" s="562"/>
      <c r="K163" s="562" t="s">
        <v>1112</v>
      </c>
      <c r="L163" s="447">
        <v>2</v>
      </c>
      <c r="M163" s="447">
        <v>8</v>
      </c>
      <c r="N163" s="448">
        <v>42171</v>
      </c>
    </row>
    <row r="164" spans="1:14">
      <c r="A164" s="577" t="s">
        <v>1382</v>
      </c>
      <c r="B164" s="560" t="s">
        <v>1109</v>
      </c>
      <c r="C164" s="193">
        <v>42170</v>
      </c>
      <c r="D164" s="193">
        <v>42170</v>
      </c>
      <c r="E164" s="562" t="s">
        <v>223</v>
      </c>
      <c r="F164" s="562" t="s">
        <v>1110</v>
      </c>
      <c r="G164" s="562" t="s">
        <v>1114</v>
      </c>
      <c r="H164" s="562">
        <v>50</v>
      </c>
      <c r="I164" s="560">
        <v>50</v>
      </c>
      <c r="J164" s="562"/>
      <c r="K164" s="377" t="s">
        <v>1112</v>
      </c>
      <c r="L164" s="449">
        <v>5</v>
      </c>
      <c r="M164" s="449">
        <v>35</v>
      </c>
      <c r="N164" s="448">
        <v>42173</v>
      </c>
    </row>
    <row r="165" spans="1:14">
      <c r="A165" s="577" t="s">
        <v>1382</v>
      </c>
      <c r="B165" s="560" t="s">
        <v>1109</v>
      </c>
      <c r="C165" s="193">
        <v>42170</v>
      </c>
      <c r="D165" s="193">
        <v>42170</v>
      </c>
      <c r="E165" s="562" t="s">
        <v>171</v>
      </c>
      <c r="F165" s="562" t="s">
        <v>1110</v>
      </c>
      <c r="G165" s="563" t="s">
        <v>1116</v>
      </c>
      <c r="H165" s="562">
        <v>78</v>
      </c>
      <c r="I165" s="560">
        <v>78</v>
      </c>
      <c r="J165" s="562"/>
      <c r="K165" s="562" t="s">
        <v>1112</v>
      </c>
      <c r="L165" s="447">
        <v>2</v>
      </c>
      <c r="M165" s="447">
        <v>8</v>
      </c>
      <c r="N165" s="448">
        <v>42181</v>
      </c>
    </row>
    <row r="166" spans="1:14">
      <c r="A166" s="562" t="s">
        <v>1382</v>
      </c>
      <c r="B166" s="560" t="s">
        <v>1109</v>
      </c>
      <c r="C166" s="193">
        <v>42170</v>
      </c>
      <c r="D166" s="193">
        <v>42170</v>
      </c>
      <c r="E166" s="564" t="s">
        <v>172</v>
      </c>
      <c r="F166" s="562" t="s">
        <v>1110</v>
      </c>
      <c r="G166" s="563" t="s">
        <v>1116</v>
      </c>
      <c r="H166" s="565">
        <v>27</v>
      </c>
      <c r="I166" s="564">
        <v>27</v>
      </c>
      <c r="J166" s="377"/>
      <c r="K166" s="562" t="s">
        <v>1112</v>
      </c>
      <c r="L166" s="566">
        <v>2</v>
      </c>
      <c r="M166" s="566">
        <v>8</v>
      </c>
      <c r="N166" s="448">
        <v>42181</v>
      </c>
    </row>
    <row r="167" spans="1:14">
      <c r="A167" s="577" t="s">
        <v>1382</v>
      </c>
      <c r="B167" s="560" t="s">
        <v>1109</v>
      </c>
      <c r="C167" s="193">
        <v>42170</v>
      </c>
      <c r="D167" s="193">
        <v>42170</v>
      </c>
      <c r="E167" s="562" t="s">
        <v>176</v>
      </c>
      <c r="F167" s="562" t="s">
        <v>1110</v>
      </c>
      <c r="G167" s="562" t="s">
        <v>1117</v>
      </c>
      <c r="H167" s="354">
        <v>28.6</v>
      </c>
      <c r="I167" s="450">
        <v>28.6</v>
      </c>
      <c r="J167" s="562"/>
      <c r="K167" s="562" t="s">
        <v>1118</v>
      </c>
      <c r="L167" s="447">
        <v>4</v>
      </c>
      <c r="M167" s="447"/>
      <c r="N167" s="448">
        <v>42179</v>
      </c>
    </row>
    <row r="168" spans="1:14">
      <c r="A168" s="559" t="s">
        <v>1383</v>
      </c>
      <c r="B168" s="560" t="s">
        <v>1120</v>
      </c>
      <c r="C168" s="193">
        <v>42170</v>
      </c>
      <c r="D168" s="193">
        <v>42170</v>
      </c>
      <c r="E168" s="561" t="s">
        <v>195</v>
      </c>
      <c r="F168" s="562" t="s">
        <v>1110</v>
      </c>
      <c r="G168" s="563" t="s">
        <v>1111</v>
      </c>
      <c r="H168" s="562">
        <v>581</v>
      </c>
      <c r="I168" s="560">
        <v>581</v>
      </c>
      <c r="J168" s="562"/>
      <c r="K168" s="377" t="s">
        <v>1112</v>
      </c>
      <c r="L168" s="447">
        <v>6</v>
      </c>
      <c r="M168" s="447">
        <v>42</v>
      </c>
      <c r="N168" s="448">
        <v>42181</v>
      </c>
    </row>
    <row r="169" spans="1:14">
      <c r="A169" s="577" t="s">
        <v>1383</v>
      </c>
      <c r="B169" s="560" t="s">
        <v>1120</v>
      </c>
      <c r="C169" s="193">
        <v>42170</v>
      </c>
      <c r="D169" s="193">
        <v>42170</v>
      </c>
      <c r="E169" s="562" t="s">
        <v>177</v>
      </c>
      <c r="F169" s="562" t="s">
        <v>1110</v>
      </c>
      <c r="G169" s="562" t="s">
        <v>1113</v>
      </c>
      <c r="H169" s="562">
        <v>233</v>
      </c>
      <c r="I169" s="560">
        <v>233</v>
      </c>
      <c r="J169" s="562"/>
      <c r="K169" s="562" t="s">
        <v>1112</v>
      </c>
      <c r="L169" s="447">
        <v>2</v>
      </c>
      <c r="M169" s="447">
        <v>8</v>
      </c>
      <c r="N169" s="448">
        <v>42171</v>
      </c>
    </row>
    <row r="170" spans="1:14">
      <c r="A170" s="577" t="s">
        <v>1383</v>
      </c>
      <c r="B170" s="560" t="s">
        <v>1120</v>
      </c>
      <c r="C170" s="193">
        <v>42170</v>
      </c>
      <c r="D170" s="193">
        <v>42170</v>
      </c>
      <c r="E170" s="562" t="s">
        <v>223</v>
      </c>
      <c r="F170" s="562" t="s">
        <v>1110</v>
      </c>
      <c r="G170" s="562" t="s">
        <v>1114</v>
      </c>
      <c r="H170" s="562">
        <v>31</v>
      </c>
      <c r="I170" s="560">
        <v>31</v>
      </c>
      <c r="J170" s="562" t="s">
        <v>1115</v>
      </c>
      <c r="K170" s="377" t="s">
        <v>1112</v>
      </c>
      <c r="L170" s="449">
        <v>5</v>
      </c>
      <c r="M170" s="449">
        <v>35</v>
      </c>
      <c r="N170" s="448">
        <v>42173</v>
      </c>
    </row>
    <row r="171" spans="1:14">
      <c r="A171" s="577" t="s">
        <v>1383</v>
      </c>
      <c r="B171" s="560" t="s">
        <v>1120</v>
      </c>
      <c r="C171" s="193">
        <v>42170</v>
      </c>
      <c r="D171" s="193">
        <v>42170</v>
      </c>
      <c r="E171" s="562" t="s">
        <v>171</v>
      </c>
      <c r="F171" s="562" t="s">
        <v>1110</v>
      </c>
      <c r="G171" s="563" t="s">
        <v>1116</v>
      </c>
      <c r="H171" s="562">
        <v>56</v>
      </c>
      <c r="I171" s="560">
        <v>56</v>
      </c>
      <c r="J171" s="562"/>
      <c r="K171" s="562" t="s">
        <v>1112</v>
      </c>
      <c r="L171" s="447">
        <v>2</v>
      </c>
      <c r="M171" s="447">
        <v>8</v>
      </c>
      <c r="N171" s="448">
        <v>42181</v>
      </c>
    </row>
    <row r="172" spans="1:14">
      <c r="A172" s="562" t="s">
        <v>1383</v>
      </c>
      <c r="B172" s="560" t="s">
        <v>1120</v>
      </c>
      <c r="C172" s="193">
        <v>42170</v>
      </c>
      <c r="D172" s="193">
        <v>42170</v>
      </c>
      <c r="E172" s="564" t="s">
        <v>172</v>
      </c>
      <c r="F172" s="562" t="s">
        <v>1110</v>
      </c>
      <c r="G172" s="563" t="s">
        <v>1116</v>
      </c>
      <c r="H172" s="565">
        <v>10</v>
      </c>
      <c r="I172" s="564">
        <v>10</v>
      </c>
      <c r="J172" s="377"/>
      <c r="K172" s="562" t="s">
        <v>1112</v>
      </c>
      <c r="L172" s="566">
        <v>2</v>
      </c>
      <c r="M172" s="566">
        <v>8</v>
      </c>
      <c r="N172" s="448">
        <v>42181</v>
      </c>
    </row>
    <row r="173" spans="1:14">
      <c r="A173" s="577" t="s">
        <v>1383</v>
      </c>
      <c r="B173" s="560" t="s">
        <v>1120</v>
      </c>
      <c r="C173" s="193">
        <v>42170</v>
      </c>
      <c r="D173" s="193">
        <v>42170</v>
      </c>
      <c r="E173" s="562" t="s">
        <v>176</v>
      </c>
      <c r="F173" s="562" t="s">
        <v>1110</v>
      </c>
      <c r="G173" s="562" t="s">
        <v>1117</v>
      </c>
      <c r="H173" s="354">
        <v>19.3</v>
      </c>
      <c r="I173" s="450">
        <v>19.3</v>
      </c>
      <c r="J173" s="562"/>
      <c r="K173" s="562" t="s">
        <v>1118</v>
      </c>
      <c r="L173" s="447">
        <v>4</v>
      </c>
      <c r="M173" s="447"/>
      <c r="N173" s="448">
        <v>42179</v>
      </c>
    </row>
    <row r="174" spans="1:14">
      <c r="A174" s="562" t="s">
        <v>1384</v>
      </c>
      <c r="B174" s="560">
        <v>45</v>
      </c>
      <c r="C174" s="193">
        <v>42170</v>
      </c>
      <c r="D174" s="193">
        <v>42170</v>
      </c>
      <c r="E174" s="561" t="s">
        <v>195</v>
      </c>
      <c r="F174" s="562" t="s">
        <v>1110</v>
      </c>
      <c r="G174" s="563" t="s">
        <v>1111</v>
      </c>
      <c r="H174" s="562">
        <v>591</v>
      </c>
      <c r="I174" s="560">
        <v>591</v>
      </c>
      <c r="J174" s="562"/>
      <c r="K174" s="377" t="s">
        <v>1112</v>
      </c>
      <c r="L174" s="447">
        <v>6</v>
      </c>
      <c r="M174" s="447">
        <v>42</v>
      </c>
      <c r="N174" s="448">
        <v>42181</v>
      </c>
    </row>
    <row r="175" spans="1:14">
      <c r="A175" s="559" t="s">
        <v>1384</v>
      </c>
      <c r="B175" s="560">
        <v>45</v>
      </c>
      <c r="C175" s="193">
        <v>42170</v>
      </c>
      <c r="D175" s="193">
        <v>42170</v>
      </c>
      <c r="E175" s="562" t="s">
        <v>177</v>
      </c>
      <c r="F175" s="562" t="s">
        <v>1110</v>
      </c>
      <c r="G175" s="562" t="s">
        <v>1113</v>
      </c>
      <c r="H175" s="562">
        <v>245</v>
      </c>
      <c r="I175" s="560">
        <v>245</v>
      </c>
      <c r="J175" s="562"/>
      <c r="K175" s="562" t="s">
        <v>1112</v>
      </c>
      <c r="L175" s="447">
        <v>2</v>
      </c>
      <c r="M175" s="447">
        <v>8</v>
      </c>
      <c r="N175" s="448">
        <v>42171</v>
      </c>
    </row>
    <row r="176" spans="1:14">
      <c r="A176" s="559" t="s">
        <v>1384</v>
      </c>
      <c r="B176" s="560">
        <v>45</v>
      </c>
      <c r="C176" s="193">
        <v>42170</v>
      </c>
      <c r="D176" s="193">
        <v>42170</v>
      </c>
      <c r="E176" s="562" t="s">
        <v>223</v>
      </c>
      <c r="F176" s="562" t="s">
        <v>1110</v>
      </c>
      <c r="G176" s="562" t="s">
        <v>1114</v>
      </c>
      <c r="H176" s="562">
        <v>71</v>
      </c>
      <c r="I176" s="560">
        <v>71</v>
      </c>
      <c r="J176" s="562"/>
      <c r="K176" s="377" t="s">
        <v>1112</v>
      </c>
      <c r="L176" s="449">
        <v>5</v>
      </c>
      <c r="M176" s="449">
        <v>35</v>
      </c>
      <c r="N176" s="448">
        <v>42173</v>
      </c>
    </row>
    <row r="177" spans="1:14">
      <c r="A177" s="559" t="s">
        <v>1384</v>
      </c>
      <c r="B177" s="560">
        <v>45</v>
      </c>
      <c r="C177" s="193">
        <v>42170</v>
      </c>
      <c r="D177" s="193">
        <v>42170</v>
      </c>
      <c r="E177" s="562" t="s">
        <v>171</v>
      </c>
      <c r="F177" s="562" t="s">
        <v>1110</v>
      </c>
      <c r="G177" s="563" t="s">
        <v>1116</v>
      </c>
      <c r="H177" s="562">
        <v>42</v>
      </c>
      <c r="I177" s="560">
        <v>42</v>
      </c>
      <c r="J177" s="562"/>
      <c r="K177" s="562" t="s">
        <v>1112</v>
      </c>
      <c r="L177" s="447">
        <v>2</v>
      </c>
      <c r="M177" s="447">
        <v>8</v>
      </c>
      <c r="N177" s="448">
        <v>42181</v>
      </c>
    </row>
    <row r="178" spans="1:14">
      <c r="A178" s="562" t="s">
        <v>1384</v>
      </c>
      <c r="B178" s="560">
        <v>45</v>
      </c>
      <c r="C178" s="193">
        <v>42170</v>
      </c>
      <c r="D178" s="193">
        <v>42170</v>
      </c>
      <c r="E178" s="564" t="s">
        <v>172</v>
      </c>
      <c r="F178" s="562" t="s">
        <v>1110</v>
      </c>
      <c r="G178" s="563" t="s">
        <v>1116</v>
      </c>
      <c r="H178" s="565">
        <v>19</v>
      </c>
      <c r="I178" s="564">
        <v>19</v>
      </c>
      <c r="J178" s="377"/>
      <c r="K178" s="562" t="s">
        <v>1112</v>
      </c>
      <c r="L178" s="566">
        <v>2</v>
      </c>
      <c r="M178" s="566">
        <v>8</v>
      </c>
      <c r="N178" s="448">
        <v>42181</v>
      </c>
    </row>
    <row r="179" spans="1:14">
      <c r="A179" s="559" t="s">
        <v>1384</v>
      </c>
      <c r="B179" s="560">
        <v>45</v>
      </c>
      <c r="C179" s="193">
        <v>42170</v>
      </c>
      <c r="D179" s="193">
        <v>42170</v>
      </c>
      <c r="E179" s="562" t="s">
        <v>176</v>
      </c>
      <c r="F179" s="562" t="s">
        <v>1110</v>
      </c>
      <c r="G179" s="562" t="s">
        <v>1117</v>
      </c>
      <c r="H179" s="354"/>
      <c r="I179" s="450">
        <v>4</v>
      </c>
      <c r="J179" s="562" t="s">
        <v>1121</v>
      </c>
      <c r="K179" s="562" t="s">
        <v>1118</v>
      </c>
      <c r="L179" s="447">
        <v>4</v>
      </c>
      <c r="M179" s="447"/>
      <c r="N179" s="448">
        <v>42179</v>
      </c>
    </row>
    <row r="180" spans="1:14">
      <c r="A180" s="559" t="s">
        <v>1385</v>
      </c>
      <c r="B180" s="829" t="s">
        <v>1124</v>
      </c>
      <c r="C180" s="193">
        <v>42170</v>
      </c>
      <c r="D180" s="193">
        <v>42170</v>
      </c>
      <c r="E180" s="561" t="s">
        <v>195</v>
      </c>
      <c r="F180" s="562" t="s">
        <v>1110</v>
      </c>
      <c r="G180" s="563" t="s">
        <v>1111</v>
      </c>
      <c r="H180" s="562">
        <v>889</v>
      </c>
      <c r="I180" s="560">
        <v>889</v>
      </c>
      <c r="J180" s="562"/>
      <c r="K180" s="377" t="s">
        <v>1112</v>
      </c>
      <c r="L180" s="447">
        <v>6</v>
      </c>
      <c r="M180" s="447">
        <v>42</v>
      </c>
      <c r="N180" s="448">
        <v>42181</v>
      </c>
    </row>
    <row r="181" spans="1:14">
      <c r="A181" s="562" t="s">
        <v>1385</v>
      </c>
      <c r="B181" s="829" t="s">
        <v>1124</v>
      </c>
      <c r="C181" s="193">
        <v>42170</v>
      </c>
      <c r="D181" s="193">
        <v>42170</v>
      </c>
      <c r="E181" s="562" t="s">
        <v>177</v>
      </c>
      <c r="F181" s="562" t="s">
        <v>1110</v>
      </c>
      <c r="G181" s="562" t="s">
        <v>1113</v>
      </c>
      <c r="H181" s="562">
        <v>212</v>
      </c>
      <c r="I181" s="560">
        <v>212</v>
      </c>
      <c r="J181" s="562"/>
      <c r="K181" s="562" t="s">
        <v>1112</v>
      </c>
      <c r="L181" s="447">
        <v>2</v>
      </c>
      <c r="M181" s="447">
        <v>8</v>
      </c>
      <c r="N181" s="448">
        <v>42171</v>
      </c>
    </row>
    <row r="182" spans="1:14">
      <c r="A182" s="577" t="s">
        <v>1385</v>
      </c>
      <c r="B182" s="829" t="s">
        <v>1124</v>
      </c>
      <c r="C182" s="193">
        <v>42170</v>
      </c>
      <c r="D182" s="193">
        <v>42170</v>
      </c>
      <c r="E182" s="562" t="s">
        <v>223</v>
      </c>
      <c r="F182" s="562" t="s">
        <v>1110</v>
      </c>
      <c r="G182" s="562" t="s">
        <v>1114</v>
      </c>
      <c r="H182" s="562">
        <v>115</v>
      </c>
      <c r="I182" s="560">
        <v>115</v>
      </c>
      <c r="J182" s="562"/>
      <c r="K182" s="377" t="s">
        <v>1112</v>
      </c>
      <c r="L182" s="449">
        <v>5</v>
      </c>
      <c r="M182" s="449">
        <v>35</v>
      </c>
      <c r="N182" s="448">
        <v>42173</v>
      </c>
    </row>
    <row r="183" spans="1:14">
      <c r="A183" s="562" t="s">
        <v>1385</v>
      </c>
      <c r="B183" s="829" t="s">
        <v>1124</v>
      </c>
      <c r="C183" s="193">
        <v>42170</v>
      </c>
      <c r="D183" s="193">
        <v>42170</v>
      </c>
      <c r="E183" s="562" t="s">
        <v>171</v>
      </c>
      <c r="F183" s="562" t="s">
        <v>1110</v>
      </c>
      <c r="G183" s="563" t="s">
        <v>1116</v>
      </c>
      <c r="H183" s="562">
        <v>36</v>
      </c>
      <c r="I183" s="560">
        <v>36</v>
      </c>
      <c r="J183" s="562"/>
      <c r="K183" s="562" t="s">
        <v>1112</v>
      </c>
      <c r="L183" s="447">
        <v>2</v>
      </c>
      <c r="M183" s="447">
        <v>8</v>
      </c>
      <c r="N183" s="448">
        <v>42181</v>
      </c>
    </row>
    <row r="184" spans="1:14">
      <c r="A184" s="562" t="s">
        <v>1385</v>
      </c>
      <c r="B184" s="829" t="s">
        <v>1124</v>
      </c>
      <c r="C184" s="193">
        <v>42170</v>
      </c>
      <c r="D184" s="193">
        <v>42170</v>
      </c>
      <c r="E184" s="564" t="s">
        <v>172</v>
      </c>
      <c r="F184" s="562" t="s">
        <v>1110</v>
      </c>
      <c r="G184" s="563" t="s">
        <v>1116</v>
      </c>
      <c r="H184" s="565">
        <v>19</v>
      </c>
      <c r="I184" s="564">
        <v>19</v>
      </c>
      <c r="J184" s="377"/>
      <c r="K184" s="562" t="s">
        <v>1112</v>
      </c>
      <c r="L184" s="566">
        <v>2</v>
      </c>
      <c r="M184" s="566">
        <v>8</v>
      </c>
      <c r="N184" s="448">
        <v>42181</v>
      </c>
    </row>
    <row r="185" spans="1:14">
      <c r="A185" s="562" t="s">
        <v>1385</v>
      </c>
      <c r="B185" s="829" t="s">
        <v>1124</v>
      </c>
      <c r="C185" s="193">
        <v>42170</v>
      </c>
      <c r="D185" s="193">
        <v>42170</v>
      </c>
      <c r="E185" s="562" t="s">
        <v>176</v>
      </c>
      <c r="F185" s="562" t="s">
        <v>1110</v>
      </c>
      <c r="G185" s="562" t="s">
        <v>1117</v>
      </c>
      <c r="H185" s="354"/>
      <c r="I185" s="450">
        <v>4</v>
      </c>
      <c r="J185" s="562" t="s">
        <v>1121</v>
      </c>
      <c r="K185" s="562" t="s">
        <v>1118</v>
      </c>
      <c r="L185" s="447">
        <v>4</v>
      </c>
      <c r="M185" s="447"/>
      <c r="N185" s="448">
        <v>42179</v>
      </c>
    </row>
    <row r="186" spans="1:14">
      <c r="A186" s="559" t="s">
        <v>1385</v>
      </c>
      <c r="B186" s="560" t="s">
        <v>1124</v>
      </c>
      <c r="C186" s="193">
        <v>42170</v>
      </c>
      <c r="D186" s="193">
        <v>42170</v>
      </c>
      <c r="E186" s="561" t="s">
        <v>173</v>
      </c>
      <c r="F186" s="559" t="s">
        <v>1110</v>
      </c>
      <c r="G186" s="567" t="s">
        <v>1125</v>
      </c>
      <c r="H186" s="254">
        <v>3.6</v>
      </c>
      <c r="I186" s="451">
        <v>3.6</v>
      </c>
      <c r="J186" s="568"/>
      <c r="K186" s="562" t="s">
        <v>1112</v>
      </c>
      <c r="L186" s="566">
        <v>0.1</v>
      </c>
      <c r="M186" s="566"/>
      <c r="N186" s="448">
        <v>42181</v>
      </c>
    </row>
    <row r="187" spans="1:14">
      <c r="A187" s="559" t="s">
        <v>1385</v>
      </c>
      <c r="B187" s="560" t="s">
        <v>1124</v>
      </c>
      <c r="C187" s="193">
        <v>42170</v>
      </c>
      <c r="D187" s="193">
        <v>42170</v>
      </c>
      <c r="E187" s="561" t="s">
        <v>173</v>
      </c>
      <c r="F187" s="559" t="s">
        <v>1110</v>
      </c>
      <c r="G187" s="567" t="s">
        <v>1125</v>
      </c>
      <c r="H187" s="254">
        <v>3.3</v>
      </c>
      <c r="I187" s="451">
        <v>3.3</v>
      </c>
      <c r="J187" s="568"/>
      <c r="K187" s="562" t="s">
        <v>1112</v>
      </c>
      <c r="L187" s="566">
        <v>0.1</v>
      </c>
      <c r="M187" s="566"/>
      <c r="N187" s="448">
        <v>42181</v>
      </c>
    </row>
    <row r="188" spans="1:14">
      <c r="A188" s="562" t="s">
        <v>1386</v>
      </c>
      <c r="B188" s="560" t="s">
        <v>1127</v>
      </c>
      <c r="C188" s="193">
        <v>42170</v>
      </c>
      <c r="D188" s="193">
        <v>42170</v>
      </c>
      <c r="E188" s="561" t="s">
        <v>195</v>
      </c>
      <c r="F188" s="562" t="s">
        <v>1110</v>
      </c>
      <c r="G188" s="563" t="s">
        <v>1111</v>
      </c>
      <c r="H188" s="562">
        <v>1015</v>
      </c>
      <c r="I188" s="560">
        <v>1015</v>
      </c>
      <c r="J188" s="562"/>
      <c r="K188" s="377" t="s">
        <v>1112</v>
      </c>
      <c r="L188" s="447">
        <v>6</v>
      </c>
      <c r="M188" s="447">
        <v>42</v>
      </c>
      <c r="N188" s="448">
        <v>42181</v>
      </c>
    </row>
    <row r="189" spans="1:14">
      <c r="A189" s="562" t="s">
        <v>1386</v>
      </c>
      <c r="B189" s="560" t="s">
        <v>1127</v>
      </c>
      <c r="C189" s="193">
        <v>42170</v>
      </c>
      <c r="D189" s="193">
        <v>42170</v>
      </c>
      <c r="E189" s="562" t="s">
        <v>177</v>
      </c>
      <c r="F189" s="562" t="s">
        <v>1110</v>
      </c>
      <c r="G189" s="562" t="s">
        <v>1113</v>
      </c>
      <c r="H189" s="562">
        <v>350</v>
      </c>
      <c r="I189" s="560">
        <v>350</v>
      </c>
      <c r="J189" s="562"/>
      <c r="K189" s="562" t="s">
        <v>1112</v>
      </c>
      <c r="L189" s="447">
        <v>2</v>
      </c>
      <c r="M189" s="447">
        <v>8</v>
      </c>
      <c r="N189" s="448">
        <v>42171</v>
      </c>
    </row>
    <row r="190" spans="1:14">
      <c r="A190" s="577" t="s">
        <v>1386</v>
      </c>
      <c r="B190" s="560" t="s">
        <v>1127</v>
      </c>
      <c r="C190" s="193">
        <v>42170</v>
      </c>
      <c r="D190" s="193">
        <v>42170</v>
      </c>
      <c r="E190" s="562" t="s">
        <v>223</v>
      </c>
      <c r="F190" s="562" t="s">
        <v>1110</v>
      </c>
      <c r="G190" s="562" t="s">
        <v>1114</v>
      </c>
      <c r="H190" s="562">
        <v>262</v>
      </c>
      <c r="I190" s="560">
        <v>262</v>
      </c>
      <c r="J190" s="562"/>
      <c r="K190" s="377" t="s">
        <v>1112</v>
      </c>
      <c r="L190" s="449">
        <v>5</v>
      </c>
      <c r="M190" s="449">
        <v>35</v>
      </c>
      <c r="N190" s="448">
        <v>42173</v>
      </c>
    </row>
    <row r="191" spans="1:14">
      <c r="A191" s="562" t="s">
        <v>1386</v>
      </c>
      <c r="B191" s="560" t="s">
        <v>1127</v>
      </c>
      <c r="C191" s="193">
        <v>42170</v>
      </c>
      <c r="D191" s="193">
        <v>42170</v>
      </c>
      <c r="E191" s="562" t="s">
        <v>171</v>
      </c>
      <c r="F191" s="562" t="s">
        <v>1110</v>
      </c>
      <c r="G191" s="563" t="s">
        <v>1116</v>
      </c>
      <c r="H191" s="562">
        <v>57</v>
      </c>
      <c r="I191" s="560">
        <v>57</v>
      </c>
      <c r="J191" s="562"/>
      <c r="K191" s="562" t="s">
        <v>1112</v>
      </c>
      <c r="L191" s="447">
        <v>2</v>
      </c>
      <c r="M191" s="447">
        <v>8</v>
      </c>
      <c r="N191" s="448">
        <v>42181</v>
      </c>
    </row>
    <row r="192" spans="1:14">
      <c r="A192" s="562" t="s">
        <v>1386</v>
      </c>
      <c r="B192" s="560" t="s">
        <v>1127</v>
      </c>
      <c r="C192" s="193">
        <v>42170</v>
      </c>
      <c r="D192" s="193">
        <v>42170</v>
      </c>
      <c r="E192" s="564" t="s">
        <v>172</v>
      </c>
      <c r="F192" s="562" t="s">
        <v>1110</v>
      </c>
      <c r="G192" s="563" t="s">
        <v>1116</v>
      </c>
      <c r="H192" s="565">
        <v>34</v>
      </c>
      <c r="I192" s="564">
        <v>34</v>
      </c>
      <c r="J192" s="377"/>
      <c r="K192" s="562" t="s">
        <v>1112</v>
      </c>
      <c r="L192" s="566">
        <v>2</v>
      </c>
      <c r="M192" s="566">
        <v>8</v>
      </c>
      <c r="N192" s="448">
        <v>42181</v>
      </c>
    </row>
    <row r="193" spans="1:14" s="710" customFormat="1">
      <c r="A193" s="562" t="s">
        <v>1386</v>
      </c>
      <c r="B193" s="829" t="s">
        <v>1127</v>
      </c>
      <c r="C193" s="193">
        <v>42170</v>
      </c>
      <c r="D193" s="193">
        <v>42170</v>
      </c>
      <c r="E193" s="562" t="s">
        <v>176</v>
      </c>
      <c r="F193" s="562" t="s">
        <v>1110</v>
      </c>
      <c r="G193" s="562" t="s">
        <v>1117</v>
      </c>
      <c r="H193" s="354"/>
      <c r="I193" s="450">
        <v>4</v>
      </c>
      <c r="J193" s="562" t="s">
        <v>1121</v>
      </c>
      <c r="K193" s="562" t="s">
        <v>1118</v>
      </c>
      <c r="L193" s="447">
        <v>4</v>
      </c>
      <c r="M193" s="447"/>
      <c r="N193" s="448">
        <v>42179</v>
      </c>
    </row>
    <row r="194" spans="1:14">
      <c r="A194" s="577" t="s">
        <v>1392</v>
      </c>
      <c r="B194" s="560" t="s">
        <v>1109</v>
      </c>
      <c r="C194" s="193">
        <v>42191</v>
      </c>
      <c r="D194" s="193">
        <v>42191</v>
      </c>
      <c r="E194" s="561" t="s">
        <v>195</v>
      </c>
      <c r="F194" s="562" t="s">
        <v>1110</v>
      </c>
      <c r="G194" s="563" t="s">
        <v>1111</v>
      </c>
      <c r="H194" s="562">
        <v>826</v>
      </c>
      <c r="I194" s="560">
        <v>826</v>
      </c>
      <c r="J194" s="562"/>
      <c r="K194" s="377" t="s">
        <v>1112</v>
      </c>
      <c r="L194" s="447">
        <v>6</v>
      </c>
      <c r="M194" s="447">
        <v>42</v>
      </c>
      <c r="N194" s="448">
        <v>42193</v>
      </c>
    </row>
    <row r="195" spans="1:14">
      <c r="A195" s="577" t="s">
        <v>1392</v>
      </c>
      <c r="B195" s="560" t="s">
        <v>1109</v>
      </c>
      <c r="C195" s="193">
        <v>42191</v>
      </c>
      <c r="D195" s="193">
        <v>42191</v>
      </c>
      <c r="E195" s="562" t="s">
        <v>177</v>
      </c>
      <c r="F195" s="562" t="s">
        <v>1110</v>
      </c>
      <c r="G195" s="562" t="s">
        <v>1113</v>
      </c>
      <c r="H195" s="562">
        <v>420</v>
      </c>
      <c r="I195" s="560">
        <v>420</v>
      </c>
      <c r="J195" s="562"/>
      <c r="K195" s="562" t="s">
        <v>1112</v>
      </c>
      <c r="L195" s="447">
        <v>2</v>
      </c>
      <c r="M195" s="447">
        <v>8</v>
      </c>
      <c r="N195" s="448">
        <v>42192</v>
      </c>
    </row>
    <row r="196" spans="1:14">
      <c r="A196" s="577" t="s">
        <v>1392</v>
      </c>
      <c r="B196" s="560" t="s">
        <v>1109</v>
      </c>
      <c r="C196" s="193">
        <v>42191</v>
      </c>
      <c r="D196" s="193">
        <v>42191</v>
      </c>
      <c r="E196" s="562" t="s">
        <v>223</v>
      </c>
      <c r="F196" s="562" t="s">
        <v>1110</v>
      </c>
      <c r="G196" s="562" t="s">
        <v>1114</v>
      </c>
      <c r="H196" s="562">
        <v>50</v>
      </c>
      <c r="I196" s="560">
        <v>50</v>
      </c>
      <c r="J196" s="562"/>
      <c r="K196" s="377" t="s">
        <v>1112</v>
      </c>
      <c r="L196" s="449">
        <v>5</v>
      </c>
      <c r="M196" s="449">
        <v>35</v>
      </c>
      <c r="N196" s="448">
        <v>42195</v>
      </c>
    </row>
    <row r="197" spans="1:14">
      <c r="A197" s="577" t="s">
        <v>1392</v>
      </c>
      <c r="B197" s="560" t="s">
        <v>1109</v>
      </c>
      <c r="C197" s="193">
        <v>42191</v>
      </c>
      <c r="D197" s="193">
        <v>42191</v>
      </c>
      <c r="E197" s="562" t="s">
        <v>171</v>
      </c>
      <c r="F197" s="562" t="s">
        <v>1110</v>
      </c>
      <c r="G197" s="563" t="s">
        <v>1116</v>
      </c>
      <c r="H197" s="562">
        <v>63</v>
      </c>
      <c r="I197" s="560">
        <v>63</v>
      </c>
      <c r="J197" s="562"/>
      <c r="K197" s="562" t="s">
        <v>1112</v>
      </c>
      <c r="L197" s="447">
        <v>2</v>
      </c>
      <c r="M197" s="447">
        <v>8</v>
      </c>
      <c r="N197" s="448">
        <v>42193</v>
      </c>
    </row>
    <row r="198" spans="1:14">
      <c r="A198" s="562" t="s">
        <v>1392</v>
      </c>
      <c r="B198" s="560" t="s">
        <v>1109</v>
      </c>
      <c r="C198" s="193">
        <v>42191</v>
      </c>
      <c r="D198" s="193">
        <v>42191</v>
      </c>
      <c r="E198" s="564" t="s">
        <v>172</v>
      </c>
      <c r="F198" s="562" t="s">
        <v>1110</v>
      </c>
      <c r="G198" s="563" t="s">
        <v>1116</v>
      </c>
      <c r="H198" s="565">
        <v>19</v>
      </c>
      <c r="I198" s="564">
        <v>19</v>
      </c>
      <c r="J198" s="377"/>
      <c r="K198" s="562" t="s">
        <v>1112</v>
      </c>
      <c r="L198" s="566">
        <v>2</v>
      </c>
      <c r="M198" s="566">
        <v>8</v>
      </c>
      <c r="N198" s="448">
        <v>42193</v>
      </c>
    </row>
    <row r="199" spans="1:14">
      <c r="A199" s="577" t="s">
        <v>1392</v>
      </c>
      <c r="B199" s="560" t="s">
        <v>1109</v>
      </c>
      <c r="C199" s="193">
        <v>42191</v>
      </c>
      <c r="D199" s="193">
        <v>42191</v>
      </c>
      <c r="E199" s="562" t="s">
        <v>176</v>
      </c>
      <c r="F199" s="562" t="s">
        <v>1110</v>
      </c>
      <c r="G199" s="562" t="s">
        <v>1117</v>
      </c>
      <c r="H199" s="354">
        <v>29.8</v>
      </c>
      <c r="I199" s="450">
        <v>29.8</v>
      </c>
      <c r="J199" s="562"/>
      <c r="K199" s="562" t="s">
        <v>1118</v>
      </c>
      <c r="L199" s="447">
        <v>4</v>
      </c>
      <c r="M199" s="447"/>
      <c r="N199" s="448">
        <v>42194</v>
      </c>
    </row>
    <row r="200" spans="1:14">
      <c r="A200" s="559" t="s">
        <v>1393</v>
      </c>
      <c r="B200" s="560" t="s">
        <v>1120</v>
      </c>
      <c r="C200" s="193">
        <v>42191</v>
      </c>
      <c r="D200" s="193">
        <v>42191</v>
      </c>
      <c r="E200" s="561" t="s">
        <v>195</v>
      </c>
      <c r="F200" s="562" t="s">
        <v>1110</v>
      </c>
      <c r="G200" s="563" t="s">
        <v>1111</v>
      </c>
      <c r="H200" s="562">
        <v>460</v>
      </c>
      <c r="I200" s="560">
        <v>460</v>
      </c>
      <c r="J200" s="562"/>
      <c r="K200" s="377" t="s">
        <v>1112</v>
      </c>
      <c r="L200" s="447">
        <v>6</v>
      </c>
      <c r="M200" s="447">
        <v>42</v>
      </c>
      <c r="N200" s="448">
        <v>42193</v>
      </c>
    </row>
    <row r="201" spans="1:14">
      <c r="A201" s="577" t="s">
        <v>1393</v>
      </c>
      <c r="B201" s="560" t="s">
        <v>1120</v>
      </c>
      <c r="C201" s="193">
        <v>42191</v>
      </c>
      <c r="D201" s="193">
        <v>42191</v>
      </c>
      <c r="E201" s="562" t="s">
        <v>177</v>
      </c>
      <c r="F201" s="562" t="s">
        <v>1110</v>
      </c>
      <c r="G201" s="562" t="s">
        <v>1113</v>
      </c>
      <c r="H201" s="562">
        <v>244</v>
      </c>
      <c r="I201" s="560">
        <v>244</v>
      </c>
      <c r="J201" s="562"/>
      <c r="K201" s="562" t="s">
        <v>1112</v>
      </c>
      <c r="L201" s="447">
        <v>2</v>
      </c>
      <c r="M201" s="447">
        <v>8</v>
      </c>
      <c r="N201" s="448">
        <v>42192</v>
      </c>
    </row>
    <row r="202" spans="1:14">
      <c r="A202" s="577" t="s">
        <v>1393</v>
      </c>
      <c r="B202" s="560" t="s">
        <v>1120</v>
      </c>
      <c r="C202" s="193">
        <v>42191</v>
      </c>
      <c r="D202" s="193">
        <v>42191</v>
      </c>
      <c r="E202" s="562" t="s">
        <v>223</v>
      </c>
      <c r="F202" s="562" t="s">
        <v>1110</v>
      </c>
      <c r="G202" s="562" t="s">
        <v>1114</v>
      </c>
      <c r="H202" s="562">
        <v>32</v>
      </c>
      <c r="I202" s="560">
        <v>32</v>
      </c>
      <c r="J202" s="562" t="s">
        <v>1115</v>
      </c>
      <c r="K202" s="377" t="s">
        <v>1112</v>
      </c>
      <c r="L202" s="449">
        <v>5</v>
      </c>
      <c r="M202" s="449">
        <v>35</v>
      </c>
      <c r="N202" s="448">
        <v>42195</v>
      </c>
    </row>
    <row r="203" spans="1:14">
      <c r="A203" s="577" t="s">
        <v>1393</v>
      </c>
      <c r="B203" s="560" t="s">
        <v>1120</v>
      </c>
      <c r="C203" s="193">
        <v>42191</v>
      </c>
      <c r="D203" s="193">
        <v>42191</v>
      </c>
      <c r="E203" s="562" t="s">
        <v>171</v>
      </c>
      <c r="F203" s="562" t="s">
        <v>1110</v>
      </c>
      <c r="G203" s="563" t="s">
        <v>1116</v>
      </c>
      <c r="H203" s="562">
        <v>73</v>
      </c>
      <c r="I203" s="560">
        <v>73</v>
      </c>
      <c r="J203" s="562"/>
      <c r="K203" s="562" t="s">
        <v>1112</v>
      </c>
      <c r="L203" s="447">
        <v>2</v>
      </c>
      <c r="M203" s="447">
        <v>8</v>
      </c>
      <c r="N203" s="448">
        <v>42193</v>
      </c>
    </row>
    <row r="204" spans="1:14">
      <c r="A204" s="562" t="s">
        <v>1393</v>
      </c>
      <c r="B204" s="560" t="s">
        <v>1120</v>
      </c>
      <c r="C204" s="193">
        <v>42191</v>
      </c>
      <c r="D204" s="193">
        <v>42191</v>
      </c>
      <c r="E204" s="564" t="s">
        <v>172</v>
      </c>
      <c r="F204" s="562" t="s">
        <v>1110</v>
      </c>
      <c r="G204" s="563" t="s">
        <v>1116</v>
      </c>
      <c r="H204" s="565">
        <v>20</v>
      </c>
      <c r="I204" s="564">
        <v>20</v>
      </c>
      <c r="J204" s="377"/>
      <c r="K204" s="562" t="s">
        <v>1112</v>
      </c>
      <c r="L204" s="566">
        <v>2</v>
      </c>
      <c r="M204" s="566">
        <v>8</v>
      </c>
      <c r="N204" s="448">
        <v>42193</v>
      </c>
    </row>
    <row r="205" spans="1:14">
      <c r="A205" s="577" t="s">
        <v>1393</v>
      </c>
      <c r="B205" s="560" t="s">
        <v>1120</v>
      </c>
      <c r="C205" s="193">
        <v>42191</v>
      </c>
      <c r="D205" s="193">
        <v>42191</v>
      </c>
      <c r="E205" s="562" t="s">
        <v>176</v>
      </c>
      <c r="F205" s="562" t="s">
        <v>1110</v>
      </c>
      <c r="G205" s="562" t="s">
        <v>1117</v>
      </c>
      <c r="H205" s="354">
        <v>41.4</v>
      </c>
      <c r="I205" s="450">
        <v>41.4</v>
      </c>
      <c r="J205" s="562"/>
      <c r="K205" s="562" t="s">
        <v>1118</v>
      </c>
      <c r="L205" s="447">
        <v>4</v>
      </c>
      <c r="M205" s="447"/>
      <c r="N205" s="448">
        <v>42194</v>
      </c>
    </row>
    <row r="206" spans="1:14">
      <c r="A206" s="562" t="s">
        <v>1394</v>
      </c>
      <c r="B206" s="560">
        <v>45</v>
      </c>
      <c r="C206" s="193">
        <v>42191</v>
      </c>
      <c r="D206" s="193">
        <v>42191</v>
      </c>
      <c r="E206" s="561" t="s">
        <v>195</v>
      </c>
      <c r="F206" s="562" t="s">
        <v>1110</v>
      </c>
      <c r="G206" s="563" t="s">
        <v>1111</v>
      </c>
      <c r="H206" s="562">
        <v>593</v>
      </c>
      <c r="I206" s="560">
        <v>593</v>
      </c>
      <c r="J206" s="562"/>
      <c r="K206" s="377" t="s">
        <v>1112</v>
      </c>
      <c r="L206" s="447">
        <v>6</v>
      </c>
      <c r="M206" s="447">
        <v>42</v>
      </c>
      <c r="N206" s="448">
        <v>42193</v>
      </c>
    </row>
    <row r="207" spans="1:14">
      <c r="A207" s="559" t="s">
        <v>1394</v>
      </c>
      <c r="B207" s="560">
        <v>45</v>
      </c>
      <c r="C207" s="193">
        <v>42191</v>
      </c>
      <c r="D207" s="193">
        <v>42191</v>
      </c>
      <c r="E207" s="562" t="s">
        <v>177</v>
      </c>
      <c r="F207" s="562" t="s">
        <v>1110</v>
      </c>
      <c r="G207" s="562" t="s">
        <v>1113</v>
      </c>
      <c r="H207" s="562">
        <v>209</v>
      </c>
      <c r="I207" s="560">
        <v>209</v>
      </c>
      <c r="J207" s="562"/>
      <c r="K207" s="562" t="s">
        <v>1112</v>
      </c>
      <c r="L207" s="447">
        <v>2</v>
      </c>
      <c r="M207" s="447">
        <v>8</v>
      </c>
      <c r="N207" s="448">
        <v>42192</v>
      </c>
    </row>
    <row r="208" spans="1:14">
      <c r="A208" s="559" t="s">
        <v>1394</v>
      </c>
      <c r="B208" s="560">
        <v>45</v>
      </c>
      <c r="C208" s="193">
        <v>42191</v>
      </c>
      <c r="D208" s="193">
        <v>42191</v>
      </c>
      <c r="E208" s="562" t="s">
        <v>223</v>
      </c>
      <c r="F208" s="562" t="s">
        <v>1110</v>
      </c>
      <c r="G208" s="562" t="s">
        <v>1114</v>
      </c>
      <c r="H208" s="562">
        <v>107</v>
      </c>
      <c r="I208" s="560">
        <v>107</v>
      </c>
      <c r="J208" s="562"/>
      <c r="K208" s="377" t="s">
        <v>1112</v>
      </c>
      <c r="L208" s="449">
        <v>5</v>
      </c>
      <c r="M208" s="449">
        <v>35</v>
      </c>
      <c r="N208" s="448">
        <v>42195</v>
      </c>
    </row>
    <row r="209" spans="1:14">
      <c r="A209" s="559" t="s">
        <v>1394</v>
      </c>
      <c r="B209" s="560">
        <v>45</v>
      </c>
      <c r="C209" s="193">
        <v>42191</v>
      </c>
      <c r="D209" s="193">
        <v>42191</v>
      </c>
      <c r="E209" s="562" t="s">
        <v>171</v>
      </c>
      <c r="F209" s="562" t="s">
        <v>1110</v>
      </c>
      <c r="G209" s="563" t="s">
        <v>1116</v>
      </c>
      <c r="H209" s="562">
        <v>42</v>
      </c>
      <c r="I209" s="560">
        <v>42</v>
      </c>
      <c r="J209" s="562"/>
      <c r="K209" s="562" t="s">
        <v>1112</v>
      </c>
      <c r="L209" s="447">
        <v>2</v>
      </c>
      <c r="M209" s="447">
        <v>8</v>
      </c>
      <c r="N209" s="448">
        <v>42193</v>
      </c>
    </row>
    <row r="210" spans="1:14">
      <c r="A210" s="562" t="s">
        <v>1394</v>
      </c>
      <c r="B210" s="560">
        <v>45</v>
      </c>
      <c r="C210" s="193">
        <v>42191</v>
      </c>
      <c r="D210" s="193">
        <v>42191</v>
      </c>
      <c r="E210" s="564" t="s">
        <v>172</v>
      </c>
      <c r="F210" s="562" t="s">
        <v>1110</v>
      </c>
      <c r="G210" s="563" t="s">
        <v>1116</v>
      </c>
      <c r="H210" s="565">
        <v>25</v>
      </c>
      <c r="I210" s="564">
        <v>25</v>
      </c>
      <c r="J210" s="377"/>
      <c r="K210" s="562" t="s">
        <v>1112</v>
      </c>
      <c r="L210" s="566">
        <v>2</v>
      </c>
      <c r="M210" s="566">
        <v>8</v>
      </c>
      <c r="N210" s="448">
        <v>42193</v>
      </c>
    </row>
    <row r="211" spans="1:14">
      <c r="A211" s="559" t="s">
        <v>1394</v>
      </c>
      <c r="B211" s="560">
        <v>45</v>
      </c>
      <c r="C211" s="193">
        <v>42191</v>
      </c>
      <c r="D211" s="193">
        <v>42191</v>
      </c>
      <c r="E211" s="562" t="s">
        <v>176</v>
      </c>
      <c r="F211" s="562" t="s">
        <v>1110</v>
      </c>
      <c r="G211" s="562" t="s">
        <v>1117</v>
      </c>
      <c r="H211" s="354">
        <v>6.6</v>
      </c>
      <c r="I211" s="450">
        <v>6.6</v>
      </c>
      <c r="J211" s="562"/>
      <c r="K211" s="562" t="s">
        <v>1118</v>
      </c>
      <c r="L211" s="447">
        <v>4</v>
      </c>
      <c r="M211" s="447"/>
      <c r="N211" s="448">
        <v>42194</v>
      </c>
    </row>
    <row r="212" spans="1:14">
      <c r="A212" s="559" t="s">
        <v>1395</v>
      </c>
      <c r="B212" s="829" t="s">
        <v>1124</v>
      </c>
      <c r="C212" s="193">
        <v>42191</v>
      </c>
      <c r="D212" s="193">
        <v>42191</v>
      </c>
      <c r="E212" s="561" t="s">
        <v>195</v>
      </c>
      <c r="F212" s="562" t="s">
        <v>1110</v>
      </c>
      <c r="G212" s="563" t="s">
        <v>1111</v>
      </c>
      <c r="H212" s="562">
        <v>803</v>
      </c>
      <c r="I212" s="560">
        <v>803</v>
      </c>
      <c r="J212" s="562"/>
      <c r="K212" s="377" t="s">
        <v>1112</v>
      </c>
      <c r="L212" s="447">
        <v>6</v>
      </c>
      <c r="M212" s="447">
        <v>42</v>
      </c>
      <c r="N212" s="448">
        <v>42193</v>
      </c>
    </row>
    <row r="213" spans="1:14">
      <c r="A213" s="562" t="s">
        <v>1395</v>
      </c>
      <c r="B213" s="829" t="s">
        <v>1124</v>
      </c>
      <c r="C213" s="193">
        <v>42191</v>
      </c>
      <c r="D213" s="193">
        <v>42191</v>
      </c>
      <c r="E213" s="562" t="s">
        <v>177</v>
      </c>
      <c r="F213" s="562" t="s">
        <v>1110</v>
      </c>
      <c r="G213" s="562" t="s">
        <v>1113</v>
      </c>
      <c r="H213" s="562">
        <v>156</v>
      </c>
      <c r="I213" s="560">
        <v>156</v>
      </c>
      <c r="J213" s="562"/>
      <c r="K213" s="562" t="s">
        <v>1112</v>
      </c>
      <c r="L213" s="447">
        <v>2</v>
      </c>
      <c r="M213" s="447">
        <v>8</v>
      </c>
      <c r="N213" s="448">
        <v>42192</v>
      </c>
    </row>
    <row r="214" spans="1:14">
      <c r="A214" s="577" t="s">
        <v>1395</v>
      </c>
      <c r="B214" s="829" t="s">
        <v>1124</v>
      </c>
      <c r="C214" s="193">
        <v>42191</v>
      </c>
      <c r="D214" s="193">
        <v>42191</v>
      </c>
      <c r="E214" s="562" t="s">
        <v>223</v>
      </c>
      <c r="F214" s="562" t="s">
        <v>1110</v>
      </c>
      <c r="G214" s="562" t="s">
        <v>1114</v>
      </c>
      <c r="H214" s="562">
        <v>57</v>
      </c>
      <c r="I214" s="560">
        <v>57</v>
      </c>
      <c r="J214" s="562"/>
      <c r="K214" s="377" t="s">
        <v>1112</v>
      </c>
      <c r="L214" s="449">
        <v>5</v>
      </c>
      <c r="M214" s="449">
        <v>35</v>
      </c>
      <c r="N214" s="448">
        <v>42195</v>
      </c>
    </row>
    <row r="215" spans="1:14">
      <c r="A215" s="562" t="s">
        <v>1395</v>
      </c>
      <c r="B215" s="829" t="s">
        <v>1124</v>
      </c>
      <c r="C215" s="193">
        <v>42191</v>
      </c>
      <c r="D215" s="193">
        <v>42191</v>
      </c>
      <c r="E215" s="562" t="s">
        <v>171</v>
      </c>
      <c r="F215" s="562" t="s">
        <v>1110</v>
      </c>
      <c r="G215" s="563" t="s">
        <v>1116</v>
      </c>
      <c r="H215" s="562">
        <v>52</v>
      </c>
      <c r="I215" s="560">
        <v>52</v>
      </c>
      <c r="J215" s="562"/>
      <c r="K215" s="562" t="s">
        <v>1112</v>
      </c>
      <c r="L215" s="447">
        <v>2</v>
      </c>
      <c r="M215" s="447">
        <v>8</v>
      </c>
      <c r="N215" s="448">
        <v>42193</v>
      </c>
    </row>
    <row r="216" spans="1:14">
      <c r="A216" s="562" t="s">
        <v>1395</v>
      </c>
      <c r="B216" s="829" t="s">
        <v>1124</v>
      </c>
      <c r="C216" s="193">
        <v>42191</v>
      </c>
      <c r="D216" s="193">
        <v>42191</v>
      </c>
      <c r="E216" s="564" t="s">
        <v>172</v>
      </c>
      <c r="F216" s="562" t="s">
        <v>1110</v>
      </c>
      <c r="G216" s="563" t="s">
        <v>1116</v>
      </c>
      <c r="H216" s="565">
        <v>14</v>
      </c>
      <c r="I216" s="564">
        <v>14</v>
      </c>
      <c r="J216" s="377"/>
      <c r="K216" s="562" t="s">
        <v>1112</v>
      </c>
      <c r="L216" s="566">
        <v>2</v>
      </c>
      <c r="M216" s="566">
        <v>8</v>
      </c>
      <c r="N216" s="448">
        <v>42193</v>
      </c>
    </row>
    <row r="217" spans="1:14">
      <c r="A217" s="562" t="s">
        <v>1395</v>
      </c>
      <c r="B217" s="829" t="s">
        <v>1124</v>
      </c>
      <c r="C217" s="193">
        <v>42191</v>
      </c>
      <c r="D217" s="193">
        <v>42191</v>
      </c>
      <c r="E217" s="562" t="s">
        <v>176</v>
      </c>
      <c r="F217" s="562" t="s">
        <v>1110</v>
      </c>
      <c r="G217" s="562" t="s">
        <v>1117</v>
      </c>
      <c r="H217" s="354">
        <v>9.6</v>
      </c>
      <c r="I217" s="450">
        <v>9.6</v>
      </c>
      <c r="J217" s="562"/>
      <c r="K217" s="562" t="s">
        <v>1118</v>
      </c>
      <c r="L217" s="447">
        <v>4</v>
      </c>
      <c r="M217" s="447"/>
      <c r="N217" s="448">
        <v>42194</v>
      </c>
    </row>
    <row r="218" spans="1:14">
      <c r="A218" s="559" t="s">
        <v>1395</v>
      </c>
      <c r="B218" s="560" t="s">
        <v>1124</v>
      </c>
      <c r="C218" s="193">
        <v>42191</v>
      </c>
      <c r="D218" s="193">
        <v>42191</v>
      </c>
      <c r="E218" s="561" t="s">
        <v>173</v>
      </c>
      <c r="F218" s="559" t="s">
        <v>1110</v>
      </c>
      <c r="G218" s="567" t="s">
        <v>1125</v>
      </c>
      <c r="H218" s="254">
        <v>8.6</v>
      </c>
      <c r="I218" s="451">
        <v>8.6</v>
      </c>
      <c r="J218" s="568"/>
      <c r="K218" s="562" t="s">
        <v>1112</v>
      </c>
      <c r="L218" s="566">
        <v>0.1</v>
      </c>
      <c r="M218" s="566"/>
      <c r="N218" s="448">
        <v>42195</v>
      </c>
    </row>
    <row r="219" spans="1:14">
      <c r="A219" s="559" t="s">
        <v>1395</v>
      </c>
      <c r="B219" s="560" t="s">
        <v>1124</v>
      </c>
      <c r="C219" s="193">
        <v>42191</v>
      </c>
      <c r="D219" s="193">
        <v>42191</v>
      </c>
      <c r="E219" s="561" t="s">
        <v>173</v>
      </c>
      <c r="F219" s="559" t="s">
        <v>1110</v>
      </c>
      <c r="G219" s="567" t="s">
        <v>1125</v>
      </c>
      <c r="H219" s="254">
        <v>1.8</v>
      </c>
      <c r="I219" s="451">
        <v>1.8</v>
      </c>
      <c r="J219" s="568"/>
      <c r="K219" s="562" t="s">
        <v>1112</v>
      </c>
      <c r="L219" s="566">
        <v>0.1</v>
      </c>
      <c r="M219" s="566"/>
      <c r="N219" s="448">
        <v>42195</v>
      </c>
    </row>
    <row r="220" spans="1:14">
      <c r="A220" s="562" t="s">
        <v>1396</v>
      </c>
      <c r="B220" s="560" t="s">
        <v>1127</v>
      </c>
      <c r="C220" s="193">
        <v>42191</v>
      </c>
      <c r="D220" s="193">
        <v>42191</v>
      </c>
      <c r="E220" s="561" t="s">
        <v>195</v>
      </c>
      <c r="F220" s="562" t="s">
        <v>1110</v>
      </c>
      <c r="G220" s="563" t="s">
        <v>1111</v>
      </c>
      <c r="H220" s="562">
        <v>856</v>
      </c>
      <c r="I220" s="560">
        <v>856</v>
      </c>
      <c r="J220" s="562"/>
      <c r="K220" s="377" t="s">
        <v>1112</v>
      </c>
      <c r="L220" s="447">
        <v>6</v>
      </c>
      <c r="M220" s="447">
        <v>42</v>
      </c>
      <c r="N220" s="448">
        <v>42193</v>
      </c>
    </row>
    <row r="221" spans="1:14">
      <c r="A221" s="562" t="s">
        <v>1396</v>
      </c>
      <c r="B221" s="560" t="s">
        <v>1127</v>
      </c>
      <c r="C221" s="193">
        <v>42191</v>
      </c>
      <c r="D221" s="193">
        <v>42191</v>
      </c>
      <c r="E221" s="562" t="s">
        <v>177</v>
      </c>
      <c r="F221" s="562" t="s">
        <v>1110</v>
      </c>
      <c r="G221" s="562" t="s">
        <v>1113</v>
      </c>
      <c r="H221" s="562">
        <v>169</v>
      </c>
      <c r="I221" s="560">
        <v>169</v>
      </c>
      <c r="J221" s="562"/>
      <c r="K221" s="562" t="s">
        <v>1112</v>
      </c>
      <c r="L221" s="447">
        <v>2</v>
      </c>
      <c r="M221" s="447">
        <v>8</v>
      </c>
      <c r="N221" s="448">
        <v>42192</v>
      </c>
    </row>
    <row r="222" spans="1:14">
      <c r="A222" s="577" t="s">
        <v>1396</v>
      </c>
      <c r="B222" s="560" t="s">
        <v>1127</v>
      </c>
      <c r="C222" s="193">
        <v>42191</v>
      </c>
      <c r="D222" s="193">
        <v>42191</v>
      </c>
      <c r="E222" s="562" t="s">
        <v>223</v>
      </c>
      <c r="F222" s="562" t="s">
        <v>1110</v>
      </c>
      <c r="G222" s="562" t="s">
        <v>1114</v>
      </c>
      <c r="H222" s="562">
        <v>283</v>
      </c>
      <c r="I222" s="560">
        <v>283</v>
      </c>
      <c r="J222" s="562"/>
      <c r="K222" s="377" t="s">
        <v>1112</v>
      </c>
      <c r="L222" s="449">
        <v>5</v>
      </c>
      <c r="M222" s="449">
        <v>35</v>
      </c>
      <c r="N222" s="448">
        <v>42195</v>
      </c>
    </row>
    <row r="223" spans="1:14">
      <c r="A223" s="562" t="s">
        <v>1396</v>
      </c>
      <c r="B223" s="560" t="s">
        <v>1127</v>
      </c>
      <c r="C223" s="193">
        <v>42191</v>
      </c>
      <c r="D223" s="193">
        <v>42191</v>
      </c>
      <c r="E223" s="562" t="s">
        <v>171</v>
      </c>
      <c r="F223" s="562" t="s">
        <v>1110</v>
      </c>
      <c r="G223" s="563" t="s">
        <v>1116</v>
      </c>
      <c r="H223" s="562">
        <v>126</v>
      </c>
      <c r="I223" s="560">
        <v>126</v>
      </c>
      <c r="J223" s="562"/>
      <c r="K223" s="562" t="s">
        <v>1112</v>
      </c>
      <c r="L223" s="447">
        <v>2</v>
      </c>
      <c r="M223" s="447">
        <v>8</v>
      </c>
      <c r="N223" s="448">
        <v>42193</v>
      </c>
    </row>
    <row r="224" spans="1:14">
      <c r="A224" s="562" t="s">
        <v>1396</v>
      </c>
      <c r="B224" s="560" t="s">
        <v>1127</v>
      </c>
      <c r="C224" s="193">
        <v>42191</v>
      </c>
      <c r="D224" s="193">
        <v>42191</v>
      </c>
      <c r="E224" s="564" t="s">
        <v>172</v>
      </c>
      <c r="F224" s="562" t="s">
        <v>1110</v>
      </c>
      <c r="G224" s="563" t="s">
        <v>1116</v>
      </c>
      <c r="H224" s="565">
        <v>47</v>
      </c>
      <c r="I224" s="564">
        <v>47</v>
      </c>
      <c r="J224" s="377"/>
      <c r="K224" s="562" t="s">
        <v>1112</v>
      </c>
      <c r="L224" s="566">
        <v>2</v>
      </c>
      <c r="M224" s="566">
        <v>8</v>
      </c>
      <c r="N224" s="448">
        <v>42193</v>
      </c>
    </row>
    <row r="225" spans="1:14" s="710" customFormat="1">
      <c r="A225" s="562" t="s">
        <v>1396</v>
      </c>
      <c r="B225" s="829" t="s">
        <v>1127</v>
      </c>
      <c r="C225" s="193">
        <v>42191</v>
      </c>
      <c r="D225" s="193">
        <v>42191</v>
      </c>
      <c r="E225" s="562" t="s">
        <v>176</v>
      </c>
      <c r="F225" s="562" t="s">
        <v>1110</v>
      </c>
      <c r="G225" s="562" t="s">
        <v>1117</v>
      </c>
      <c r="H225" s="354">
        <v>6.2</v>
      </c>
      <c r="I225" s="450">
        <v>6.2</v>
      </c>
      <c r="J225" s="562"/>
      <c r="K225" s="562" t="s">
        <v>1118</v>
      </c>
      <c r="L225" s="447">
        <v>4</v>
      </c>
      <c r="M225" s="447"/>
      <c r="N225" s="448">
        <v>42194</v>
      </c>
    </row>
    <row r="226" spans="1:14">
      <c r="A226" s="577" t="s">
        <v>1401</v>
      </c>
      <c r="B226" s="560" t="s">
        <v>1109</v>
      </c>
      <c r="C226" s="193">
        <v>42205</v>
      </c>
      <c r="D226" s="193">
        <v>42205</v>
      </c>
      <c r="E226" s="561" t="s">
        <v>195</v>
      </c>
      <c r="F226" s="562" t="s">
        <v>1110</v>
      </c>
      <c r="G226" s="563" t="s">
        <v>1111</v>
      </c>
      <c r="H226" s="562">
        <v>754</v>
      </c>
      <c r="I226" s="560">
        <v>754</v>
      </c>
      <c r="J226" s="562"/>
      <c r="K226" s="377" t="s">
        <v>1112</v>
      </c>
      <c r="L226" s="447">
        <v>6</v>
      </c>
      <c r="M226" s="447">
        <v>42</v>
      </c>
      <c r="N226" s="448">
        <v>42207</v>
      </c>
    </row>
    <row r="227" spans="1:14">
      <c r="A227" s="577" t="s">
        <v>1401</v>
      </c>
      <c r="B227" s="560" t="s">
        <v>1109</v>
      </c>
      <c r="C227" s="193">
        <v>42205</v>
      </c>
      <c r="D227" s="193">
        <v>42205</v>
      </c>
      <c r="E227" s="562" t="s">
        <v>177</v>
      </c>
      <c r="F227" s="562" t="s">
        <v>1110</v>
      </c>
      <c r="G227" s="562" t="s">
        <v>1113</v>
      </c>
      <c r="H227" s="562">
        <v>379</v>
      </c>
      <c r="I227" s="560">
        <v>379</v>
      </c>
      <c r="J227" s="562"/>
      <c r="K227" s="562" t="s">
        <v>1112</v>
      </c>
      <c r="L227" s="447">
        <v>2</v>
      </c>
      <c r="M227" s="447">
        <v>8</v>
      </c>
      <c r="N227" s="448">
        <v>42208</v>
      </c>
    </row>
    <row r="228" spans="1:14">
      <c r="A228" s="577" t="s">
        <v>1401</v>
      </c>
      <c r="B228" s="560" t="s">
        <v>1109</v>
      </c>
      <c r="C228" s="193">
        <v>42205</v>
      </c>
      <c r="D228" s="193">
        <v>42205</v>
      </c>
      <c r="E228" s="562" t="s">
        <v>223</v>
      </c>
      <c r="F228" s="562" t="s">
        <v>1110</v>
      </c>
      <c r="G228" s="562" t="s">
        <v>1114</v>
      </c>
      <c r="H228" s="562">
        <v>23</v>
      </c>
      <c r="I228" s="560">
        <v>23</v>
      </c>
      <c r="J228" s="562" t="s">
        <v>1115</v>
      </c>
      <c r="K228" s="377" t="s">
        <v>1112</v>
      </c>
      <c r="L228" s="449">
        <v>5</v>
      </c>
      <c r="M228" s="449">
        <v>35</v>
      </c>
      <c r="N228" s="448">
        <v>42209</v>
      </c>
    </row>
    <row r="229" spans="1:14">
      <c r="A229" s="577" t="s">
        <v>1401</v>
      </c>
      <c r="B229" s="560" t="s">
        <v>1109</v>
      </c>
      <c r="C229" s="193">
        <v>42205</v>
      </c>
      <c r="D229" s="193">
        <v>42205</v>
      </c>
      <c r="E229" s="562" t="s">
        <v>171</v>
      </c>
      <c r="F229" s="562" t="s">
        <v>1110</v>
      </c>
      <c r="G229" s="563" t="s">
        <v>1116</v>
      </c>
      <c r="H229" s="562">
        <v>40</v>
      </c>
      <c r="I229" s="560">
        <v>40</v>
      </c>
      <c r="J229" s="562"/>
      <c r="K229" s="562" t="s">
        <v>1112</v>
      </c>
      <c r="L229" s="447">
        <v>2</v>
      </c>
      <c r="M229" s="447">
        <v>8</v>
      </c>
      <c r="N229" s="448">
        <v>42207</v>
      </c>
    </row>
    <row r="230" spans="1:14">
      <c r="A230" s="562" t="s">
        <v>1401</v>
      </c>
      <c r="B230" s="560" t="s">
        <v>1109</v>
      </c>
      <c r="C230" s="193">
        <v>42205</v>
      </c>
      <c r="D230" s="193">
        <v>42205</v>
      </c>
      <c r="E230" s="564" t="s">
        <v>172</v>
      </c>
      <c r="F230" s="562" t="s">
        <v>1110</v>
      </c>
      <c r="G230" s="563" t="s">
        <v>1116</v>
      </c>
      <c r="H230" s="565">
        <v>24</v>
      </c>
      <c r="I230" s="564">
        <v>24</v>
      </c>
      <c r="J230" s="377"/>
      <c r="K230" s="562" t="s">
        <v>1112</v>
      </c>
      <c r="L230" s="566">
        <v>2</v>
      </c>
      <c r="M230" s="566">
        <v>8</v>
      </c>
      <c r="N230" s="448">
        <v>42207</v>
      </c>
    </row>
    <row r="231" spans="1:14">
      <c r="A231" s="577" t="s">
        <v>1401</v>
      </c>
      <c r="B231" s="560" t="s">
        <v>1109</v>
      </c>
      <c r="C231" s="193">
        <v>42205</v>
      </c>
      <c r="D231" s="193">
        <v>42205</v>
      </c>
      <c r="E231" s="562" t="s">
        <v>176</v>
      </c>
      <c r="F231" s="562" t="s">
        <v>1110</v>
      </c>
      <c r="G231" s="562" t="s">
        <v>1117</v>
      </c>
      <c r="H231" s="354">
        <v>9.6</v>
      </c>
      <c r="I231" s="450">
        <v>9.6</v>
      </c>
      <c r="J231" s="562"/>
      <c r="K231" s="562" t="s">
        <v>1118</v>
      </c>
      <c r="L231" s="447">
        <v>4</v>
      </c>
      <c r="M231" s="447"/>
      <c r="N231" s="448">
        <v>42212</v>
      </c>
    </row>
    <row r="232" spans="1:14">
      <c r="A232" s="559" t="s">
        <v>1402</v>
      </c>
      <c r="B232" s="560" t="s">
        <v>1120</v>
      </c>
      <c r="C232" s="193">
        <v>42205</v>
      </c>
      <c r="D232" s="193">
        <v>42205</v>
      </c>
      <c r="E232" s="561" t="s">
        <v>195</v>
      </c>
      <c r="F232" s="562" t="s">
        <v>1110</v>
      </c>
      <c r="G232" s="563" t="s">
        <v>1111</v>
      </c>
      <c r="H232" s="562">
        <v>422</v>
      </c>
      <c r="I232" s="560">
        <v>422</v>
      </c>
      <c r="J232" s="562"/>
      <c r="K232" s="377" t="s">
        <v>1112</v>
      </c>
      <c r="L232" s="447">
        <v>6</v>
      </c>
      <c r="M232" s="447">
        <v>42</v>
      </c>
      <c r="N232" s="448">
        <v>42207</v>
      </c>
    </row>
    <row r="233" spans="1:14">
      <c r="A233" s="577" t="s">
        <v>1402</v>
      </c>
      <c r="B233" s="560" t="s">
        <v>1120</v>
      </c>
      <c r="C233" s="193">
        <v>42205</v>
      </c>
      <c r="D233" s="193">
        <v>42205</v>
      </c>
      <c r="E233" s="562" t="s">
        <v>177</v>
      </c>
      <c r="F233" s="562" t="s">
        <v>1110</v>
      </c>
      <c r="G233" s="562" t="s">
        <v>1113</v>
      </c>
      <c r="H233" s="562">
        <v>250</v>
      </c>
      <c r="I233" s="560">
        <v>250</v>
      </c>
      <c r="J233" s="562"/>
      <c r="K233" s="562" t="s">
        <v>1112</v>
      </c>
      <c r="L233" s="447">
        <v>2</v>
      </c>
      <c r="M233" s="447">
        <v>8</v>
      </c>
      <c r="N233" s="448">
        <v>42208</v>
      </c>
    </row>
    <row r="234" spans="1:14">
      <c r="A234" s="577" t="s">
        <v>1402</v>
      </c>
      <c r="B234" s="560" t="s">
        <v>1120</v>
      </c>
      <c r="C234" s="193">
        <v>42205</v>
      </c>
      <c r="D234" s="193">
        <v>42205</v>
      </c>
      <c r="E234" s="562" t="s">
        <v>223</v>
      </c>
      <c r="F234" s="562" t="s">
        <v>1110</v>
      </c>
      <c r="G234" s="562" t="s">
        <v>1114</v>
      </c>
      <c r="H234" s="562">
        <v>25</v>
      </c>
      <c r="I234" s="560">
        <v>25</v>
      </c>
      <c r="J234" s="562" t="s">
        <v>1115</v>
      </c>
      <c r="K234" s="377" t="s">
        <v>1112</v>
      </c>
      <c r="L234" s="449">
        <v>5</v>
      </c>
      <c r="M234" s="449">
        <v>35</v>
      </c>
      <c r="N234" s="448">
        <v>42209</v>
      </c>
    </row>
    <row r="235" spans="1:14">
      <c r="A235" s="577" t="s">
        <v>1402</v>
      </c>
      <c r="B235" s="560" t="s">
        <v>1120</v>
      </c>
      <c r="C235" s="193">
        <v>42205</v>
      </c>
      <c r="D235" s="193">
        <v>42205</v>
      </c>
      <c r="E235" s="562" t="s">
        <v>171</v>
      </c>
      <c r="F235" s="562" t="s">
        <v>1110</v>
      </c>
      <c r="G235" s="563" t="s">
        <v>1116</v>
      </c>
      <c r="H235" s="562">
        <v>30</v>
      </c>
      <c r="I235" s="560">
        <v>30</v>
      </c>
      <c r="J235" s="562"/>
      <c r="K235" s="562" t="s">
        <v>1112</v>
      </c>
      <c r="L235" s="447">
        <v>2</v>
      </c>
      <c r="M235" s="447">
        <v>8</v>
      </c>
      <c r="N235" s="448">
        <v>42207</v>
      </c>
    </row>
    <row r="236" spans="1:14">
      <c r="A236" s="562" t="s">
        <v>1402</v>
      </c>
      <c r="B236" s="560" t="s">
        <v>1120</v>
      </c>
      <c r="C236" s="193">
        <v>42205</v>
      </c>
      <c r="D236" s="193">
        <v>42205</v>
      </c>
      <c r="E236" s="564" t="s">
        <v>172</v>
      </c>
      <c r="F236" s="562" t="s">
        <v>1110</v>
      </c>
      <c r="G236" s="563" t="s">
        <v>1116</v>
      </c>
      <c r="H236" s="565">
        <v>10</v>
      </c>
      <c r="I236" s="564">
        <v>10</v>
      </c>
      <c r="J236" s="377"/>
      <c r="K236" s="562" t="s">
        <v>1112</v>
      </c>
      <c r="L236" s="566">
        <v>2</v>
      </c>
      <c r="M236" s="566">
        <v>8</v>
      </c>
      <c r="N236" s="448">
        <v>42207</v>
      </c>
    </row>
    <row r="237" spans="1:14">
      <c r="A237" s="577" t="s">
        <v>1402</v>
      </c>
      <c r="B237" s="560" t="s">
        <v>1120</v>
      </c>
      <c r="C237" s="193">
        <v>42205</v>
      </c>
      <c r="D237" s="193">
        <v>42205</v>
      </c>
      <c r="E237" s="562" t="s">
        <v>176</v>
      </c>
      <c r="F237" s="562" t="s">
        <v>1110</v>
      </c>
      <c r="G237" s="562" t="s">
        <v>1117</v>
      </c>
      <c r="H237" s="354">
        <v>10.4</v>
      </c>
      <c r="I237" s="450">
        <v>10.4</v>
      </c>
      <c r="J237" s="562"/>
      <c r="K237" s="562" t="s">
        <v>1118</v>
      </c>
      <c r="L237" s="447">
        <v>4</v>
      </c>
      <c r="M237" s="447"/>
      <c r="N237" s="448">
        <v>42212</v>
      </c>
    </row>
    <row r="238" spans="1:14">
      <c r="A238" s="562" t="s">
        <v>1403</v>
      </c>
      <c r="B238" s="560">
        <v>45</v>
      </c>
      <c r="C238" s="193">
        <v>42205</v>
      </c>
      <c r="D238" s="193">
        <v>42205</v>
      </c>
      <c r="E238" s="561" t="s">
        <v>195</v>
      </c>
      <c r="F238" s="562" t="s">
        <v>1110</v>
      </c>
      <c r="G238" s="563" t="s">
        <v>1111</v>
      </c>
      <c r="H238" s="562">
        <v>506</v>
      </c>
      <c r="I238" s="560">
        <v>506</v>
      </c>
      <c r="J238" s="562"/>
      <c r="K238" s="377" t="s">
        <v>1112</v>
      </c>
      <c r="L238" s="447">
        <v>6</v>
      </c>
      <c r="M238" s="447">
        <v>42</v>
      </c>
      <c r="N238" s="448">
        <v>42207</v>
      </c>
    </row>
    <row r="239" spans="1:14">
      <c r="A239" s="559" t="s">
        <v>1403</v>
      </c>
      <c r="B239" s="560">
        <v>45</v>
      </c>
      <c r="C239" s="193">
        <v>42205</v>
      </c>
      <c r="D239" s="193">
        <v>42205</v>
      </c>
      <c r="E239" s="562" t="s">
        <v>177</v>
      </c>
      <c r="F239" s="562" t="s">
        <v>1110</v>
      </c>
      <c r="G239" s="562" t="s">
        <v>1113</v>
      </c>
      <c r="H239" s="562">
        <v>149</v>
      </c>
      <c r="I239" s="560">
        <v>149</v>
      </c>
      <c r="J239" s="562"/>
      <c r="K239" s="562" t="s">
        <v>1112</v>
      </c>
      <c r="L239" s="447">
        <v>2</v>
      </c>
      <c r="M239" s="447">
        <v>8</v>
      </c>
      <c r="N239" s="448">
        <v>42208</v>
      </c>
    </row>
    <row r="240" spans="1:14">
      <c r="A240" s="559" t="s">
        <v>1403</v>
      </c>
      <c r="B240" s="560">
        <v>45</v>
      </c>
      <c r="C240" s="193">
        <v>42205</v>
      </c>
      <c r="D240" s="193">
        <v>42205</v>
      </c>
      <c r="E240" s="562" t="s">
        <v>223</v>
      </c>
      <c r="F240" s="562" t="s">
        <v>1110</v>
      </c>
      <c r="G240" s="562" t="s">
        <v>1114</v>
      </c>
      <c r="H240" s="562">
        <v>43</v>
      </c>
      <c r="I240" s="560">
        <v>43</v>
      </c>
      <c r="J240" s="562"/>
      <c r="K240" s="377" t="s">
        <v>1112</v>
      </c>
      <c r="L240" s="449">
        <v>5</v>
      </c>
      <c r="M240" s="449">
        <v>35</v>
      </c>
      <c r="N240" s="448">
        <v>42209</v>
      </c>
    </row>
    <row r="241" spans="1:14">
      <c r="A241" s="559" t="s">
        <v>1403</v>
      </c>
      <c r="B241" s="560">
        <v>45</v>
      </c>
      <c r="C241" s="193">
        <v>42205</v>
      </c>
      <c r="D241" s="193">
        <v>42205</v>
      </c>
      <c r="E241" s="562" t="s">
        <v>171</v>
      </c>
      <c r="F241" s="562" t="s">
        <v>1110</v>
      </c>
      <c r="G241" s="563" t="s">
        <v>1116</v>
      </c>
      <c r="H241" s="562">
        <v>34</v>
      </c>
      <c r="I241" s="560">
        <v>34</v>
      </c>
      <c r="J241" s="562"/>
      <c r="K241" s="562" t="s">
        <v>1112</v>
      </c>
      <c r="L241" s="447">
        <v>2</v>
      </c>
      <c r="M241" s="447">
        <v>8</v>
      </c>
      <c r="N241" s="448">
        <v>42207</v>
      </c>
    </row>
    <row r="242" spans="1:14">
      <c r="A242" s="562" t="s">
        <v>1403</v>
      </c>
      <c r="B242" s="560">
        <v>45</v>
      </c>
      <c r="C242" s="193">
        <v>42205</v>
      </c>
      <c r="D242" s="193">
        <v>42205</v>
      </c>
      <c r="E242" s="564" t="s">
        <v>172</v>
      </c>
      <c r="F242" s="562" t="s">
        <v>1110</v>
      </c>
      <c r="G242" s="563" t="s">
        <v>1116</v>
      </c>
      <c r="H242" s="565">
        <v>14</v>
      </c>
      <c r="I242" s="564">
        <v>14</v>
      </c>
      <c r="J242" s="377"/>
      <c r="K242" s="562" t="s">
        <v>1112</v>
      </c>
      <c r="L242" s="566">
        <v>2</v>
      </c>
      <c r="M242" s="566">
        <v>8</v>
      </c>
      <c r="N242" s="448">
        <v>42207</v>
      </c>
    </row>
    <row r="243" spans="1:14">
      <c r="A243" s="559" t="s">
        <v>1403</v>
      </c>
      <c r="B243" s="560">
        <v>45</v>
      </c>
      <c r="C243" s="193">
        <v>42205</v>
      </c>
      <c r="D243" s="193">
        <v>42205</v>
      </c>
      <c r="E243" s="562" t="s">
        <v>176</v>
      </c>
      <c r="F243" s="562" t="s">
        <v>1110</v>
      </c>
      <c r="G243" s="562" t="s">
        <v>1117</v>
      </c>
      <c r="H243" s="354">
        <v>8.1999999999999993</v>
      </c>
      <c r="I243" s="450">
        <v>8.1999999999999993</v>
      </c>
      <c r="J243" s="562"/>
      <c r="K243" s="562" t="s">
        <v>1118</v>
      </c>
      <c r="L243" s="447">
        <v>4</v>
      </c>
      <c r="M243" s="447"/>
      <c r="N243" s="448">
        <v>42212</v>
      </c>
    </row>
    <row r="244" spans="1:14">
      <c r="A244" s="559" t="s">
        <v>1404</v>
      </c>
      <c r="B244" s="829" t="s">
        <v>1124</v>
      </c>
      <c r="C244" s="193">
        <v>42205</v>
      </c>
      <c r="D244" s="193">
        <v>42205</v>
      </c>
      <c r="E244" s="561" t="s">
        <v>195</v>
      </c>
      <c r="F244" s="562" t="s">
        <v>1110</v>
      </c>
      <c r="G244" s="563" t="s">
        <v>1111</v>
      </c>
      <c r="H244" s="562">
        <v>694</v>
      </c>
      <c r="I244" s="560">
        <v>694</v>
      </c>
      <c r="J244" s="562"/>
      <c r="K244" s="377" t="s">
        <v>1112</v>
      </c>
      <c r="L244" s="447">
        <v>6</v>
      </c>
      <c r="M244" s="447">
        <v>42</v>
      </c>
      <c r="N244" s="448">
        <v>42207</v>
      </c>
    </row>
    <row r="245" spans="1:14">
      <c r="A245" s="562" t="s">
        <v>1404</v>
      </c>
      <c r="B245" s="829" t="s">
        <v>1124</v>
      </c>
      <c r="C245" s="193">
        <v>42205</v>
      </c>
      <c r="D245" s="193">
        <v>42205</v>
      </c>
      <c r="E245" s="562" t="s">
        <v>177</v>
      </c>
      <c r="F245" s="562" t="s">
        <v>1110</v>
      </c>
      <c r="G245" s="562" t="s">
        <v>1113</v>
      </c>
      <c r="H245" s="562">
        <v>33</v>
      </c>
      <c r="I245" s="560">
        <v>33</v>
      </c>
      <c r="J245" s="562"/>
      <c r="K245" s="562" t="s">
        <v>1112</v>
      </c>
      <c r="L245" s="447">
        <v>2</v>
      </c>
      <c r="M245" s="447">
        <v>8</v>
      </c>
      <c r="N245" s="448">
        <v>42208</v>
      </c>
    </row>
    <row r="246" spans="1:14">
      <c r="A246" s="577" t="s">
        <v>1404</v>
      </c>
      <c r="B246" s="829" t="s">
        <v>1124</v>
      </c>
      <c r="C246" s="193">
        <v>42205</v>
      </c>
      <c r="D246" s="193">
        <v>42205</v>
      </c>
      <c r="E246" s="562" t="s">
        <v>223</v>
      </c>
      <c r="F246" s="562" t="s">
        <v>1110</v>
      </c>
      <c r="G246" s="562" t="s">
        <v>1114</v>
      </c>
      <c r="H246" s="562">
        <v>51</v>
      </c>
      <c r="I246" s="560">
        <v>51</v>
      </c>
      <c r="J246" s="562"/>
      <c r="K246" s="377" t="s">
        <v>1112</v>
      </c>
      <c r="L246" s="449">
        <v>5</v>
      </c>
      <c r="M246" s="449">
        <v>35</v>
      </c>
      <c r="N246" s="448">
        <v>42209</v>
      </c>
    </row>
    <row r="247" spans="1:14">
      <c r="A247" s="562" t="s">
        <v>1404</v>
      </c>
      <c r="B247" s="829" t="s">
        <v>1124</v>
      </c>
      <c r="C247" s="193">
        <v>42205</v>
      </c>
      <c r="D247" s="193">
        <v>42205</v>
      </c>
      <c r="E247" s="562" t="s">
        <v>171</v>
      </c>
      <c r="F247" s="562" t="s">
        <v>1110</v>
      </c>
      <c r="G247" s="563" t="s">
        <v>1116</v>
      </c>
      <c r="H247" s="562">
        <v>67</v>
      </c>
      <c r="I247" s="560">
        <v>67</v>
      </c>
      <c r="J247" s="562"/>
      <c r="K247" s="562" t="s">
        <v>1112</v>
      </c>
      <c r="L247" s="447">
        <v>2</v>
      </c>
      <c r="M247" s="447">
        <v>8</v>
      </c>
      <c r="N247" s="448">
        <v>42207</v>
      </c>
    </row>
    <row r="248" spans="1:14">
      <c r="A248" s="562" t="s">
        <v>1404</v>
      </c>
      <c r="B248" s="829" t="s">
        <v>1124</v>
      </c>
      <c r="C248" s="193">
        <v>42205</v>
      </c>
      <c r="D248" s="193">
        <v>42205</v>
      </c>
      <c r="E248" s="564" t="s">
        <v>172</v>
      </c>
      <c r="F248" s="562" t="s">
        <v>1110</v>
      </c>
      <c r="G248" s="563" t="s">
        <v>1116</v>
      </c>
      <c r="H248" s="565">
        <v>4</v>
      </c>
      <c r="I248" s="564">
        <v>4</v>
      </c>
      <c r="J248" s="377" t="s">
        <v>1115</v>
      </c>
      <c r="K248" s="562" t="s">
        <v>1112</v>
      </c>
      <c r="L248" s="566">
        <v>2</v>
      </c>
      <c r="M248" s="566">
        <v>8</v>
      </c>
      <c r="N248" s="448">
        <v>42215</v>
      </c>
    </row>
    <row r="249" spans="1:14">
      <c r="A249" s="562" t="s">
        <v>1404</v>
      </c>
      <c r="B249" s="829" t="s">
        <v>1124</v>
      </c>
      <c r="C249" s="193">
        <v>42205</v>
      </c>
      <c r="D249" s="193">
        <v>42205</v>
      </c>
      <c r="E249" s="562" t="s">
        <v>176</v>
      </c>
      <c r="F249" s="562" t="s">
        <v>1110</v>
      </c>
      <c r="G249" s="562" t="s">
        <v>1117</v>
      </c>
      <c r="H249" s="354">
        <v>5.2</v>
      </c>
      <c r="I249" s="450">
        <v>5.2</v>
      </c>
      <c r="J249" s="562"/>
      <c r="K249" s="562" t="s">
        <v>1118</v>
      </c>
      <c r="L249" s="447">
        <v>4</v>
      </c>
      <c r="M249" s="447"/>
      <c r="N249" s="448">
        <v>42212</v>
      </c>
    </row>
    <row r="250" spans="1:14">
      <c r="A250" s="559" t="s">
        <v>1404</v>
      </c>
      <c r="B250" s="560" t="s">
        <v>1124</v>
      </c>
      <c r="C250" s="193">
        <v>42205</v>
      </c>
      <c r="D250" s="193">
        <v>42205</v>
      </c>
      <c r="E250" s="561" t="s">
        <v>173</v>
      </c>
      <c r="F250" s="559" t="s">
        <v>1110</v>
      </c>
      <c r="G250" s="567" t="s">
        <v>1125</v>
      </c>
      <c r="H250" s="254">
        <v>15.3</v>
      </c>
      <c r="I250" s="451">
        <v>15.3</v>
      </c>
      <c r="J250" s="568"/>
      <c r="K250" s="562" t="s">
        <v>1112</v>
      </c>
      <c r="L250" s="566">
        <v>0.1</v>
      </c>
      <c r="M250" s="566"/>
      <c r="N250" s="448">
        <v>42209</v>
      </c>
    </row>
    <row r="251" spans="1:14">
      <c r="A251" s="559" t="s">
        <v>1404</v>
      </c>
      <c r="B251" s="560" t="s">
        <v>1124</v>
      </c>
      <c r="C251" s="193">
        <v>42205</v>
      </c>
      <c r="D251" s="193">
        <v>42205</v>
      </c>
      <c r="E251" s="561" t="s">
        <v>173</v>
      </c>
      <c r="F251" s="559" t="s">
        <v>1110</v>
      </c>
      <c r="G251" s="567" t="s">
        <v>1125</v>
      </c>
      <c r="H251" s="254">
        <v>15</v>
      </c>
      <c r="I251" s="451">
        <v>15</v>
      </c>
      <c r="J251" s="568"/>
      <c r="K251" s="562" t="s">
        <v>1112</v>
      </c>
      <c r="L251" s="566">
        <v>0.1</v>
      </c>
      <c r="M251" s="566"/>
      <c r="N251" s="448">
        <v>42209</v>
      </c>
    </row>
    <row r="252" spans="1:14">
      <c r="A252" s="562" t="s">
        <v>1405</v>
      </c>
      <c r="B252" s="560" t="s">
        <v>1127</v>
      </c>
      <c r="C252" s="193">
        <v>42205</v>
      </c>
      <c r="D252" s="193">
        <v>42205</v>
      </c>
      <c r="E252" s="561" t="s">
        <v>195</v>
      </c>
      <c r="F252" s="562" t="s">
        <v>1110</v>
      </c>
      <c r="G252" s="563" t="s">
        <v>1111</v>
      </c>
      <c r="H252" s="562">
        <v>709</v>
      </c>
      <c r="I252" s="560">
        <v>709</v>
      </c>
      <c r="J252" s="562"/>
      <c r="K252" s="377" t="s">
        <v>1112</v>
      </c>
      <c r="L252" s="447">
        <v>6</v>
      </c>
      <c r="M252" s="447">
        <v>42</v>
      </c>
      <c r="N252" s="448">
        <v>42207</v>
      </c>
    </row>
    <row r="253" spans="1:14">
      <c r="A253" s="562" t="s">
        <v>1405</v>
      </c>
      <c r="B253" s="560" t="s">
        <v>1127</v>
      </c>
      <c r="C253" s="193">
        <v>42205</v>
      </c>
      <c r="D253" s="193">
        <v>42205</v>
      </c>
      <c r="E253" s="562" t="s">
        <v>177</v>
      </c>
      <c r="F253" s="562" t="s">
        <v>1110</v>
      </c>
      <c r="G253" s="562" t="s">
        <v>1113</v>
      </c>
      <c r="H253" s="562">
        <v>152</v>
      </c>
      <c r="I253" s="560">
        <v>152</v>
      </c>
      <c r="J253" s="562"/>
      <c r="K253" s="562" t="s">
        <v>1112</v>
      </c>
      <c r="L253" s="447">
        <v>2</v>
      </c>
      <c r="M253" s="447">
        <v>8</v>
      </c>
      <c r="N253" s="448">
        <v>42208</v>
      </c>
    </row>
    <row r="254" spans="1:14">
      <c r="A254" s="577" t="s">
        <v>1405</v>
      </c>
      <c r="B254" s="560" t="s">
        <v>1127</v>
      </c>
      <c r="C254" s="193">
        <v>42205</v>
      </c>
      <c r="D254" s="193">
        <v>42205</v>
      </c>
      <c r="E254" s="562" t="s">
        <v>223</v>
      </c>
      <c r="F254" s="562" t="s">
        <v>1110</v>
      </c>
      <c r="G254" s="562" t="s">
        <v>1114</v>
      </c>
      <c r="H254" s="562">
        <v>290</v>
      </c>
      <c r="I254" s="560">
        <v>290</v>
      </c>
      <c r="J254" s="562"/>
      <c r="K254" s="377" t="s">
        <v>1112</v>
      </c>
      <c r="L254" s="449">
        <v>5</v>
      </c>
      <c r="M254" s="449">
        <v>35</v>
      </c>
      <c r="N254" s="448">
        <v>42209</v>
      </c>
    </row>
    <row r="255" spans="1:14">
      <c r="A255" s="562" t="s">
        <v>1405</v>
      </c>
      <c r="B255" s="560" t="s">
        <v>1127</v>
      </c>
      <c r="C255" s="193">
        <v>42205</v>
      </c>
      <c r="D255" s="193">
        <v>42205</v>
      </c>
      <c r="E255" s="562" t="s">
        <v>171</v>
      </c>
      <c r="F255" s="562" t="s">
        <v>1110</v>
      </c>
      <c r="G255" s="563" t="s">
        <v>1116</v>
      </c>
      <c r="H255" s="562">
        <v>66</v>
      </c>
      <c r="I255" s="560">
        <v>66</v>
      </c>
      <c r="J255" s="562"/>
      <c r="K255" s="562" t="s">
        <v>1112</v>
      </c>
      <c r="L255" s="447">
        <v>2</v>
      </c>
      <c r="M255" s="447">
        <v>8</v>
      </c>
      <c r="N255" s="448">
        <v>42207</v>
      </c>
    </row>
    <row r="256" spans="1:14">
      <c r="A256" s="562" t="s">
        <v>1405</v>
      </c>
      <c r="B256" s="560" t="s">
        <v>1127</v>
      </c>
      <c r="C256" s="193">
        <v>42205</v>
      </c>
      <c r="D256" s="193">
        <v>42205</v>
      </c>
      <c r="E256" s="564" t="s">
        <v>172</v>
      </c>
      <c r="F256" s="562" t="s">
        <v>1110</v>
      </c>
      <c r="G256" s="563" t="s">
        <v>1116</v>
      </c>
      <c r="H256" s="565">
        <v>31</v>
      </c>
      <c r="I256" s="564">
        <v>31</v>
      </c>
      <c r="J256" s="377"/>
      <c r="K256" s="562" t="s">
        <v>1112</v>
      </c>
      <c r="L256" s="566">
        <v>2</v>
      </c>
      <c r="M256" s="566">
        <v>8</v>
      </c>
      <c r="N256" s="448">
        <v>42207</v>
      </c>
    </row>
    <row r="257" spans="1:14" s="710" customFormat="1">
      <c r="A257" s="562" t="s">
        <v>1405</v>
      </c>
      <c r="B257" s="829" t="s">
        <v>1127</v>
      </c>
      <c r="C257" s="193">
        <v>42205</v>
      </c>
      <c r="D257" s="193">
        <v>42205</v>
      </c>
      <c r="E257" s="562" t="s">
        <v>176</v>
      </c>
      <c r="F257" s="562" t="s">
        <v>1110</v>
      </c>
      <c r="G257" s="562" t="s">
        <v>1117</v>
      </c>
      <c r="H257" s="354">
        <v>8</v>
      </c>
      <c r="I257" s="450">
        <v>8</v>
      </c>
      <c r="J257" s="562"/>
      <c r="K257" s="562" t="s">
        <v>1118</v>
      </c>
      <c r="L257" s="447">
        <v>4</v>
      </c>
      <c r="M257" s="447"/>
      <c r="N257" s="448">
        <v>42212</v>
      </c>
    </row>
    <row r="258" spans="1:14">
      <c r="A258" s="577" t="s">
        <v>1406</v>
      </c>
      <c r="B258" s="560" t="s">
        <v>1109</v>
      </c>
      <c r="C258" s="193">
        <v>42227</v>
      </c>
      <c r="D258" s="193">
        <v>42227</v>
      </c>
      <c r="E258" s="561" t="s">
        <v>195</v>
      </c>
      <c r="F258" s="562" t="s">
        <v>1110</v>
      </c>
      <c r="G258" s="563" t="s">
        <v>1111</v>
      </c>
      <c r="H258" s="562">
        <v>1552</v>
      </c>
      <c r="I258" s="560">
        <v>1552</v>
      </c>
      <c r="J258" s="562"/>
      <c r="K258" s="377" t="s">
        <v>1112</v>
      </c>
      <c r="L258" s="447">
        <v>6</v>
      </c>
      <c r="M258" s="447">
        <v>42</v>
      </c>
      <c r="N258" s="448">
        <v>42230</v>
      </c>
    </row>
    <row r="259" spans="1:14">
      <c r="A259" s="577" t="s">
        <v>1406</v>
      </c>
      <c r="B259" s="560" t="s">
        <v>1109</v>
      </c>
      <c r="C259" s="193">
        <v>42227</v>
      </c>
      <c r="D259" s="193">
        <v>42227</v>
      </c>
      <c r="E259" s="562" t="s">
        <v>177</v>
      </c>
      <c r="F259" s="562" t="s">
        <v>1110</v>
      </c>
      <c r="G259" s="562" t="s">
        <v>1113</v>
      </c>
      <c r="H259" s="562">
        <v>534</v>
      </c>
      <c r="I259" s="560">
        <v>534</v>
      </c>
      <c r="J259" s="562"/>
      <c r="K259" s="562" t="s">
        <v>1112</v>
      </c>
      <c r="L259" s="447">
        <v>2</v>
      </c>
      <c r="M259" s="447">
        <v>8</v>
      </c>
      <c r="N259" s="448">
        <v>42228</v>
      </c>
    </row>
    <row r="260" spans="1:14">
      <c r="A260" s="577" t="s">
        <v>1406</v>
      </c>
      <c r="B260" s="560" t="s">
        <v>1109</v>
      </c>
      <c r="C260" s="193">
        <v>42227</v>
      </c>
      <c r="D260" s="193">
        <v>42227</v>
      </c>
      <c r="E260" s="562" t="s">
        <v>223</v>
      </c>
      <c r="F260" s="562" t="s">
        <v>1110</v>
      </c>
      <c r="G260" s="562" t="s">
        <v>1114</v>
      </c>
      <c r="H260" s="562">
        <v>101</v>
      </c>
      <c r="I260" s="560">
        <v>101</v>
      </c>
      <c r="J260" s="562"/>
      <c r="K260" s="377" t="s">
        <v>1112</v>
      </c>
      <c r="L260" s="449">
        <v>5</v>
      </c>
      <c r="M260" s="449">
        <v>35</v>
      </c>
      <c r="N260" s="448">
        <v>42229</v>
      </c>
    </row>
    <row r="261" spans="1:14">
      <c r="A261" s="577" t="s">
        <v>1406</v>
      </c>
      <c r="B261" s="560" t="s">
        <v>1109</v>
      </c>
      <c r="C261" s="193">
        <v>42227</v>
      </c>
      <c r="D261" s="193">
        <v>42227</v>
      </c>
      <c r="E261" s="562" t="s">
        <v>171</v>
      </c>
      <c r="F261" s="562" t="s">
        <v>1110</v>
      </c>
      <c r="G261" s="563" t="s">
        <v>1116</v>
      </c>
      <c r="H261" s="562">
        <v>277</v>
      </c>
      <c r="I261" s="560">
        <v>277</v>
      </c>
      <c r="J261" s="562"/>
      <c r="K261" s="562" t="s">
        <v>1112</v>
      </c>
      <c r="L261" s="447">
        <v>2</v>
      </c>
      <c r="M261" s="447">
        <v>8</v>
      </c>
      <c r="N261" s="448">
        <v>42230</v>
      </c>
    </row>
    <row r="262" spans="1:14">
      <c r="A262" s="562" t="s">
        <v>1406</v>
      </c>
      <c r="B262" s="560" t="s">
        <v>1109</v>
      </c>
      <c r="C262" s="193">
        <v>42227</v>
      </c>
      <c r="D262" s="193">
        <v>42227</v>
      </c>
      <c r="E262" s="564" t="s">
        <v>172</v>
      </c>
      <c r="F262" s="562" t="s">
        <v>1110</v>
      </c>
      <c r="G262" s="563" t="s">
        <v>1116</v>
      </c>
      <c r="H262" s="565">
        <v>16</v>
      </c>
      <c r="I262" s="564">
        <v>16</v>
      </c>
      <c r="J262" s="377"/>
      <c r="K262" s="562" t="s">
        <v>1112</v>
      </c>
      <c r="L262" s="566">
        <v>2</v>
      </c>
      <c r="M262" s="566">
        <v>8</v>
      </c>
      <c r="N262" s="448">
        <v>42230</v>
      </c>
    </row>
    <row r="263" spans="1:14">
      <c r="A263" s="577" t="s">
        <v>1406</v>
      </c>
      <c r="B263" s="560" t="s">
        <v>1109</v>
      </c>
      <c r="C263" s="193">
        <v>42227</v>
      </c>
      <c r="D263" s="193">
        <v>42227</v>
      </c>
      <c r="E263" s="562" t="s">
        <v>176</v>
      </c>
      <c r="F263" s="562" t="s">
        <v>1110</v>
      </c>
      <c r="G263" s="562" t="s">
        <v>1117</v>
      </c>
      <c r="H263" s="354">
        <v>110.4</v>
      </c>
      <c r="I263" s="450">
        <v>110.4</v>
      </c>
      <c r="J263" s="562"/>
      <c r="K263" s="562" t="s">
        <v>1118</v>
      </c>
      <c r="L263" s="447">
        <v>4</v>
      </c>
      <c r="M263" s="447"/>
      <c r="N263" s="448">
        <v>42229</v>
      </c>
    </row>
    <row r="264" spans="1:14">
      <c r="A264" s="559" t="s">
        <v>1407</v>
      </c>
      <c r="B264" s="560" t="s">
        <v>1120</v>
      </c>
      <c r="C264" s="193">
        <v>42227</v>
      </c>
      <c r="D264" s="193">
        <v>42227</v>
      </c>
      <c r="E264" s="561" t="s">
        <v>195</v>
      </c>
      <c r="F264" s="562" t="s">
        <v>1110</v>
      </c>
      <c r="G264" s="563" t="s">
        <v>1111</v>
      </c>
      <c r="H264" s="562">
        <v>488</v>
      </c>
      <c r="I264" s="560">
        <v>488</v>
      </c>
      <c r="J264" s="562"/>
      <c r="K264" s="377" t="s">
        <v>1112</v>
      </c>
      <c r="L264" s="447">
        <v>6</v>
      </c>
      <c r="M264" s="447">
        <v>42</v>
      </c>
      <c r="N264" s="448">
        <v>42230</v>
      </c>
    </row>
    <row r="265" spans="1:14">
      <c r="A265" s="577" t="s">
        <v>1407</v>
      </c>
      <c r="B265" s="560" t="s">
        <v>1120</v>
      </c>
      <c r="C265" s="193">
        <v>42227</v>
      </c>
      <c r="D265" s="193">
        <v>42227</v>
      </c>
      <c r="E265" s="562" t="s">
        <v>177</v>
      </c>
      <c r="F265" s="562" t="s">
        <v>1110</v>
      </c>
      <c r="G265" s="562" t="s">
        <v>1113</v>
      </c>
      <c r="H265" s="562">
        <v>320</v>
      </c>
      <c r="I265" s="560">
        <v>320</v>
      </c>
      <c r="J265" s="562"/>
      <c r="K265" s="562" t="s">
        <v>1112</v>
      </c>
      <c r="L265" s="447">
        <v>2</v>
      </c>
      <c r="M265" s="447">
        <v>8</v>
      </c>
      <c r="N265" s="448">
        <v>42228</v>
      </c>
    </row>
    <row r="266" spans="1:14">
      <c r="A266" s="577" t="s">
        <v>1407</v>
      </c>
      <c r="B266" s="560" t="s">
        <v>1120</v>
      </c>
      <c r="C266" s="193">
        <v>42227</v>
      </c>
      <c r="D266" s="193">
        <v>42227</v>
      </c>
      <c r="E266" s="562" t="s">
        <v>223</v>
      </c>
      <c r="F266" s="562" t="s">
        <v>1110</v>
      </c>
      <c r="G266" s="562" t="s">
        <v>1114</v>
      </c>
      <c r="H266" s="562">
        <v>68</v>
      </c>
      <c r="I266" s="560">
        <v>68</v>
      </c>
      <c r="J266" s="562"/>
      <c r="K266" s="377" t="s">
        <v>1112</v>
      </c>
      <c r="L266" s="449">
        <v>5</v>
      </c>
      <c r="M266" s="449">
        <v>35</v>
      </c>
      <c r="N266" s="448">
        <v>42229</v>
      </c>
    </row>
    <row r="267" spans="1:14">
      <c r="A267" s="577" t="s">
        <v>1407</v>
      </c>
      <c r="B267" s="560" t="s">
        <v>1120</v>
      </c>
      <c r="C267" s="193">
        <v>42227</v>
      </c>
      <c r="D267" s="193">
        <v>42227</v>
      </c>
      <c r="E267" s="562" t="s">
        <v>171</v>
      </c>
      <c r="F267" s="562" t="s">
        <v>1110</v>
      </c>
      <c r="G267" s="563" t="s">
        <v>1116</v>
      </c>
      <c r="H267" s="562">
        <v>38</v>
      </c>
      <c r="I267" s="560">
        <v>38</v>
      </c>
      <c r="J267" s="562"/>
      <c r="K267" s="562" t="s">
        <v>1112</v>
      </c>
      <c r="L267" s="447">
        <v>2</v>
      </c>
      <c r="M267" s="447">
        <v>8</v>
      </c>
      <c r="N267" s="448">
        <v>42230</v>
      </c>
    </row>
    <row r="268" spans="1:14">
      <c r="A268" s="562" t="s">
        <v>1407</v>
      </c>
      <c r="B268" s="560" t="s">
        <v>1120</v>
      </c>
      <c r="C268" s="193">
        <v>42227</v>
      </c>
      <c r="D268" s="193">
        <v>42227</v>
      </c>
      <c r="E268" s="564" t="s">
        <v>172</v>
      </c>
      <c r="F268" s="562" t="s">
        <v>1110</v>
      </c>
      <c r="G268" s="563" t="s">
        <v>1116</v>
      </c>
      <c r="H268" s="565">
        <v>8</v>
      </c>
      <c r="I268" s="564">
        <v>8</v>
      </c>
      <c r="J268" s="377" t="s">
        <v>1115</v>
      </c>
      <c r="K268" s="562" t="s">
        <v>1112</v>
      </c>
      <c r="L268" s="566">
        <v>2</v>
      </c>
      <c r="M268" s="566">
        <v>8</v>
      </c>
      <c r="N268" s="448">
        <v>42230</v>
      </c>
    </row>
    <row r="269" spans="1:14">
      <c r="A269" s="577" t="s">
        <v>1407</v>
      </c>
      <c r="B269" s="560" t="s">
        <v>1120</v>
      </c>
      <c r="C269" s="193">
        <v>42227</v>
      </c>
      <c r="D269" s="193">
        <v>42227</v>
      </c>
      <c r="E269" s="562" t="s">
        <v>176</v>
      </c>
      <c r="F269" s="562" t="s">
        <v>1110</v>
      </c>
      <c r="G269" s="562" t="s">
        <v>1117</v>
      </c>
      <c r="H269" s="354">
        <v>16.399999999999999</v>
      </c>
      <c r="I269" s="450">
        <v>16.399999999999999</v>
      </c>
      <c r="J269" s="562"/>
      <c r="K269" s="562" t="s">
        <v>1118</v>
      </c>
      <c r="L269" s="447">
        <v>4</v>
      </c>
      <c r="M269" s="447"/>
      <c r="N269" s="448">
        <v>42229</v>
      </c>
    </row>
    <row r="270" spans="1:14">
      <c r="A270" s="562" t="s">
        <v>1408</v>
      </c>
      <c r="B270" s="560">
        <v>45</v>
      </c>
      <c r="C270" s="193">
        <v>42227</v>
      </c>
      <c r="D270" s="193">
        <v>42227</v>
      </c>
      <c r="E270" s="561" t="s">
        <v>195</v>
      </c>
      <c r="F270" s="562" t="s">
        <v>1110</v>
      </c>
      <c r="G270" s="563" t="s">
        <v>1111</v>
      </c>
      <c r="H270" s="562">
        <v>614</v>
      </c>
      <c r="I270" s="560">
        <v>614</v>
      </c>
      <c r="J270" s="562"/>
      <c r="K270" s="377" t="s">
        <v>1112</v>
      </c>
      <c r="L270" s="447">
        <v>6</v>
      </c>
      <c r="M270" s="447">
        <v>42</v>
      </c>
      <c r="N270" s="448">
        <v>42230</v>
      </c>
    </row>
    <row r="271" spans="1:14">
      <c r="A271" s="559" t="s">
        <v>1408</v>
      </c>
      <c r="B271" s="560">
        <v>45</v>
      </c>
      <c r="C271" s="193">
        <v>42227</v>
      </c>
      <c r="D271" s="193">
        <v>42227</v>
      </c>
      <c r="E271" s="562" t="s">
        <v>177</v>
      </c>
      <c r="F271" s="562" t="s">
        <v>1110</v>
      </c>
      <c r="G271" s="562" t="s">
        <v>1113</v>
      </c>
      <c r="H271" s="562">
        <v>236</v>
      </c>
      <c r="I271" s="560">
        <v>236</v>
      </c>
      <c r="J271" s="562"/>
      <c r="K271" s="562" t="s">
        <v>1112</v>
      </c>
      <c r="L271" s="447">
        <v>2</v>
      </c>
      <c r="M271" s="447">
        <v>8</v>
      </c>
      <c r="N271" s="448">
        <v>42228</v>
      </c>
    </row>
    <row r="272" spans="1:14">
      <c r="A272" s="559" t="s">
        <v>1408</v>
      </c>
      <c r="B272" s="560">
        <v>45</v>
      </c>
      <c r="C272" s="193">
        <v>42227</v>
      </c>
      <c r="D272" s="193">
        <v>42227</v>
      </c>
      <c r="E272" s="562" t="s">
        <v>223</v>
      </c>
      <c r="F272" s="562" t="s">
        <v>1110</v>
      </c>
      <c r="G272" s="562" t="s">
        <v>1114</v>
      </c>
      <c r="H272" s="562">
        <v>78</v>
      </c>
      <c r="I272" s="560">
        <v>78</v>
      </c>
      <c r="J272" s="562"/>
      <c r="K272" s="377" t="s">
        <v>1112</v>
      </c>
      <c r="L272" s="449">
        <v>5</v>
      </c>
      <c r="M272" s="449">
        <v>35</v>
      </c>
      <c r="N272" s="448">
        <v>42229</v>
      </c>
    </row>
    <row r="273" spans="1:14">
      <c r="A273" s="559" t="s">
        <v>1408</v>
      </c>
      <c r="B273" s="560">
        <v>45</v>
      </c>
      <c r="C273" s="193">
        <v>42227</v>
      </c>
      <c r="D273" s="193">
        <v>42227</v>
      </c>
      <c r="E273" s="562" t="s">
        <v>171</v>
      </c>
      <c r="F273" s="562" t="s">
        <v>1110</v>
      </c>
      <c r="G273" s="563" t="s">
        <v>1116</v>
      </c>
      <c r="H273" s="562">
        <v>28</v>
      </c>
      <c r="I273" s="560">
        <v>28</v>
      </c>
      <c r="J273" s="562"/>
      <c r="K273" s="562" t="s">
        <v>1112</v>
      </c>
      <c r="L273" s="447">
        <v>2</v>
      </c>
      <c r="M273" s="447">
        <v>8</v>
      </c>
      <c r="N273" s="448">
        <v>42230</v>
      </c>
    </row>
    <row r="274" spans="1:14">
      <c r="A274" s="562" t="s">
        <v>1408</v>
      </c>
      <c r="B274" s="560">
        <v>45</v>
      </c>
      <c r="C274" s="193">
        <v>42227</v>
      </c>
      <c r="D274" s="193">
        <v>42227</v>
      </c>
      <c r="E274" s="564" t="s">
        <v>172</v>
      </c>
      <c r="F274" s="562" t="s">
        <v>1110</v>
      </c>
      <c r="G274" s="563" t="s">
        <v>1116</v>
      </c>
      <c r="H274" s="565"/>
      <c r="I274" s="564">
        <v>2</v>
      </c>
      <c r="J274" s="377" t="s">
        <v>1121</v>
      </c>
      <c r="K274" s="562" t="s">
        <v>1112</v>
      </c>
      <c r="L274" s="566">
        <v>2</v>
      </c>
      <c r="M274" s="566">
        <v>8</v>
      </c>
      <c r="N274" s="448">
        <v>42230</v>
      </c>
    </row>
    <row r="275" spans="1:14">
      <c r="A275" s="559" t="s">
        <v>1408</v>
      </c>
      <c r="B275" s="560">
        <v>45</v>
      </c>
      <c r="C275" s="193">
        <v>42227</v>
      </c>
      <c r="D275" s="193">
        <v>42227</v>
      </c>
      <c r="E275" s="562" t="s">
        <v>176</v>
      </c>
      <c r="F275" s="562" t="s">
        <v>1110</v>
      </c>
      <c r="G275" s="562" t="s">
        <v>1117</v>
      </c>
      <c r="H275" s="354">
        <v>10.199999999999999</v>
      </c>
      <c r="I275" s="450">
        <v>10.199999999999999</v>
      </c>
      <c r="J275" s="562"/>
      <c r="K275" s="562" t="s">
        <v>1118</v>
      </c>
      <c r="L275" s="447">
        <v>4</v>
      </c>
      <c r="M275" s="447"/>
      <c r="N275" s="448">
        <v>42229</v>
      </c>
    </row>
    <row r="276" spans="1:14">
      <c r="A276" s="559" t="s">
        <v>1409</v>
      </c>
      <c r="B276" s="829" t="s">
        <v>1124</v>
      </c>
      <c r="C276" s="193">
        <v>42227</v>
      </c>
      <c r="D276" s="193">
        <v>42227</v>
      </c>
      <c r="E276" s="561" t="s">
        <v>195</v>
      </c>
      <c r="F276" s="562" t="s">
        <v>1110</v>
      </c>
      <c r="G276" s="563" t="s">
        <v>1111</v>
      </c>
      <c r="H276" s="562">
        <v>777</v>
      </c>
      <c r="I276" s="560">
        <v>777</v>
      </c>
      <c r="J276" s="562"/>
      <c r="K276" s="377" t="s">
        <v>1112</v>
      </c>
      <c r="L276" s="447">
        <v>6</v>
      </c>
      <c r="M276" s="447">
        <v>42</v>
      </c>
      <c r="N276" s="448">
        <v>42230</v>
      </c>
    </row>
    <row r="277" spans="1:14">
      <c r="A277" s="562" t="s">
        <v>1409</v>
      </c>
      <c r="B277" s="829" t="s">
        <v>1124</v>
      </c>
      <c r="C277" s="193">
        <v>42227</v>
      </c>
      <c r="D277" s="193">
        <v>42227</v>
      </c>
      <c r="E277" s="562" t="s">
        <v>177</v>
      </c>
      <c r="F277" s="562" t="s">
        <v>1110</v>
      </c>
      <c r="G277" s="562" t="s">
        <v>1113</v>
      </c>
      <c r="H277" s="562">
        <v>221</v>
      </c>
      <c r="I277" s="560">
        <v>221</v>
      </c>
      <c r="J277" s="562"/>
      <c r="K277" s="562" t="s">
        <v>1112</v>
      </c>
      <c r="L277" s="447">
        <v>2</v>
      </c>
      <c r="M277" s="447">
        <v>8</v>
      </c>
      <c r="N277" s="448">
        <v>42228</v>
      </c>
    </row>
    <row r="278" spans="1:14">
      <c r="A278" s="577" t="s">
        <v>1409</v>
      </c>
      <c r="B278" s="829" t="s">
        <v>1124</v>
      </c>
      <c r="C278" s="193">
        <v>42227</v>
      </c>
      <c r="D278" s="193">
        <v>42227</v>
      </c>
      <c r="E278" s="562" t="s">
        <v>223</v>
      </c>
      <c r="F278" s="562" t="s">
        <v>1110</v>
      </c>
      <c r="G278" s="562" t="s">
        <v>1114</v>
      </c>
      <c r="H278" s="562">
        <v>73</v>
      </c>
      <c r="I278" s="560">
        <v>73</v>
      </c>
      <c r="J278" s="562"/>
      <c r="K278" s="377" t="s">
        <v>1112</v>
      </c>
      <c r="L278" s="449">
        <v>5</v>
      </c>
      <c r="M278" s="449">
        <v>35</v>
      </c>
      <c r="N278" s="448">
        <v>42229</v>
      </c>
    </row>
    <row r="279" spans="1:14">
      <c r="A279" s="562" t="s">
        <v>1409</v>
      </c>
      <c r="B279" s="829" t="s">
        <v>1124</v>
      </c>
      <c r="C279" s="193">
        <v>42227</v>
      </c>
      <c r="D279" s="193">
        <v>42227</v>
      </c>
      <c r="E279" s="562" t="s">
        <v>171</v>
      </c>
      <c r="F279" s="562" t="s">
        <v>1110</v>
      </c>
      <c r="G279" s="563" t="s">
        <v>1116</v>
      </c>
      <c r="H279" s="562">
        <v>43</v>
      </c>
      <c r="I279" s="560">
        <v>43</v>
      </c>
      <c r="J279" s="562"/>
      <c r="K279" s="562" t="s">
        <v>1112</v>
      </c>
      <c r="L279" s="447">
        <v>2</v>
      </c>
      <c r="M279" s="447">
        <v>8</v>
      </c>
      <c r="N279" s="448">
        <v>42230</v>
      </c>
    </row>
    <row r="280" spans="1:14">
      <c r="A280" s="562" t="s">
        <v>1409</v>
      </c>
      <c r="B280" s="829" t="s">
        <v>1124</v>
      </c>
      <c r="C280" s="193">
        <v>42227</v>
      </c>
      <c r="D280" s="193">
        <v>42227</v>
      </c>
      <c r="E280" s="564" t="s">
        <v>172</v>
      </c>
      <c r="F280" s="562" t="s">
        <v>1110</v>
      </c>
      <c r="G280" s="563" t="s">
        <v>1116</v>
      </c>
      <c r="H280" s="565"/>
      <c r="I280" s="564">
        <v>2</v>
      </c>
      <c r="J280" s="377" t="s">
        <v>1121</v>
      </c>
      <c r="K280" s="562" t="s">
        <v>1112</v>
      </c>
      <c r="L280" s="566">
        <v>2</v>
      </c>
      <c r="M280" s="566">
        <v>8</v>
      </c>
      <c r="N280" s="448">
        <v>42230</v>
      </c>
    </row>
    <row r="281" spans="1:14">
      <c r="A281" s="562" t="s">
        <v>1409</v>
      </c>
      <c r="B281" s="829" t="s">
        <v>1124</v>
      </c>
      <c r="C281" s="193">
        <v>42227</v>
      </c>
      <c r="D281" s="193">
        <v>42227</v>
      </c>
      <c r="E281" s="562" t="s">
        <v>176</v>
      </c>
      <c r="F281" s="562" t="s">
        <v>1110</v>
      </c>
      <c r="G281" s="562" t="s">
        <v>1117</v>
      </c>
      <c r="H281" s="354">
        <v>8.6</v>
      </c>
      <c r="I281" s="450">
        <v>8.6</v>
      </c>
      <c r="J281" s="562"/>
      <c r="K281" s="562" t="s">
        <v>1118</v>
      </c>
      <c r="L281" s="447">
        <v>4</v>
      </c>
      <c r="M281" s="447"/>
      <c r="N281" s="448">
        <v>42229</v>
      </c>
    </row>
    <row r="282" spans="1:14">
      <c r="A282" s="559" t="s">
        <v>1409</v>
      </c>
      <c r="B282" s="560" t="s">
        <v>1124</v>
      </c>
      <c r="C282" s="193">
        <v>42227</v>
      </c>
      <c r="D282" s="193">
        <v>42227</v>
      </c>
      <c r="E282" s="561" t="s">
        <v>173</v>
      </c>
      <c r="F282" s="559" t="s">
        <v>1110</v>
      </c>
      <c r="G282" s="567" t="s">
        <v>1125</v>
      </c>
      <c r="H282" s="254">
        <v>22.9</v>
      </c>
      <c r="I282" s="451">
        <v>22.9</v>
      </c>
      <c r="J282" s="568"/>
      <c r="K282" s="562" t="s">
        <v>1112</v>
      </c>
      <c r="L282" s="566">
        <v>0.1</v>
      </c>
      <c r="M282" s="566"/>
      <c r="N282" s="448">
        <v>42233</v>
      </c>
    </row>
    <row r="283" spans="1:14">
      <c r="A283" s="559" t="s">
        <v>1409</v>
      </c>
      <c r="B283" s="560" t="s">
        <v>1124</v>
      </c>
      <c r="C283" s="193">
        <v>42227</v>
      </c>
      <c r="D283" s="193">
        <v>42227</v>
      </c>
      <c r="E283" s="561" t="s">
        <v>173</v>
      </c>
      <c r="F283" s="559" t="s">
        <v>1110</v>
      </c>
      <c r="G283" s="567" t="s">
        <v>1125</v>
      </c>
      <c r="H283" s="254">
        <v>22.9</v>
      </c>
      <c r="I283" s="451">
        <v>22.9</v>
      </c>
      <c r="J283" s="568"/>
      <c r="K283" s="562" t="s">
        <v>1112</v>
      </c>
      <c r="L283" s="566">
        <v>0.1</v>
      </c>
      <c r="M283" s="566"/>
      <c r="N283" s="448">
        <v>42233</v>
      </c>
    </row>
    <row r="284" spans="1:14">
      <c r="A284" s="562" t="s">
        <v>1410</v>
      </c>
      <c r="B284" s="560" t="s">
        <v>1127</v>
      </c>
      <c r="C284" s="193">
        <v>42227</v>
      </c>
      <c r="D284" s="193">
        <v>42227</v>
      </c>
      <c r="E284" s="561" t="s">
        <v>195</v>
      </c>
      <c r="F284" s="562" t="s">
        <v>1110</v>
      </c>
      <c r="G284" s="563" t="s">
        <v>1111</v>
      </c>
      <c r="H284" s="562">
        <v>759</v>
      </c>
      <c r="I284" s="560">
        <v>759</v>
      </c>
      <c r="J284" s="562"/>
      <c r="K284" s="377" t="s">
        <v>1112</v>
      </c>
      <c r="L284" s="447">
        <v>6</v>
      </c>
      <c r="M284" s="447">
        <v>42</v>
      </c>
      <c r="N284" s="448">
        <v>42230</v>
      </c>
    </row>
    <row r="285" spans="1:14">
      <c r="A285" s="562" t="s">
        <v>1410</v>
      </c>
      <c r="B285" s="560" t="s">
        <v>1127</v>
      </c>
      <c r="C285" s="193">
        <v>42227</v>
      </c>
      <c r="D285" s="193">
        <v>42227</v>
      </c>
      <c r="E285" s="562" t="s">
        <v>177</v>
      </c>
      <c r="F285" s="562" t="s">
        <v>1110</v>
      </c>
      <c r="G285" s="562" t="s">
        <v>1113</v>
      </c>
      <c r="H285" s="562">
        <v>212</v>
      </c>
      <c r="I285" s="560">
        <v>212</v>
      </c>
      <c r="J285" s="562"/>
      <c r="K285" s="562" t="s">
        <v>1112</v>
      </c>
      <c r="L285" s="447">
        <v>2</v>
      </c>
      <c r="M285" s="447">
        <v>8</v>
      </c>
      <c r="N285" s="448">
        <v>42228</v>
      </c>
    </row>
    <row r="286" spans="1:14">
      <c r="A286" s="577" t="s">
        <v>1410</v>
      </c>
      <c r="B286" s="560" t="s">
        <v>1127</v>
      </c>
      <c r="C286" s="193">
        <v>42227</v>
      </c>
      <c r="D286" s="193">
        <v>42227</v>
      </c>
      <c r="E286" s="562" t="s">
        <v>223</v>
      </c>
      <c r="F286" s="562" t="s">
        <v>1110</v>
      </c>
      <c r="G286" s="562" t="s">
        <v>1114</v>
      </c>
      <c r="H286" s="562">
        <v>334</v>
      </c>
      <c r="I286" s="560">
        <v>334</v>
      </c>
      <c r="J286" s="562"/>
      <c r="K286" s="377" t="s">
        <v>1112</v>
      </c>
      <c r="L286" s="449">
        <v>5</v>
      </c>
      <c r="M286" s="449">
        <v>35</v>
      </c>
      <c r="N286" s="448">
        <v>42229</v>
      </c>
    </row>
    <row r="287" spans="1:14">
      <c r="A287" s="562" t="s">
        <v>1410</v>
      </c>
      <c r="B287" s="560" t="s">
        <v>1127</v>
      </c>
      <c r="C287" s="193">
        <v>42227</v>
      </c>
      <c r="D287" s="193">
        <v>42227</v>
      </c>
      <c r="E287" s="562" t="s">
        <v>171</v>
      </c>
      <c r="F287" s="562" t="s">
        <v>1110</v>
      </c>
      <c r="G287" s="563" t="s">
        <v>1116</v>
      </c>
      <c r="H287" s="562">
        <v>92</v>
      </c>
      <c r="I287" s="560">
        <v>92</v>
      </c>
      <c r="J287" s="562"/>
      <c r="K287" s="562" t="s">
        <v>1112</v>
      </c>
      <c r="L287" s="447">
        <v>2</v>
      </c>
      <c r="M287" s="447">
        <v>8</v>
      </c>
      <c r="N287" s="448">
        <v>42230</v>
      </c>
    </row>
    <row r="288" spans="1:14">
      <c r="A288" s="562" t="s">
        <v>1410</v>
      </c>
      <c r="B288" s="560" t="s">
        <v>1127</v>
      </c>
      <c r="C288" s="193">
        <v>42227</v>
      </c>
      <c r="D288" s="193">
        <v>42227</v>
      </c>
      <c r="E288" s="564" t="s">
        <v>172</v>
      </c>
      <c r="F288" s="562" t="s">
        <v>1110</v>
      </c>
      <c r="G288" s="563" t="s">
        <v>1116</v>
      </c>
      <c r="H288" s="565">
        <v>11</v>
      </c>
      <c r="I288" s="564">
        <v>11</v>
      </c>
      <c r="J288" s="377"/>
      <c r="K288" s="562" t="s">
        <v>1112</v>
      </c>
      <c r="L288" s="566">
        <v>2</v>
      </c>
      <c r="M288" s="566">
        <v>8</v>
      </c>
      <c r="N288" s="448">
        <v>42230</v>
      </c>
    </row>
    <row r="289" spans="1:14" s="710" customFormat="1">
      <c r="A289" s="562" t="s">
        <v>1410</v>
      </c>
      <c r="B289" s="829" t="s">
        <v>1127</v>
      </c>
      <c r="C289" s="193">
        <v>42227</v>
      </c>
      <c r="D289" s="193">
        <v>42227</v>
      </c>
      <c r="E289" s="562" t="s">
        <v>176</v>
      </c>
      <c r="F289" s="562" t="s">
        <v>1110</v>
      </c>
      <c r="G289" s="562" t="s">
        <v>1117</v>
      </c>
      <c r="H289" s="354">
        <v>26.8</v>
      </c>
      <c r="I289" s="450">
        <v>26.8</v>
      </c>
      <c r="J289" s="562"/>
      <c r="K289" s="562" t="s">
        <v>1118</v>
      </c>
      <c r="L289" s="447">
        <v>4</v>
      </c>
      <c r="M289" s="447"/>
      <c r="N289" s="448">
        <v>42229</v>
      </c>
    </row>
    <row r="290" spans="1:14">
      <c r="A290" s="577" t="s">
        <v>1433</v>
      </c>
      <c r="B290" s="560" t="s">
        <v>1109</v>
      </c>
      <c r="C290" s="193">
        <v>42241</v>
      </c>
      <c r="D290" s="193">
        <v>42241</v>
      </c>
      <c r="E290" s="561" t="s">
        <v>195</v>
      </c>
      <c r="F290" s="562" t="s">
        <v>1110</v>
      </c>
      <c r="G290" s="563" t="s">
        <v>1111</v>
      </c>
      <c r="H290" s="562">
        <v>817</v>
      </c>
      <c r="I290" s="560">
        <v>817</v>
      </c>
      <c r="J290" s="562"/>
      <c r="K290" s="377" t="s">
        <v>1112</v>
      </c>
      <c r="L290" s="447">
        <v>6</v>
      </c>
      <c r="M290" s="447">
        <v>42</v>
      </c>
      <c r="N290" s="448">
        <v>42249</v>
      </c>
    </row>
    <row r="291" spans="1:14">
      <c r="A291" s="577" t="s">
        <v>1433</v>
      </c>
      <c r="B291" s="560" t="s">
        <v>1109</v>
      </c>
      <c r="C291" s="193">
        <v>42241</v>
      </c>
      <c r="D291" s="193">
        <v>42241</v>
      </c>
      <c r="E291" s="562" t="s">
        <v>177</v>
      </c>
      <c r="F291" s="562" t="s">
        <v>1110</v>
      </c>
      <c r="G291" s="562" t="s">
        <v>1113</v>
      </c>
      <c r="H291" s="562">
        <v>493</v>
      </c>
      <c r="I291" s="560">
        <v>493</v>
      </c>
      <c r="J291" s="562"/>
      <c r="K291" s="562" t="s">
        <v>1112</v>
      </c>
      <c r="L291" s="447">
        <v>2</v>
      </c>
      <c r="M291" s="447">
        <v>8</v>
      </c>
      <c r="N291" s="448">
        <v>42242</v>
      </c>
    </row>
    <row r="292" spans="1:14">
      <c r="A292" s="577" t="s">
        <v>1433</v>
      </c>
      <c r="B292" s="560" t="s">
        <v>1109</v>
      </c>
      <c r="C292" s="193">
        <v>42241</v>
      </c>
      <c r="D292" s="193">
        <v>42241</v>
      </c>
      <c r="E292" s="562" t="s">
        <v>223</v>
      </c>
      <c r="F292" s="562" t="s">
        <v>1110</v>
      </c>
      <c r="G292" s="562" t="s">
        <v>1114</v>
      </c>
      <c r="H292" s="562">
        <v>13</v>
      </c>
      <c r="I292" s="560">
        <v>13</v>
      </c>
      <c r="J292" s="562" t="s">
        <v>1115</v>
      </c>
      <c r="K292" s="377" t="s">
        <v>1112</v>
      </c>
      <c r="L292" s="449">
        <v>5</v>
      </c>
      <c r="M292" s="449">
        <v>35</v>
      </c>
      <c r="N292" s="448">
        <v>42242</v>
      </c>
    </row>
    <row r="293" spans="1:14">
      <c r="A293" s="577" t="s">
        <v>1433</v>
      </c>
      <c r="B293" s="560" t="s">
        <v>1109</v>
      </c>
      <c r="C293" s="193">
        <v>42241</v>
      </c>
      <c r="D293" s="193">
        <v>42241</v>
      </c>
      <c r="E293" s="562" t="s">
        <v>171</v>
      </c>
      <c r="F293" s="562" t="s">
        <v>1110</v>
      </c>
      <c r="G293" s="563" t="s">
        <v>1116</v>
      </c>
      <c r="H293" s="562">
        <v>10</v>
      </c>
      <c r="I293" s="560">
        <v>10</v>
      </c>
      <c r="J293" s="562"/>
      <c r="K293" s="562" t="s">
        <v>1112</v>
      </c>
      <c r="L293" s="447">
        <v>2</v>
      </c>
      <c r="M293" s="447">
        <v>8</v>
      </c>
      <c r="N293" s="448">
        <v>42249</v>
      </c>
    </row>
    <row r="294" spans="1:14">
      <c r="A294" s="562" t="s">
        <v>1433</v>
      </c>
      <c r="B294" s="560" t="s">
        <v>1109</v>
      </c>
      <c r="C294" s="193">
        <v>42241</v>
      </c>
      <c r="D294" s="193">
        <v>42241</v>
      </c>
      <c r="E294" s="564" t="s">
        <v>172</v>
      </c>
      <c r="F294" s="562" t="s">
        <v>1110</v>
      </c>
      <c r="G294" s="563" t="s">
        <v>1116</v>
      </c>
      <c r="H294" s="565">
        <v>6</v>
      </c>
      <c r="I294" s="564">
        <v>6</v>
      </c>
      <c r="J294" s="377" t="s">
        <v>1115</v>
      </c>
      <c r="K294" s="562" t="s">
        <v>1112</v>
      </c>
      <c r="L294" s="566">
        <v>2</v>
      </c>
      <c r="M294" s="566">
        <v>8</v>
      </c>
      <c r="N294" s="448">
        <v>42249</v>
      </c>
    </row>
    <row r="295" spans="1:14">
      <c r="A295" s="577" t="s">
        <v>1433</v>
      </c>
      <c r="B295" s="560" t="s">
        <v>1109</v>
      </c>
      <c r="C295" s="193">
        <v>42241</v>
      </c>
      <c r="D295" s="193">
        <v>42241</v>
      </c>
      <c r="E295" s="562" t="s">
        <v>176</v>
      </c>
      <c r="F295" s="562" t="s">
        <v>1110</v>
      </c>
      <c r="G295" s="562" t="s">
        <v>1117</v>
      </c>
      <c r="H295" s="354">
        <v>6.4</v>
      </c>
      <c r="I295" s="450">
        <v>6.4</v>
      </c>
      <c r="J295" s="562"/>
      <c r="K295" s="562" t="s">
        <v>1118</v>
      </c>
      <c r="L295" s="447">
        <v>4</v>
      </c>
      <c r="M295" s="447"/>
      <c r="N295" s="448">
        <v>42247</v>
      </c>
    </row>
    <row r="296" spans="1:14">
      <c r="A296" s="559" t="s">
        <v>1434</v>
      </c>
      <c r="B296" s="560" t="s">
        <v>1120</v>
      </c>
      <c r="C296" s="193">
        <v>42241</v>
      </c>
      <c r="D296" s="193">
        <v>42241</v>
      </c>
      <c r="E296" s="561" t="s">
        <v>195</v>
      </c>
      <c r="F296" s="562" t="s">
        <v>1110</v>
      </c>
      <c r="G296" s="563" t="s">
        <v>1111</v>
      </c>
      <c r="H296" s="562">
        <v>663</v>
      </c>
      <c r="I296" s="560">
        <v>663</v>
      </c>
      <c r="J296" s="562"/>
      <c r="K296" s="377" t="s">
        <v>1112</v>
      </c>
      <c r="L296" s="447">
        <v>6</v>
      </c>
      <c r="M296" s="447">
        <v>42</v>
      </c>
      <c r="N296" s="448">
        <v>42249</v>
      </c>
    </row>
    <row r="297" spans="1:14">
      <c r="A297" s="577" t="s">
        <v>1434</v>
      </c>
      <c r="B297" s="560" t="s">
        <v>1120</v>
      </c>
      <c r="C297" s="193">
        <v>42241</v>
      </c>
      <c r="D297" s="193">
        <v>42241</v>
      </c>
      <c r="E297" s="562" t="s">
        <v>177</v>
      </c>
      <c r="F297" s="562" t="s">
        <v>1110</v>
      </c>
      <c r="G297" s="562" t="s">
        <v>1113</v>
      </c>
      <c r="H297" s="562">
        <v>442</v>
      </c>
      <c r="I297" s="560">
        <v>442</v>
      </c>
      <c r="J297" s="562"/>
      <c r="K297" s="562" t="s">
        <v>1112</v>
      </c>
      <c r="L297" s="447">
        <v>2</v>
      </c>
      <c r="M297" s="447">
        <v>8</v>
      </c>
      <c r="N297" s="448">
        <v>42242</v>
      </c>
    </row>
    <row r="298" spans="1:14">
      <c r="A298" s="577" t="s">
        <v>1434</v>
      </c>
      <c r="B298" s="560" t="s">
        <v>1120</v>
      </c>
      <c r="C298" s="193">
        <v>42241</v>
      </c>
      <c r="D298" s="193">
        <v>42241</v>
      </c>
      <c r="E298" s="562" t="s">
        <v>223</v>
      </c>
      <c r="F298" s="562" t="s">
        <v>1110</v>
      </c>
      <c r="G298" s="562" t="s">
        <v>1114</v>
      </c>
      <c r="H298" s="562">
        <v>18</v>
      </c>
      <c r="I298" s="560">
        <v>18</v>
      </c>
      <c r="J298" s="562" t="s">
        <v>1115</v>
      </c>
      <c r="K298" s="377" t="s">
        <v>1112</v>
      </c>
      <c r="L298" s="449">
        <v>5</v>
      </c>
      <c r="M298" s="449">
        <v>35</v>
      </c>
      <c r="N298" s="448">
        <v>42242</v>
      </c>
    </row>
    <row r="299" spans="1:14">
      <c r="A299" s="577" t="s">
        <v>1434</v>
      </c>
      <c r="B299" s="560" t="s">
        <v>1120</v>
      </c>
      <c r="C299" s="193">
        <v>42241</v>
      </c>
      <c r="D299" s="193">
        <v>42241</v>
      </c>
      <c r="E299" s="562" t="s">
        <v>171</v>
      </c>
      <c r="F299" s="562" t="s">
        <v>1110</v>
      </c>
      <c r="G299" s="563" t="s">
        <v>1116</v>
      </c>
      <c r="H299" s="562">
        <v>28</v>
      </c>
      <c r="I299" s="560">
        <v>28</v>
      </c>
      <c r="J299" s="562"/>
      <c r="K299" s="562" t="s">
        <v>1112</v>
      </c>
      <c r="L299" s="447">
        <v>2</v>
      </c>
      <c r="M299" s="447">
        <v>8</v>
      </c>
      <c r="N299" s="448">
        <v>42249</v>
      </c>
    </row>
    <row r="300" spans="1:14">
      <c r="A300" s="562" t="s">
        <v>1434</v>
      </c>
      <c r="B300" s="560" t="s">
        <v>1120</v>
      </c>
      <c r="C300" s="193">
        <v>42241</v>
      </c>
      <c r="D300" s="193">
        <v>42241</v>
      </c>
      <c r="E300" s="564" t="s">
        <v>172</v>
      </c>
      <c r="F300" s="562" t="s">
        <v>1110</v>
      </c>
      <c r="G300" s="563" t="s">
        <v>1116</v>
      </c>
      <c r="H300" s="565">
        <v>20</v>
      </c>
      <c r="I300" s="564">
        <v>20</v>
      </c>
      <c r="J300" s="377"/>
      <c r="K300" s="562" t="s">
        <v>1112</v>
      </c>
      <c r="L300" s="566">
        <v>2</v>
      </c>
      <c r="M300" s="566">
        <v>8</v>
      </c>
      <c r="N300" s="448">
        <v>42249</v>
      </c>
    </row>
    <row r="301" spans="1:14">
      <c r="A301" s="577" t="s">
        <v>1434</v>
      </c>
      <c r="B301" s="560" t="s">
        <v>1120</v>
      </c>
      <c r="C301" s="193">
        <v>42241</v>
      </c>
      <c r="D301" s="193">
        <v>42241</v>
      </c>
      <c r="E301" s="562" t="s">
        <v>176</v>
      </c>
      <c r="F301" s="562" t="s">
        <v>1110</v>
      </c>
      <c r="G301" s="562" t="s">
        <v>1117</v>
      </c>
      <c r="H301" s="354">
        <v>9.1999999999999993</v>
      </c>
      <c r="I301" s="450">
        <v>9.1999999999999993</v>
      </c>
      <c r="J301" s="562"/>
      <c r="K301" s="562" t="s">
        <v>1118</v>
      </c>
      <c r="L301" s="447">
        <v>4</v>
      </c>
      <c r="M301" s="447"/>
      <c r="N301" s="448">
        <v>42247</v>
      </c>
    </row>
    <row r="302" spans="1:14">
      <c r="A302" s="562" t="s">
        <v>1435</v>
      </c>
      <c r="B302" s="560">
        <v>45</v>
      </c>
      <c r="C302" s="193">
        <v>42241</v>
      </c>
      <c r="D302" s="193">
        <v>42241</v>
      </c>
      <c r="E302" s="561" t="s">
        <v>195</v>
      </c>
      <c r="F302" s="562" t="s">
        <v>1110</v>
      </c>
      <c r="G302" s="563" t="s">
        <v>1111</v>
      </c>
      <c r="H302" s="562">
        <v>693</v>
      </c>
      <c r="I302" s="560">
        <v>693</v>
      </c>
      <c r="J302" s="562"/>
      <c r="K302" s="377" t="s">
        <v>1112</v>
      </c>
      <c r="L302" s="447">
        <v>6</v>
      </c>
      <c r="M302" s="447">
        <v>42</v>
      </c>
      <c r="N302" s="448">
        <v>42249</v>
      </c>
    </row>
    <row r="303" spans="1:14">
      <c r="A303" s="559" t="s">
        <v>1435</v>
      </c>
      <c r="B303" s="560">
        <v>45</v>
      </c>
      <c r="C303" s="193">
        <v>42241</v>
      </c>
      <c r="D303" s="193">
        <v>42241</v>
      </c>
      <c r="E303" s="562" t="s">
        <v>177</v>
      </c>
      <c r="F303" s="562" t="s">
        <v>1110</v>
      </c>
      <c r="G303" s="562" t="s">
        <v>1113</v>
      </c>
      <c r="H303" s="562">
        <v>161</v>
      </c>
      <c r="I303" s="560">
        <v>161</v>
      </c>
      <c r="J303" s="562"/>
      <c r="K303" s="562" t="s">
        <v>1112</v>
      </c>
      <c r="L303" s="447">
        <v>2</v>
      </c>
      <c r="M303" s="447">
        <v>8</v>
      </c>
      <c r="N303" s="448">
        <v>42242</v>
      </c>
    </row>
    <row r="304" spans="1:14">
      <c r="A304" s="559" t="s">
        <v>1435</v>
      </c>
      <c r="B304" s="560">
        <v>45</v>
      </c>
      <c r="C304" s="193">
        <v>42241</v>
      </c>
      <c r="D304" s="193">
        <v>42241</v>
      </c>
      <c r="E304" s="562" t="s">
        <v>223</v>
      </c>
      <c r="F304" s="562" t="s">
        <v>1110</v>
      </c>
      <c r="G304" s="562" t="s">
        <v>1114</v>
      </c>
      <c r="H304" s="562">
        <v>26</v>
      </c>
      <c r="I304" s="560">
        <v>26</v>
      </c>
      <c r="J304" s="562" t="s">
        <v>1115</v>
      </c>
      <c r="K304" s="377" t="s">
        <v>1112</v>
      </c>
      <c r="L304" s="449">
        <v>5</v>
      </c>
      <c r="M304" s="449">
        <v>35</v>
      </c>
      <c r="N304" s="448">
        <v>42242</v>
      </c>
    </row>
    <row r="305" spans="1:14">
      <c r="A305" s="559" t="s">
        <v>1435</v>
      </c>
      <c r="B305" s="560">
        <v>45</v>
      </c>
      <c r="C305" s="193">
        <v>42241</v>
      </c>
      <c r="D305" s="193">
        <v>42241</v>
      </c>
      <c r="E305" s="562" t="s">
        <v>171</v>
      </c>
      <c r="F305" s="562" t="s">
        <v>1110</v>
      </c>
      <c r="G305" s="563" t="s">
        <v>1116</v>
      </c>
      <c r="H305" s="562">
        <v>40</v>
      </c>
      <c r="I305" s="560">
        <v>40</v>
      </c>
      <c r="J305" s="562"/>
      <c r="K305" s="562" t="s">
        <v>1112</v>
      </c>
      <c r="L305" s="447">
        <v>2</v>
      </c>
      <c r="M305" s="447">
        <v>8</v>
      </c>
      <c r="N305" s="448">
        <v>42249</v>
      </c>
    </row>
    <row r="306" spans="1:14">
      <c r="A306" s="562" t="s">
        <v>1435</v>
      </c>
      <c r="B306" s="560">
        <v>45</v>
      </c>
      <c r="C306" s="193">
        <v>42241</v>
      </c>
      <c r="D306" s="193">
        <v>42241</v>
      </c>
      <c r="E306" s="564" t="s">
        <v>172</v>
      </c>
      <c r="F306" s="562" t="s">
        <v>1110</v>
      </c>
      <c r="G306" s="563" t="s">
        <v>1116</v>
      </c>
      <c r="H306" s="565">
        <v>26</v>
      </c>
      <c r="I306" s="564">
        <v>26</v>
      </c>
      <c r="J306" s="377"/>
      <c r="K306" s="562" t="s">
        <v>1112</v>
      </c>
      <c r="L306" s="566">
        <v>2</v>
      </c>
      <c r="M306" s="566">
        <v>8</v>
      </c>
      <c r="N306" s="448">
        <v>42249</v>
      </c>
    </row>
    <row r="307" spans="1:14">
      <c r="A307" s="559" t="s">
        <v>1435</v>
      </c>
      <c r="B307" s="560">
        <v>45</v>
      </c>
      <c r="C307" s="193">
        <v>42241</v>
      </c>
      <c r="D307" s="193">
        <v>42241</v>
      </c>
      <c r="E307" s="562" t="s">
        <v>176</v>
      </c>
      <c r="F307" s="562" t="s">
        <v>1110</v>
      </c>
      <c r="G307" s="562" t="s">
        <v>1117</v>
      </c>
      <c r="H307" s="354">
        <v>10.199999999999999</v>
      </c>
      <c r="I307" s="450">
        <v>10.199999999999999</v>
      </c>
      <c r="J307" s="562"/>
      <c r="K307" s="562" t="s">
        <v>1118</v>
      </c>
      <c r="L307" s="447">
        <v>4</v>
      </c>
      <c r="M307" s="447"/>
      <c r="N307" s="448">
        <v>42247</v>
      </c>
    </row>
    <row r="308" spans="1:14">
      <c r="A308" s="559" t="s">
        <v>1436</v>
      </c>
      <c r="B308" s="829" t="s">
        <v>1124</v>
      </c>
      <c r="C308" s="193">
        <v>42241</v>
      </c>
      <c r="D308" s="193">
        <v>42241</v>
      </c>
      <c r="E308" s="561" t="s">
        <v>195</v>
      </c>
      <c r="F308" s="562" t="s">
        <v>1110</v>
      </c>
      <c r="G308" s="563" t="s">
        <v>1111</v>
      </c>
      <c r="H308" s="562">
        <v>814</v>
      </c>
      <c r="I308" s="560">
        <v>814</v>
      </c>
      <c r="J308" s="562"/>
      <c r="K308" s="377" t="s">
        <v>1112</v>
      </c>
      <c r="L308" s="447">
        <v>6</v>
      </c>
      <c r="M308" s="447">
        <v>42</v>
      </c>
      <c r="N308" s="448">
        <v>42249</v>
      </c>
    </row>
    <row r="309" spans="1:14">
      <c r="A309" s="562" t="s">
        <v>1436</v>
      </c>
      <c r="B309" s="829" t="s">
        <v>1124</v>
      </c>
      <c r="C309" s="193">
        <v>42241</v>
      </c>
      <c r="D309" s="193">
        <v>42241</v>
      </c>
      <c r="E309" s="562" t="s">
        <v>177</v>
      </c>
      <c r="F309" s="562" t="s">
        <v>1110</v>
      </c>
      <c r="G309" s="562" t="s">
        <v>1113</v>
      </c>
      <c r="H309" s="562">
        <v>169</v>
      </c>
      <c r="I309" s="560">
        <v>169</v>
      </c>
      <c r="J309" s="562"/>
      <c r="K309" s="562" t="s">
        <v>1112</v>
      </c>
      <c r="L309" s="447">
        <v>2</v>
      </c>
      <c r="M309" s="447">
        <v>8</v>
      </c>
      <c r="N309" s="448">
        <v>42242</v>
      </c>
    </row>
    <row r="310" spans="1:14">
      <c r="A310" s="577" t="s">
        <v>1436</v>
      </c>
      <c r="B310" s="829" t="s">
        <v>1124</v>
      </c>
      <c r="C310" s="193">
        <v>42241</v>
      </c>
      <c r="D310" s="193">
        <v>42241</v>
      </c>
      <c r="E310" s="562" t="s">
        <v>223</v>
      </c>
      <c r="F310" s="562" t="s">
        <v>1110</v>
      </c>
      <c r="G310" s="562" t="s">
        <v>1114</v>
      </c>
      <c r="H310" s="562">
        <v>19</v>
      </c>
      <c r="I310" s="560">
        <v>19</v>
      </c>
      <c r="J310" s="562" t="s">
        <v>1115</v>
      </c>
      <c r="K310" s="377" t="s">
        <v>1112</v>
      </c>
      <c r="L310" s="449">
        <v>5</v>
      </c>
      <c r="M310" s="449">
        <v>35</v>
      </c>
      <c r="N310" s="448">
        <v>42242</v>
      </c>
    </row>
    <row r="311" spans="1:14">
      <c r="A311" s="562" t="s">
        <v>1436</v>
      </c>
      <c r="B311" s="829" t="s">
        <v>1124</v>
      </c>
      <c r="C311" s="193">
        <v>42241</v>
      </c>
      <c r="D311" s="193">
        <v>42241</v>
      </c>
      <c r="E311" s="562" t="s">
        <v>171</v>
      </c>
      <c r="F311" s="562" t="s">
        <v>1110</v>
      </c>
      <c r="G311" s="563" t="s">
        <v>1116</v>
      </c>
      <c r="H311" s="562">
        <v>42</v>
      </c>
      <c r="I311" s="560">
        <v>42</v>
      </c>
      <c r="J311" s="562"/>
      <c r="K311" s="562" t="s">
        <v>1112</v>
      </c>
      <c r="L311" s="447">
        <v>2</v>
      </c>
      <c r="M311" s="447">
        <v>8</v>
      </c>
      <c r="N311" s="448">
        <v>42249</v>
      </c>
    </row>
    <row r="312" spans="1:14">
      <c r="A312" s="562" t="s">
        <v>1436</v>
      </c>
      <c r="B312" s="829" t="s">
        <v>1124</v>
      </c>
      <c r="C312" s="193">
        <v>42241</v>
      </c>
      <c r="D312" s="193">
        <v>42241</v>
      </c>
      <c r="E312" s="564" t="s">
        <v>172</v>
      </c>
      <c r="F312" s="562" t="s">
        <v>1110</v>
      </c>
      <c r="G312" s="563" t="s">
        <v>1116</v>
      </c>
      <c r="H312" s="565">
        <v>13</v>
      </c>
      <c r="I312" s="564">
        <v>13</v>
      </c>
      <c r="J312" s="377"/>
      <c r="K312" s="562" t="s">
        <v>1112</v>
      </c>
      <c r="L312" s="566">
        <v>2</v>
      </c>
      <c r="M312" s="566">
        <v>8</v>
      </c>
      <c r="N312" s="448">
        <v>42249</v>
      </c>
    </row>
    <row r="313" spans="1:14">
      <c r="A313" s="562" t="s">
        <v>1436</v>
      </c>
      <c r="B313" s="829" t="s">
        <v>1124</v>
      </c>
      <c r="C313" s="193">
        <v>42241</v>
      </c>
      <c r="D313" s="193">
        <v>42241</v>
      </c>
      <c r="E313" s="562" t="s">
        <v>176</v>
      </c>
      <c r="F313" s="562" t="s">
        <v>1110</v>
      </c>
      <c r="G313" s="562" t="s">
        <v>1117</v>
      </c>
      <c r="H313" s="354">
        <v>9.8000000000000007</v>
      </c>
      <c r="I313" s="450">
        <v>9.8000000000000007</v>
      </c>
      <c r="J313" s="562"/>
      <c r="K313" s="562" t="s">
        <v>1118</v>
      </c>
      <c r="L313" s="447">
        <v>4</v>
      </c>
      <c r="M313" s="447"/>
      <c r="N313" s="448">
        <v>42247</v>
      </c>
    </row>
    <row r="314" spans="1:14">
      <c r="A314" s="559" t="s">
        <v>1436</v>
      </c>
      <c r="B314" s="560" t="s">
        <v>1124</v>
      </c>
      <c r="C314" s="193">
        <v>42241</v>
      </c>
      <c r="D314" s="193">
        <v>42241</v>
      </c>
      <c r="E314" s="561" t="s">
        <v>173</v>
      </c>
      <c r="F314" s="559" t="s">
        <v>1110</v>
      </c>
      <c r="G314" s="567" t="s">
        <v>1125</v>
      </c>
      <c r="H314" s="254">
        <v>26.9</v>
      </c>
      <c r="I314" s="451">
        <v>26.9</v>
      </c>
      <c r="J314" s="568"/>
      <c r="K314" s="562" t="s">
        <v>1112</v>
      </c>
      <c r="L314" s="566">
        <v>0.1</v>
      </c>
      <c r="M314" s="566"/>
      <c r="N314" s="448">
        <v>42243</v>
      </c>
    </row>
    <row r="315" spans="1:14">
      <c r="A315" s="559" t="s">
        <v>1436</v>
      </c>
      <c r="B315" s="560" t="s">
        <v>1124</v>
      </c>
      <c r="C315" s="193">
        <v>42241</v>
      </c>
      <c r="D315" s="193">
        <v>42241</v>
      </c>
      <c r="E315" s="561" t="s">
        <v>173</v>
      </c>
      <c r="F315" s="559" t="s">
        <v>1110</v>
      </c>
      <c r="G315" s="567" t="s">
        <v>1125</v>
      </c>
      <c r="H315" s="254">
        <v>29.9</v>
      </c>
      <c r="I315" s="451">
        <v>29.9</v>
      </c>
      <c r="J315" s="568"/>
      <c r="K315" s="562" t="s">
        <v>1112</v>
      </c>
      <c r="L315" s="566">
        <v>0.1</v>
      </c>
      <c r="M315" s="566"/>
      <c r="N315" s="448">
        <v>42243</v>
      </c>
    </row>
    <row r="316" spans="1:14">
      <c r="A316" s="562" t="s">
        <v>1437</v>
      </c>
      <c r="B316" s="560" t="s">
        <v>1127</v>
      </c>
      <c r="C316" s="193">
        <v>42241</v>
      </c>
      <c r="D316" s="193">
        <v>42241</v>
      </c>
      <c r="E316" s="561" t="s">
        <v>195</v>
      </c>
      <c r="F316" s="562" t="s">
        <v>1110</v>
      </c>
      <c r="G316" s="563" t="s">
        <v>1111</v>
      </c>
      <c r="H316" s="562">
        <v>801</v>
      </c>
      <c r="I316" s="560">
        <v>801</v>
      </c>
      <c r="J316" s="562"/>
      <c r="K316" s="377" t="s">
        <v>1112</v>
      </c>
      <c r="L316" s="447">
        <v>6</v>
      </c>
      <c r="M316" s="447">
        <v>42</v>
      </c>
      <c r="N316" s="448">
        <v>42249</v>
      </c>
    </row>
    <row r="317" spans="1:14">
      <c r="A317" s="562" t="s">
        <v>1437</v>
      </c>
      <c r="B317" s="560" t="s">
        <v>1127</v>
      </c>
      <c r="C317" s="193">
        <v>42241</v>
      </c>
      <c r="D317" s="193">
        <v>42241</v>
      </c>
      <c r="E317" s="562" t="s">
        <v>177</v>
      </c>
      <c r="F317" s="562" t="s">
        <v>1110</v>
      </c>
      <c r="G317" s="562" t="s">
        <v>1113</v>
      </c>
      <c r="H317" s="562">
        <v>187</v>
      </c>
      <c r="I317" s="560">
        <v>187</v>
      </c>
      <c r="J317" s="562"/>
      <c r="K317" s="562" t="s">
        <v>1112</v>
      </c>
      <c r="L317" s="447">
        <v>2</v>
      </c>
      <c r="M317" s="447">
        <v>8</v>
      </c>
      <c r="N317" s="448">
        <v>42242</v>
      </c>
    </row>
    <row r="318" spans="1:14">
      <c r="A318" s="577" t="s">
        <v>1437</v>
      </c>
      <c r="B318" s="560" t="s">
        <v>1127</v>
      </c>
      <c r="C318" s="193">
        <v>42241</v>
      </c>
      <c r="D318" s="193">
        <v>42241</v>
      </c>
      <c r="E318" s="562" t="s">
        <v>223</v>
      </c>
      <c r="F318" s="562" t="s">
        <v>1110</v>
      </c>
      <c r="G318" s="562" t="s">
        <v>1114</v>
      </c>
      <c r="H318" s="562">
        <v>260</v>
      </c>
      <c r="I318" s="560">
        <v>260</v>
      </c>
      <c r="J318" s="562"/>
      <c r="K318" s="377" t="s">
        <v>1112</v>
      </c>
      <c r="L318" s="449">
        <v>5</v>
      </c>
      <c r="M318" s="449">
        <v>35</v>
      </c>
      <c r="N318" s="448">
        <v>42242</v>
      </c>
    </row>
    <row r="319" spans="1:14">
      <c r="A319" s="562" t="s">
        <v>1437</v>
      </c>
      <c r="B319" s="560" t="s">
        <v>1127</v>
      </c>
      <c r="C319" s="193">
        <v>42241</v>
      </c>
      <c r="D319" s="193">
        <v>42241</v>
      </c>
      <c r="E319" s="562" t="s">
        <v>171</v>
      </c>
      <c r="F319" s="562" t="s">
        <v>1110</v>
      </c>
      <c r="G319" s="563" t="s">
        <v>1116</v>
      </c>
      <c r="H319" s="562">
        <v>114</v>
      </c>
      <c r="I319" s="560">
        <v>114</v>
      </c>
      <c r="J319" s="562"/>
      <c r="K319" s="562" t="s">
        <v>1112</v>
      </c>
      <c r="L319" s="447">
        <v>2</v>
      </c>
      <c r="M319" s="447">
        <v>8</v>
      </c>
      <c r="N319" s="448">
        <v>42249</v>
      </c>
    </row>
    <row r="320" spans="1:14">
      <c r="A320" s="562" t="s">
        <v>1437</v>
      </c>
      <c r="B320" s="560" t="s">
        <v>1127</v>
      </c>
      <c r="C320" s="193">
        <v>42241</v>
      </c>
      <c r="D320" s="193">
        <v>42241</v>
      </c>
      <c r="E320" s="564" t="s">
        <v>172</v>
      </c>
      <c r="F320" s="562" t="s">
        <v>1110</v>
      </c>
      <c r="G320" s="563" t="s">
        <v>1116</v>
      </c>
      <c r="H320" s="565">
        <v>11</v>
      </c>
      <c r="I320" s="564">
        <v>11</v>
      </c>
      <c r="J320" s="377"/>
      <c r="K320" s="562" t="s">
        <v>1112</v>
      </c>
      <c r="L320" s="566">
        <v>2</v>
      </c>
      <c r="M320" s="566">
        <v>8</v>
      </c>
      <c r="N320" s="448">
        <v>42249</v>
      </c>
    </row>
    <row r="321" spans="1:14" s="710" customFormat="1">
      <c r="A321" s="562" t="s">
        <v>1437</v>
      </c>
      <c r="B321" s="829" t="s">
        <v>1127</v>
      </c>
      <c r="C321" s="193">
        <v>42241</v>
      </c>
      <c r="D321" s="193">
        <v>42241</v>
      </c>
      <c r="E321" s="562" t="s">
        <v>176</v>
      </c>
      <c r="F321" s="562" t="s">
        <v>1110</v>
      </c>
      <c r="G321" s="562" t="s">
        <v>1117</v>
      </c>
      <c r="H321" s="354">
        <v>39</v>
      </c>
      <c r="I321" s="450">
        <v>39</v>
      </c>
      <c r="J321" s="562"/>
      <c r="K321" s="562" t="s">
        <v>1118</v>
      </c>
      <c r="L321" s="447">
        <v>4</v>
      </c>
      <c r="M321" s="447"/>
      <c r="N321" s="448">
        <v>42247</v>
      </c>
    </row>
    <row r="322" spans="1:14">
      <c r="A322" s="577" t="s">
        <v>1413</v>
      </c>
      <c r="B322" s="560" t="s">
        <v>1109</v>
      </c>
      <c r="C322" s="193">
        <v>42261</v>
      </c>
      <c r="D322" s="193">
        <v>42261</v>
      </c>
      <c r="E322" s="561" t="s">
        <v>195</v>
      </c>
      <c r="F322" s="562" t="s">
        <v>1110</v>
      </c>
      <c r="G322" s="563" t="s">
        <v>1111</v>
      </c>
      <c r="H322" s="562">
        <v>1124</v>
      </c>
      <c r="I322" s="560">
        <v>1124</v>
      </c>
      <c r="J322" s="562"/>
      <c r="K322" s="377" t="s">
        <v>1112</v>
      </c>
      <c r="L322" s="447">
        <v>6</v>
      </c>
      <c r="M322" s="447">
        <v>42</v>
      </c>
      <c r="N322" s="448">
        <v>42272</v>
      </c>
    </row>
    <row r="323" spans="1:14">
      <c r="A323" s="577" t="s">
        <v>1413</v>
      </c>
      <c r="B323" s="560" t="s">
        <v>1109</v>
      </c>
      <c r="C323" s="193">
        <v>42261</v>
      </c>
      <c r="D323" s="193">
        <v>42261</v>
      </c>
      <c r="E323" s="562" t="s">
        <v>177</v>
      </c>
      <c r="F323" s="562" t="s">
        <v>1110</v>
      </c>
      <c r="G323" s="562" t="s">
        <v>1113</v>
      </c>
      <c r="H323" s="562">
        <v>915</v>
      </c>
      <c r="I323" s="560">
        <v>915</v>
      </c>
      <c r="J323" s="562"/>
      <c r="K323" s="562" t="s">
        <v>1112</v>
      </c>
      <c r="L323" s="447">
        <v>2</v>
      </c>
      <c r="M323" s="447">
        <v>8</v>
      </c>
      <c r="N323" s="448">
        <v>42262</v>
      </c>
    </row>
    <row r="324" spans="1:14">
      <c r="A324" s="577" t="s">
        <v>1413</v>
      </c>
      <c r="B324" s="560" t="s">
        <v>1109</v>
      </c>
      <c r="C324" s="193">
        <v>42261</v>
      </c>
      <c r="D324" s="193">
        <v>42261</v>
      </c>
      <c r="E324" s="562" t="s">
        <v>223</v>
      </c>
      <c r="F324" s="562" t="s">
        <v>1110</v>
      </c>
      <c r="G324" s="562" t="s">
        <v>1114</v>
      </c>
      <c r="H324" s="562">
        <v>6</v>
      </c>
      <c r="I324" s="560">
        <v>6</v>
      </c>
      <c r="J324" s="562" t="s">
        <v>1115</v>
      </c>
      <c r="K324" s="377" t="s">
        <v>1112</v>
      </c>
      <c r="L324" s="449">
        <v>5</v>
      </c>
      <c r="M324" s="449">
        <v>35</v>
      </c>
      <c r="N324" s="448">
        <v>42268</v>
      </c>
    </row>
    <row r="325" spans="1:14">
      <c r="A325" s="577" t="s">
        <v>1413</v>
      </c>
      <c r="B325" s="560" t="s">
        <v>1109</v>
      </c>
      <c r="C325" s="193">
        <v>42261</v>
      </c>
      <c r="D325" s="193">
        <v>42261</v>
      </c>
      <c r="E325" s="562" t="s">
        <v>171</v>
      </c>
      <c r="F325" s="562" t="s">
        <v>1110</v>
      </c>
      <c r="G325" s="563" t="s">
        <v>1116</v>
      </c>
      <c r="H325" s="562">
        <v>2</v>
      </c>
      <c r="I325" s="560">
        <v>2</v>
      </c>
      <c r="J325" s="562" t="s">
        <v>1115</v>
      </c>
      <c r="K325" s="562" t="s">
        <v>1112</v>
      </c>
      <c r="L325" s="447">
        <v>2</v>
      </c>
      <c r="M325" s="447">
        <v>8</v>
      </c>
      <c r="N325" s="448">
        <v>42272</v>
      </c>
    </row>
    <row r="326" spans="1:14">
      <c r="A326" s="562" t="s">
        <v>1413</v>
      </c>
      <c r="B326" s="560" t="s">
        <v>1109</v>
      </c>
      <c r="C326" s="193">
        <v>42261</v>
      </c>
      <c r="D326" s="193">
        <v>42261</v>
      </c>
      <c r="E326" s="564" t="s">
        <v>172</v>
      </c>
      <c r="F326" s="562" t="s">
        <v>1110</v>
      </c>
      <c r="G326" s="563" t="s">
        <v>1116</v>
      </c>
      <c r="H326" s="565"/>
      <c r="I326" s="564">
        <v>2</v>
      </c>
      <c r="J326" s="377" t="s">
        <v>1414</v>
      </c>
      <c r="K326" s="562" t="s">
        <v>1112</v>
      </c>
      <c r="L326" s="566">
        <v>2</v>
      </c>
      <c r="M326" s="566">
        <v>8</v>
      </c>
      <c r="N326" s="448">
        <v>42272</v>
      </c>
    </row>
    <row r="327" spans="1:14">
      <c r="A327" s="577" t="s">
        <v>1413</v>
      </c>
      <c r="B327" s="560" t="s">
        <v>1109</v>
      </c>
      <c r="C327" s="193">
        <v>42261</v>
      </c>
      <c r="D327" s="193">
        <v>42261</v>
      </c>
      <c r="E327" s="562" t="s">
        <v>176</v>
      </c>
      <c r="F327" s="562" t="s">
        <v>1110</v>
      </c>
      <c r="G327" s="562" t="s">
        <v>1117</v>
      </c>
      <c r="H327" s="354"/>
      <c r="I327" s="450">
        <v>4</v>
      </c>
      <c r="J327" s="562" t="s">
        <v>1121</v>
      </c>
      <c r="K327" s="562" t="s">
        <v>1118</v>
      </c>
      <c r="L327" s="447">
        <v>4</v>
      </c>
      <c r="M327" s="447"/>
      <c r="N327" s="448">
        <v>42262</v>
      </c>
    </row>
    <row r="328" spans="1:14">
      <c r="A328" s="559" t="s">
        <v>1415</v>
      </c>
      <c r="B328" s="560" t="s">
        <v>1120</v>
      </c>
      <c r="C328" s="193">
        <v>42261</v>
      </c>
      <c r="D328" s="193">
        <v>42261</v>
      </c>
      <c r="E328" s="561" t="s">
        <v>195</v>
      </c>
      <c r="F328" s="562" t="s">
        <v>1110</v>
      </c>
      <c r="G328" s="563" t="s">
        <v>1111</v>
      </c>
      <c r="H328" s="562">
        <v>755</v>
      </c>
      <c r="I328" s="560">
        <v>755</v>
      </c>
      <c r="J328" s="562"/>
      <c r="K328" s="377" t="s">
        <v>1112</v>
      </c>
      <c r="L328" s="447">
        <v>6</v>
      </c>
      <c r="M328" s="447">
        <v>42</v>
      </c>
      <c r="N328" s="448">
        <v>42272</v>
      </c>
    </row>
    <row r="329" spans="1:14">
      <c r="A329" s="577" t="s">
        <v>1415</v>
      </c>
      <c r="B329" s="560" t="s">
        <v>1120</v>
      </c>
      <c r="C329" s="193">
        <v>42261</v>
      </c>
      <c r="D329" s="193">
        <v>42261</v>
      </c>
      <c r="E329" s="562" t="s">
        <v>177</v>
      </c>
      <c r="F329" s="562" t="s">
        <v>1110</v>
      </c>
      <c r="G329" s="562" t="s">
        <v>1113</v>
      </c>
      <c r="H329" s="562">
        <v>624</v>
      </c>
      <c r="I329" s="560">
        <v>624</v>
      </c>
      <c r="J329" s="562"/>
      <c r="K329" s="562" t="s">
        <v>1112</v>
      </c>
      <c r="L329" s="447">
        <v>2</v>
      </c>
      <c r="M329" s="447">
        <v>8</v>
      </c>
      <c r="N329" s="448">
        <v>42262</v>
      </c>
    </row>
    <row r="330" spans="1:14">
      <c r="A330" s="577" t="s">
        <v>1415</v>
      </c>
      <c r="B330" s="560" t="s">
        <v>1120</v>
      </c>
      <c r="C330" s="193">
        <v>42261</v>
      </c>
      <c r="D330" s="193">
        <v>42261</v>
      </c>
      <c r="E330" s="562" t="s">
        <v>223</v>
      </c>
      <c r="F330" s="562" t="s">
        <v>1110</v>
      </c>
      <c r="G330" s="562" t="s">
        <v>1114</v>
      </c>
      <c r="H330" s="562"/>
      <c r="I330" s="560">
        <v>5</v>
      </c>
      <c r="J330" s="562" t="s">
        <v>1121</v>
      </c>
      <c r="K330" s="377" t="s">
        <v>1112</v>
      </c>
      <c r="L330" s="449">
        <v>5</v>
      </c>
      <c r="M330" s="449">
        <v>35</v>
      </c>
      <c r="N330" s="448">
        <v>42268</v>
      </c>
    </row>
    <row r="331" spans="1:14">
      <c r="A331" s="577" t="s">
        <v>1415</v>
      </c>
      <c r="B331" s="560" t="s">
        <v>1120</v>
      </c>
      <c r="C331" s="193">
        <v>42261</v>
      </c>
      <c r="D331" s="193">
        <v>42261</v>
      </c>
      <c r="E331" s="562" t="s">
        <v>171</v>
      </c>
      <c r="F331" s="562" t="s">
        <v>1110</v>
      </c>
      <c r="G331" s="563" t="s">
        <v>1116</v>
      </c>
      <c r="H331" s="562">
        <v>44</v>
      </c>
      <c r="I331" s="560">
        <v>44</v>
      </c>
      <c r="J331" s="562"/>
      <c r="K331" s="562" t="s">
        <v>1112</v>
      </c>
      <c r="L331" s="447">
        <v>2</v>
      </c>
      <c r="M331" s="447">
        <v>8</v>
      </c>
      <c r="N331" s="448">
        <v>42272</v>
      </c>
    </row>
    <row r="332" spans="1:14">
      <c r="A332" s="562" t="s">
        <v>1415</v>
      </c>
      <c r="B332" s="560" t="s">
        <v>1120</v>
      </c>
      <c r="C332" s="193">
        <v>42261</v>
      </c>
      <c r="D332" s="193">
        <v>42261</v>
      </c>
      <c r="E332" s="564" t="s">
        <v>172</v>
      </c>
      <c r="F332" s="562" t="s">
        <v>1110</v>
      </c>
      <c r="G332" s="563" t="s">
        <v>1116</v>
      </c>
      <c r="H332" s="565">
        <v>6</v>
      </c>
      <c r="I332" s="564">
        <v>6</v>
      </c>
      <c r="J332" s="377" t="s">
        <v>1416</v>
      </c>
      <c r="K332" s="562" t="s">
        <v>1112</v>
      </c>
      <c r="L332" s="566">
        <v>2</v>
      </c>
      <c r="M332" s="566">
        <v>8</v>
      </c>
      <c r="N332" s="448">
        <v>42272</v>
      </c>
    </row>
    <row r="333" spans="1:14">
      <c r="A333" s="577" t="s">
        <v>1415</v>
      </c>
      <c r="B333" s="560" t="s">
        <v>1120</v>
      </c>
      <c r="C333" s="193">
        <v>42261</v>
      </c>
      <c r="D333" s="193">
        <v>42261</v>
      </c>
      <c r="E333" s="562" t="s">
        <v>176</v>
      </c>
      <c r="F333" s="562" t="s">
        <v>1110</v>
      </c>
      <c r="G333" s="562" t="s">
        <v>1117</v>
      </c>
      <c r="H333" s="354">
        <v>4.8</v>
      </c>
      <c r="I333" s="450">
        <v>4.8</v>
      </c>
      <c r="J333" s="562"/>
      <c r="K333" s="562" t="s">
        <v>1118</v>
      </c>
      <c r="L333" s="447">
        <v>4</v>
      </c>
      <c r="M333" s="447"/>
      <c r="N333" s="448">
        <v>42262</v>
      </c>
    </row>
    <row r="334" spans="1:14">
      <c r="A334" s="562" t="s">
        <v>1417</v>
      </c>
      <c r="B334" s="560">
        <v>45</v>
      </c>
      <c r="C334" s="193">
        <v>42261</v>
      </c>
      <c r="D334" s="193">
        <v>42261</v>
      </c>
      <c r="E334" s="561" t="s">
        <v>195</v>
      </c>
      <c r="F334" s="562" t="s">
        <v>1110</v>
      </c>
      <c r="G334" s="563" t="s">
        <v>1111</v>
      </c>
      <c r="H334" s="562">
        <v>550</v>
      </c>
      <c r="I334" s="560">
        <v>550</v>
      </c>
      <c r="J334" s="562"/>
      <c r="K334" s="377" t="s">
        <v>1112</v>
      </c>
      <c r="L334" s="447">
        <v>6</v>
      </c>
      <c r="M334" s="447">
        <v>42</v>
      </c>
      <c r="N334" s="448">
        <v>42272</v>
      </c>
    </row>
    <row r="335" spans="1:14">
      <c r="A335" s="559" t="s">
        <v>1417</v>
      </c>
      <c r="B335" s="560">
        <v>45</v>
      </c>
      <c r="C335" s="193">
        <v>42261</v>
      </c>
      <c r="D335" s="193">
        <v>42261</v>
      </c>
      <c r="E335" s="562" t="s">
        <v>177</v>
      </c>
      <c r="F335" s="562" t="s">
        <v>1110</v>
      </c>
      <c r="G335" s="562" t="s">
        <v>1113</v>
      </c>
      <c r="H335" s="562">
        <v>139</v>
      </c>
      <c r="I335" s="560">
        <v>139</v>
      </c>
      <c r="J335" s="562"/>
      <c r="K335" s="562" t="s">
        <v>1112</v>
      </c>
      <c r="L335" s="447">
        <v>2</v>
      </c>
      <c r="M335" s="447">
        <v>8</v>
      </c>
      <c r="N335" s="448">
        <v>42262</v>
      </c>
    </row>
    <row r="336" spans="1:14">
      <c r="A336" s="559" t="s">
        <v>1417</v>
      </c>
      <c r="B336" s="560">
        <v>45</v>
      </c>
      <c r="C336" s="193">
        <v>42261</v>
      </c>
      <c r="D336" s="193">
        <v>42261</v>
      </c>
      <c r="E336" s="562" t="s">
        <v>223</v>
      </c>
      <c r="F336" s="562" t="s">
        <v>1110</v>
      </c>
      <c r="G336" s="562" t="s">
        <v>1114</v>
      </c>
      <c r="H336" s="562">
        <v>102</v>
      </c>
      <c r="I336" s="560">
        <v>102</v>
      </c>
      <c r="J336" s="562"/>
      <c r="K336" s="377" t="s">
        <v>1112</v>
      </c>
      <c r="L336" s="449">
        <v>5</v>
      </c>
      <c r="M336" s="449">
        <v>35</v>
      </c>
      <c r="N336" s="448">
        <v>42268</v>
      </c>
    </row>
    <row r="337" spans="1:14">
      <c r="A337" s="559" t="s">
        <v>1417</v>
      </c>
      <c r="B337" s="560">
        <v>45</v>
      </c>
      <c r="C337" s="193">
        <v>42261</v>
      </c>
      <c r="D337" s="193">
        <v>42261</v>
      </c>
      <c r="E337" s="562" t="s">
        <v>171</v>
      </c>
      <c r="F337" s="562" t="s">
        <v>1110</v>
      </c>
      <c r="G337" s="563" t="s">
        <v>1116</v>
      </c>
      <c r="H337" s="562">
        <v>40</v>
      </c>
      <c r="I337" s="560">
        <v>40</v>
      </c>
      <c r="J337" s="562"/>
      <c r="K337" s="562" t="s">
        <v>1112</v>
      </c>
      <c r="L337" s="447">
        <v>2</v>
      </c>
      <c r="M337" s="447">
        <v>8</v>
      </c>
      <c r="N337" s="448">
        <v>42272</v>
      </c>
    </row>
    <row r="338" spans="1:14">
      <c r="A338" s="562" t="s">
        <v>1417</v>
      </c>
      <c r="B338" s="560">
        <v>45</v>
      </c>
      <c r="C338" s="193">
        <v>42261</v>
      </c>
      <c r="D338" s="193">
        <v>42261</v>
      </c>
      <c r="E338" s="564" t="s">
        <v>172</v>
      </c>
      <c r="F338" s="562" t="s">
        <v>1110</v>
      </c>
      <c r="G338" s="563" t="s">
        <v>1116</v>
      </c>
      <c r="H338" s="565">
        <v>3</v>
      </c>
      <c r="I338" s="564">
        <v>3</v>
      </c>
      <c r="J338" s="377" t="s">
        <v>1416</v>
      </c>
      <c r="K338" s="562" t="s">
        <v>1112</v>
      </c>
      <c r="L338" s="566">
        <v>2</v>
      </c>
      <c r="M338" s="566">
        <v>8</v>
      </c>
      <c r="N338" s="448">
        <v>42272</v>
      </c>
    </row>
    <row r="339" spans="1:14">
      <c r="A339" s="559" t="s">
        <v>1417</v>
      </c>
      <c r="B339" s="560">
        <v>45</v>
      </c>
      <c r="C339" s="193">
        <v>42261</v>
      </c>
      <c r="D339" s="193">
        <v>42261</v>
      </c>
      <c r="E339" s="562" t="s">
        <v>176</v>
      </c>
      <c r="F339" s="562" t="s">
        <v>1110</v>
      </c>
      <c r="G339" s="562" t="s">
        <v>1117</v>
      </c>
      <c r="H339" s="354">
        <v>9.8000000000000007</v>
      </c>
      <c r="I339" s="450">
        <v>9.8000000000000007</v>
      </c>
      <c r="J339" s="562"/>
      <c r="K339" s="562" t="s">
        <v>1118</v>
      </c>
      <c r="L339" s="447">
        <v>4</v>
      </c>
      <c r="M339" s="447"/>
      <c r="N339" s="448">
        <v>42262</v>
      </c>
    </row>
    <row r="340" spans="1:14">
      <c r="A340" s="559" t="s">
        <v>1418</v>
      </c>
      <c r="B340" s="829" t="s">
        <v>1124</v>
      </c>
      <c r="C340" s="193">
        <v>42261</v>
      </c>
      <c r="D340" s="193">
        <v>42261</v>
      </c>
      <c r="E340" s="561" t="s">
        <v>195</v>
      </c>
      <c r="F340" s="562" t="s">
        <v>1110</v>
      </c>
      <c r="G340" s="563" t="s">
        <v>1111</v>
      </c>
      <c r="H340" s="562">
        <v>619</v>
      </c>
      <c r="I340" s="560">
        <v>619</v>
      </c>
      <c r="J340" s="562"/>
      <c r="K340" s="377" t="s">
        <v>1112</v>
      </c>
      <c r="L340" s="447">
        <v>6</v>
      </c>
      <c r="M340" s="447">
        <v>42</v>
      </c>
      <c r="N340" s="448">
        <v>42272</v>
      </c>
    </row>
    <row r="341" spans="1:14">
      <c r="A341" s="562" t="s">
        <v>1418</v>
      </c>
      <c r="B341" s="829" t="s">
        <v>1124</v>
      </c>
      <c r="C341" s="193">
        <v>42261</v>
      </c>
      <c r="D341" s="193">
        <v>42261</v>
      </c>
      <c r="E341" s="562" t="s">
        <v>177</v>
      </c>
      <c r="F341" s="562" t="s">
        <v>1110</v>
      </c>
      <c r="G341" s="562" t="s">
        <v>1113</v>
      </c>
      <c r="H341" s="562">
        <v>93</v>
      </c>
      <c r="I341" s="560">
        <v>93</v>
      </c>
      <c r="J341" s="562"/>
      <c r="K341" s="562" t="s">
        <v>1112</v>
      </c>
      <c r="L341" s="447">
        <v>2</v>
      </c>
      <c r="M341" s="447">
        <v>8</v>
      </c>
      <c r="N341" s="448">
        <v>42262</v>
      </c>
    </row>
    <row r="342" spans="1:14">
      <c r="A342" s="577" t="s">
        <v>1418</v>
      </c>
      <c r="B342" s="829" t="s">
        <v>1124</v>
      </c>
      <c r="C342" s="193">
        <v>42261</v>
      </c>
      <c r="D342" s="193">
        <v>42261</v>
      </c>
      <c r="E342" s="562" t="s">
        <v>223</v>
      </c>
      <c r="F342" s="562" t="s">
        <v>1110</v>
      </c>
      <c r="G342" s="562" t="s">
        <v>1114</v>
      </c>
      <c r="H342" s="562">
        <v>138</v>
      </c>
      <c r="I342" s="560">
        <v>138</v>
      </c>
      <c r="J342" s="562"/>
      <c r="K342" s="377" t="s">
        <v>1112</v>
      </c>
      <c r="L342" s="449">
        <v>5</v>
      </c>
      <c r="M342" s="449">
        <v>35</v>
      </c>
      <c r="N342" s="448">
        <v>42268</v>
      </c>
    </row>
    <row r="343" spans="1:14">
      <c r="A343" s="562" t="s">
        <v>1418</v>
      </c>
      <c r="B343" s="829" t="s">
        <v>1124</v>
      </c>
      <c r="C343" s="193">
        <v>42261</v>
      </c>
      <c r="D343" s="193">
        <v>42261</v>
      </c>
      <c r="E343" s="562" t="s">
        <v>171</v>
      </c>
      <c r="F343" s="562" t="s">
        <v>1110</v>
      </c>
      <c r="G343" s="563" t="s">
        <v>1116</v>
      </c>
      <c r="H343" s="562">
        <v>44</v>
      </c>
      <c r="I343" s="560">
        <v>44</v>
      </c>
      <c r="J343" s="562"/>
      <c r="K343" s="562" t="s">
        <v>1112</v>
      </c>
      <c r="L343" s="447">
        <v>2</v>
      </c>
      <c r="M343" s="447">
        <v>8</v>
      </c>
      <c r="N343" s="448">
        <v>42272</v>
      </c>
    </row>
    <row r="344" spans="1:14">
      <c r="A344" s="562" t="s">
        <v>1418</v>
      </c>
      <c r="B344" s="829" t="s">
        <v>1124</v>
      </c>
      <c r="C344" s="193">
        <v>42261</v>
      </c>
      <c r="D344" s="193">
        <v>42261</v>
      </c>
      <c r="E344" s="564" t="s">
        <v>172</v>
      </c>
      <c r="F344" s="562" t="s">
        <v>1110</v>
      </c>
      <c r="G344" s="563" t="s">
        <v>1116</v>
      </c>
      <c r="H344" s="565">
        <v>4</v>
      </c>
      <c r="I344" s="564">
        <v>4</v>
      </c>
      <c r="J344" s="377" t="s">
        <v>1416</v>
      </c>
      <c r="K344" s="562" t="s">
        <v>1112</v>
      </c>
      <c r="L344" s="566">
        <v>2</v>
      </c>
      <c r="M344" s="566">
        <v>8</v>
      </c>
      <c r="N344" s="448">
        <v>42272</v>
      </c>
    </row>
    <row r="345" spans="1:14">
      <c r="A345" s="562" t="s">
        <v>1418</v>
      </c>
      <c r="B345" s="829" t="s">
        <v>1124</v>
      </c>
      <c r="C345" s="193">
        <v>42261</v>
      </c>
      <c r="D345" s="193">
        <v>42261</v>
      </c>
      <c r="E345" s="562" t="s">
        <v>176</v>
      </c>
      <c r="F345" s="562" t="s">
        <v>1110</v>
      </c>
      <c r="G345" s="562" t="s">
        <v>1117</v>
      </c>
      <c r="H345" s="354">
        <v>9.8000000000000007</v>
      </c>
      <c r="I345" s="450">
        <v>9.8000000000000007</v>
      </c>
      <c r="J345" s="562"/>
      <c r="K345" s="562" t="s">
        <v>1118</v>
      </c>
      <c r="L345" s="447">
        <v>4</v>
      </c>
      <c r="M345" s="447"/>
      <c r="N345" s="448">
        <v>42262</v>
      </c>
    </row>
    <row r="346" spans="1:14">
      <c r="A346" s="559" t="s">
        <v>1418</v>
      </c>
      <c r="B346" s="560" t="s">
        <v>1124</v>
      </c>
      <c r="C346" s="193">
        <v>42261</v>
      </c>
      <c r="D346" s="193">
        <v>42261</v>
      </c>
      <c r="E346" s="561" t="s">
        <v>173</v>
      </c>
      <c r="F346" s="559" t="s">
        <v>1110</v>
      </c>
      <c r="G346" s="567" t="s">
        <v>1125</v>
      </c>
      <c r="H346" s="254">
        <v>7</v>
      </c>
      <c r="I346" s="451">
        <v>7</v>
      </c>
      <c r="J346" s="559"/>
      <c r="K346" s="562" t="s">
        <v>1112</v>
      </c>
      <c r="L346" s="566">
        <v>0.1</v>
      </c>
      <c r="M346" s="566"/>
      <c r="N346" s="448">
        <v>42264</v>
      </c>
    </row>
    <row r="347" spans="1:14">
      <c r="A347" s="559" t="s">
        <v>1418</v>
      </c>
      <c r="B347" s="560" t="s">
        <v>1124</v>
      </c>
      <c r="C347" s="193">
        <v>42261</v>
      </c>
      <c r="D347" s="193">
        <v>42261</v>
      </c>
      <c r="E347" s="561" t="s">
        <v>173</v>
      </c>
      <c r="F347" s="559" t="s">
        <v>1110</v>
      </c>
      <c r="G347" s="567" t="s">
        <v>1125</v>
      </c>
      <c r="H347" s="254">
        <v>8.8000000000000007</v>
      </c>
      <c r="I347" s="451">
        <v>8.8000000000000007</v>
      </c>
      <c r="J347" s="559"/>
      <c r="K347" s="562" t="s">
        <v>1112</v>
      </c>
      <c r="L347" s="566">
        <v>0.1</v>
      </c>
      <c r="M347" s="566"/>
      <c r="N347" s="448">
        <v>42264</v>
      </c>
    </row>
    <row r="348" spans="1:14">
      <c r="A348" s="562" t="s">
        <v>1419</v>
      </c>
      <c r="B348" s="560" t="s">
        <v>1127</v>
      </c>
      <c r="C348" s="193">
        <v>42261</v>
      </c>
      <c r="D348" s="193">
        <v>42261</v>
      </c>
      <c r="E348" s="561" t="s">
        <v>195</v>
      </c>
      <c r="F348" s="562" t="s">
        <v>1110</v>
      </c>
      <c r="G348" s="563" t="s">
        <v>1111</v>
      </c>
      <c r="H348" s="562">
        <v>769</v>
      </c>
      <c r="I348" s="560">
        <v>769</v>
      </c>
      <c r="J348" s="559"/>
      <c r="K348" s="377" t="s">
        <v>1112</v>
      </c>
      <c r="L348" s="447">
        <v>6</v>
      </c>
      <c r="M348" s="447">
        <v>42</v>
      </c>
      <c r="N348" s="448">
        <v>42272</v>
      </c>
    </row>
    <row r="349" spans="1:14">
      <c r="A349" s="562" t="s">
        <v>1419</v>
      </c>
      <c r="B349" s="560" t="s">
        <v>1127</v>
      </c>
      <c r="C349" s="193">
        <v>42261</v>
      </c>
      <c r="D349" s="193">
        <v>42261</v>
      </c>
      <c r="E349" s="562" t="s">
        <v>177</v>
      </c>
      <c r="F349" s="562" t="s">
        <v>1110</v>
      </c>
      <c r="G349" s="562" t="s">
        <v>1113</v>
      </c>
      <c r="H349" s="562">
        <v>101</v>
      </c>
      <c r="I349" s="560">
        <v>101</v>
      </c>
      <c r="J349" s="562"/>
      <c r="K349" s="562" t="s">
        <v>1112</v>
      </c>
      <c r="L349" s="447">
        <v>2</v>
      </c>
      <c r="M349" s="447">
        <v>8</v>
      </c>
      <c r="N349" s="448">
        <v>42262</v>
      </c>
    </row>
    <row r="350" spans="1:14">
      <c r="A350" s="577" t="s">
        <v>1419</v>
      </c>
      <c r="B350" s="560" t="s">
        <v>1127</v>
      </c>
      <c r="C350" s="193">
        <v>42261</v>
      </c>
      <c r="D350" s="193">
        <v>42261</v>
      </c>
      <c r="E350" s="562" t="s">
        <v>223</v>
      </c>
      <c r="F350" s="562" t="s">
        <v>1110</v>
      </c>
      <c r="G350" s="562" t="s">
        <v>1114</v>
      </c>
      <c r="H350" s="562">
        <v>243</v>
      </c>
      <c r="I350" s="560">
        <v>243</v>
      </c>
      <c r="J350" s="559"/>
      <c r="K350" s="377" t="s">
        <v>1112</v>
      </c>
      <c r="L350" s="449">
        <v>5</v>
      </c>
      <c r="M350" s="449">
        <v>35</v>
      </c>
      <c r="N350" s="448">
        <v>42268</v>
      </c>
    </row>
    <row r="351" spans="1:14">
      <c r="A351" s="562" t="s">
        <v>1419</v>
      </c>
      <c r="B351" s="560" t="s">
        <v>1127</v>
      </c>
      <c r="C351" s="193">
        <v>42261</v>
      </c>
      <c r="D351" s="193">
        <v>42261</v>
      </c>
      <c r="E351" s="562" t="s">
        <v>171</v>
      </c>
      <c r="F351" s="562" t="s">
        <v>1110</v>
      </c>
      <c r="G351" s="563" t="s">
        <v>1116</v>
      </c>
      <c r="H351" s="562">
        <v>105</v>
      </c>
      <c r="I351" s="560">
        <v>105</v>
      </c>
      <c r="J351" s="559"/>
      <c r="K351" s="562" t="s">
        <v>1112</v>
      </c>
      <c r="L351" s="447">
        <v>2</v>
      </c>
      <c r="M351" s="447">
        <v>8</v>
      </c>
      <c r="N351" s="448">
        <v>42272</v>
      </c>
    </row>
    <row r="352" spans="1:14">
      <c r="A352" s="562" t="s">
        <v>1419</v>
      </c>
      <c r="B352" s="560" t="s">
        <v>1127</v>
      </c>
      <c r="C352" s="193">
        <v>42261</v>
      </c>
      <c r="D352" s="193">
        <v>42261</v>
      </c>
      <c r="E352" s="564" t="s">
        <v>172</v>
      </c>
      <c r="F352" s="562" t="s">
        <v>1110</v>
      </c>
      <c r="G352" s="563" t="s">
        <v>1116</v>
      </c>
      <c r="H352" s="565">
        <v>4</v>
      </c>
      <c r="I352" s="564">
        <v>4</v>
      </c>
      <c r="J352" s="377" t="s">
        <v>1416</v>
      </c>
      <c r="K352" s="562" t="s">
        <v>1112</v>
      </c>
      <c r="L352" s="566">
        <v>2</v>
      </c>
      <c r="M352" s="566">
        <v>8</v>
      </c>
      <c r="N352" s="448">
        <v>42272</v>
      </c>
    </row>
    <row r="353" spans="1:14" s="710" customFormat="1">
      <c r="A353" s="562" t="s">
        <v>1419</v>
      </c>
      <c r="B353" s="829" t="s">
        <v>1127</v>
      </c>
      <c r="C353" s="193">
        <v>42261</v>
      </c>
      <c r="D353" s="193">
        <v>42261</v>
      </c>
      <c r="E353" s="562" t="s">
        <v>176</v>
      </c>
      <c r="F353" s="562" t="s">
        <v>1110</v>
      </c>
      <c r="G353" s="562" t="s">
        <v>1117</v>
      </c>
      <c r="H353" s="354">
        <v>27.4</v>
      </c>
      <c r="I353" s="450">
        <v>27.4</v>
      </c>
      <c r="J353" s="559"/>
      <c r="K353" s="562" t="s">
        <v>1118</v>
      </c>
      <c r="L353" s="447">
        <v>4</v>
      </c>
      <c r="M353" s="447"/>
      <c r="N353" s="448">
        <v>42262</v>
      </c>
    </row>
    <row r="354" spans="1:14">
      <c r="A354" s="577" t="s">
        <v>1420</v>
      </c>
      <c r="B354" s="560" t="s">
        <v>1109</v>
      </c>
      <c r="C354" s="193">
        <v>42275</v>
      </c>
      <c r="D354" s="193">
        <v>42275</v>
      </c>
      <c r="E354" s="561" t="s">
        <v>195</v>
      </c>
      <c r="F354" s="562" t="s">
        <v>1110</v>
      </c>
      <c r="G354" s="563" t="s">
        <v>1111</v>
      </c>
      <c r="H354" s="562">
        <v>1178</v>
      </c>
      <c r="I354" s="560">
        <v>1178</v>
      </c>
      <c r="J354" s="562"/>
      <c r="K354" s="377" t="s">
        <v>1112</v>
      </c>
      <c r="L354" s="447">
        <v>6</v>
      </c>
      <c r="M354" s="447">
        <v>42</v>
      </c>
      <c r="N354" s="448">
        <v>42285</v>
      </c>
    </row>
    <row r="355" spans="1:14">
      <c r="A355" s="577" t="s">
        <v>1420</v>
      </c>
      <c r="B355" s="560" t="s">
        <v>1109</v>
      </c>
      <c r="C355" s="193">
        <v>42275</v>
      </c>
      <c r="D355" s="193">
        <v>42275</v>
      </c>
      <c r="E355" s="562" t="s">
        <v>177</v>
      </c>
      <c r="F355" s="562" t="s">
        <v>1110</v>
      </c>
      <c r="G355" s="562" t="s">
        <v>1113</v>
      </c>
      <c r="H355" s="562">
        <v>1026</v>
      </c>
      <c r="I355" s="560">
        <v>1026</v>
      </c>
      <c r="J355" s="562"/>
      <c r="K355" s="562" t="s">
        <v>1112</v>
      </c>
      <c r="L355" s="447">
        <v>2</v>
      </c>
      <c r="M355" s="447">
        <v>8</v>
      </c>
      <c r="N355" s="448">
        <v>42275</v>
      </c>
    </row>
    <row r="356" spans="1:14">
      <c r="A356" s="577" t="s">
        <v>1420</v>
      </c>
      <c r="B356" s="560" t="s">
        <v>1109</v>
      </c>
      <c r="C356" s="193">
        <v>42275</v>
      </c>
      <c r="D356" s="193">
        <v>42275</v>
      </c>
      <c r="E356" s="562" t="s">
        <v>223</v>
      </c>
      <c r="F356" s="562" t="s">
        <v>1110</v>
      </c>
      <c r="G356" s="562" t="s">
        <v>1114</v>
      </c>
      <c r="H356" s="562">
        <v>20</v>
      </c>
      <c r="I356" s="560">
        <v>20</v>
      </c>
      <c r="J356" s="562" t="s">
        <v>1115</v>
      </c>
      <c r="K356" s="377" t="s">
        <v>1112</v>
      </c>
      <c r="L356" s="449">
        <v>5</v>
      </c>
      <c r="M356" s="449">
        <v>35</v>
      </c>
      <c r="N356" s="448">
        <v>42284</v>
      </c>
    </row>
    <row r="357" spans="1:14">
      <c r="A357" s="577" t="s">
        <v>1420</v>
      </c>
      <c r="B357" s="560" t="s">
        <v>1109</v>
      </c>
      <c r="C357" s="193">
        <v>42275</v>
      </c>
      <c r="D357" s="193">
        <v>42275</v>
      </c>
      <c r="E357" s="562" t="s">
        <v>171</v>
      </c>
      <c r="F357" s="562" t="s">
        <v>1110</v>
      </c>
      <c r="G357" s="563" t="s">
        <v>1116</v>
      </c>
      <c r="H357" s="562">
        <v>14</v>
      </c>
      <c r="I357" s="560">
        <v>14</v>
      </c>
      <c r="J357" s="562"/>
      <c r="K357" s="562" t="s">
        <v>1112</v>
      </c>
      <c r="L357" s="447">
        <v>2</v>
      </c>
      <c r="M357" s="447">
        <v>8</v>
      </c>
      <c r="N357" s="448">
        <v>42285</v>
      </c>
    </row>
    <row r="358" spans="1:14">
      <c r="A358" s="562" t="s">
        <v>1420</v>
      </c>
      <c r="B358" s="560" t="s">
        <v>1109</v>
      </c>
      <c r="C358" s="193">
        <v>42275</v>
      </c>
      <c r="D358" s="193">
        <v>42275</v>
      </c>
      <c r="E358" s="564" t="s">
        <v>172</v>
      </c>
      <c r="F358" s="562" t="s">
        <v>1110</v>
      </c>
      <c r="G358" s="563" t="s">
        <v>1116</v>
      </c>
      <c r="H358" s="565"/>
      <c r="I358" s="564">
        <v>2</v>
      </c>
      <c r="J358" s="377" t="s">
        <v>1121</v>
      </c>
      <c r="K358" s="562" t="s">
        <v>1112</v>
      </c>
      <c r="L358" s="566">
        <v>2</v>
      </c>
      <c r="M358" s="566">
        <v>8</v>
      </c>
      <c r="N358" s="448">
        <v>42285</v>
      </c>
    </row>
    <row r="359" spans="1:14">
      <c r="A359" s="577" t="s">
        <v>1420</v>
      </c>
      <c r="B359" s="560" t="s">
        <v>1109</v>
      </c>
      <c r="C359" s="193">
        <v>42275</v>
      </c>
      <c r="D359" s="193">
        <v>42275</v>
      </c>
      <c r="E359" s="562" t="s">
        <v>176</v>
      </c>
      <c r="F359" s="562" t="s">
        <v>1110</v>
      </c>
      <c r="G359" s="562" t="s">
        <v>1117</v>
      </c>
      <c r="H359" s="354">
        <v>90.4</v>
      </c>
      <c r="I359" s="450">
        <v>90.4</v>
      </c>
      <c r="J359" s="562"/>
      <c r="K359" s="562" t="s">
        <v>1118</v>
      </c>
      <c r="L359" s="447">
        <v>4</v>
      </c>
      <c r="M359" s="447"/>
      <c r="N359" s="448">
        <v>42279</v>
      </c>
    </row>
    <row r="360" spans="1:14">
      <c r="A360" s="559" t="s">
        <v>1421</v>
      </c>
      <c r="B360" s="560" t="s">
        <v>1120</v>
      </c>
      <c r="C360" s="193">
        <v>42275</v>
      </c>
      <c r="D360" s="193">
        <v>42275</v>
      </c>
      <c r="E360" s="561" t="s">
        <v>195</v>
      </c>
      <c r="F360" s="562" t="s">
        <v>1110</v>
      </c>
      <c r="G360" s="563" t="s">
        <v>1111</v>
      </c>
      <c r="H360" s="562">
        <v>1138</v>
      </c>
      <c r="I360" s="560">
        <v>1138</v>
      </c>
      <c r="J360" s="562"/>
      <c r="K360" s="377" t="s">
        <v>1112</v>
      </c>
      <c r="L360" s="447">
        <v>6</v>
      </c>
      <c r="M360" s="447">
        <v>42</v>
      </c>
      <c r="N360" s="448">
        <v>42285</v>
      </c>
    </row>
    <row r="361" spans="1:14">
      <c r="A361" s="577" t="s">
        <v>1421</v>
      </c>
      <c r="B361" s="560" t="s">
        <v>1120</v>
      </c>
      <c r="C361" s="193">
        <v>42275</v>
      </c>
      <c r="D361" s="193">
        <v>42275</v>
      </c>
      <c r="E361" s="562" t="s">
        <v>177</v>
      </c>
      <c r="F361" s="562" t="s">
        <v>1110</v>
      </c>
      <c r="G361" s="562" t="s">
        <v>1113</v>
      </c>
      <c r="H361" s="562">
        <v>781</v>
      </c>
      <c r="I361" s="560">
        <v>781</v>
      </c>
      <c r="J361" s="562"/>
      <c r="K361" s="562" t="s">
        <v>1112</v>
      </c>
      <c r="L361" s="447">
        <v>2</v>
      </c>
      <c r="M361" s="447">
        <v>8</v>
      </c>
      <c r="N361" s="448">
        <v>42275</v>
      </c>
    </row>
    <row r="362" spans="1:14">
      <c r="A362" s="577" t="s">
        <v>1421</v>
      </c>
      <c r="B362" s="560" t="s">
        <v>1120</v>
      </c>
      <c r="C362" s="193">
        <v>42275</v>
      </c>
      <c r="D362" s="193">
        <v>42275</v>
      </c>
      <c r="E362" s="562" t="s">
        <v>223</v>
      </c>
      <c r="F362" s="562" t="s">
        <v>1110</v>
      </c>
      <c r="G362" s="562" t="s">
        <v>1114</v>
      </c>
      <c r="H362" s="562">
        <v>36</v>
      </c>
      <c r="I362" s="560">
        <v>36</v>
      </c>
      <c r="J362" s="562"/>
      <c r="K362" s="377" t="s">
        <v>1112</v>
      </c>
      <c r="L362" s="449">
        <v>5</v>
      </c>
      <c r="M362" s="449">
        <v>35</v>
      </c>
      <c r="N362" s="448">
        <v>42284</v>
      </c>
    </row>
    <row r="363" spans="1:14">
      <c r="A363" s="577" t="s">
        <v>1421</v>
      </c>
      <c r="B363" s="560" t="s">
        <v>1120</v>
      </c>
      <c r="C363" s="193">
        <v>42275</v>
      </c>
      <c r="D363" s="193">
        <v>42275</v>
      </c>
      <c r="E363" s="562" t="s">
        <v>171</v>
      </c>
      <c r="F363" s="562" t="s">
        <v>1110</v>
      </c>
      <c r="G363" s="563" t="s">
        <v>1116</v>
      </c>
      <c r="H363" s="562">
        <v>112</v>
      </c>
      <c r="I363" s="560">
        <v>112</v>
      </c>
      <c r="J363" s="562"/>
      <c r="K363" s="562" t="s">
        <v>1112</v>
      </c>
      <c r="L363" s="447">
        <v>2</v>
      </c>
      <c r="M363" s="447">
        <v>8</v>
      </c>
      <c r="N363" s="448">
        <v>42285</v>
      </c>
    </row>
    <row r="364" spans="1:14">
      <c r="A364" s="562" t="s">
        <v>1421</v>
      </c>
      <c r="B364" s="560" t="s">
        <v>1120</v>
      </c>
      <c r="C364" s="193">
        <v>42275</v>
      </c>
      <c r="D364" s="193">
        <v>42275</v>
      </c>
      <c r="E364" s="564" t="s">
        <v>172</v>
      </c>
      <c r="F364" s="562" t="s">
        <v>1110</v>
      </c>
      <c r="G364" s="563" t="s">
        <v>1116</v>
      </c>
      <c r="H364" s="565">
        <v>17</v>
      </c>
      <c r="I364" s="564">
        <v>17</v>
      </c>
      <c r="J364" s="377"/>
      <c r="K364" s="562" t="s">
        <v>1112</v>
      </c>
      <c r="L364" s="566">
        <v>2</v>
      </c>
      <c r="M364" s="566">
        <v>8</v>
      </c>
      <c r="N364" s="448">
        <v>42285</v>
      </c>
    </row>
    <row r="365" spans="1:14">
      <c r="A365" s="577" t="s">
        <v>1421</v>
      </c>
      <c r="B365" s="560" t="s">
        <v>1120</v>
      </c>
      <c r="C365" s="193">
        <v>42275</v>
      </c>
      <c r="D365" s="193">
        <v>42275</v>
      </c>
      <c r="E365" s="562" t="s">
        <v>176</v>
      </c>
      <c r="F365" s="562" t="s">
        <v>1110</v>
      </c>
      <c r="G365" s="562" t="s">
        <v>1117</v>
      </c>
      <c r="H365" s="354">
        <v>6</v>
      </c>
      <c r="I365" s="450">
        <v>6</v>
      </c>
      <c r="J365" s="562"/>
      <c r="K365" s="562" t="s">
        <v>1118</v>
      </c>
      <c r="L365" s="447">
        <v>4</v>
      </c>
      <c r="M365" s="447"/>
      <c r="N365" s="448">
        <v>42279</v>
      </c>
    </row>
    <row r="366" spans="1:14">
      <c r="A366" s="562" t="s">
        <v>1422</v>
      </c>
      <c r="B366" s="560">
        <v>45</v>
      </c>
      <c r="C366" s="193">
        <v>42275</v>
      </c>
      <c r="D366" s="193">
        <v>42275</v>
      </c>
      <c r="E366" s="561" t="s">
        <v>195</v>
      </c>
      <c r="F366" s="562" t="s">
        <v>1110</v>
      </c>
      <c r="G366" s="563" t="s">
        <v>1111</v>
      </c>
      <c r="H366" s="562">
        <v>696</v>
      </c>
      <c r="I366" s="560">
        <v>696</v>
      </c>
      <c r="J366" s="562"/>
      <c r="K366" s="377" t="s">
        <v>1112</v>
      </c>
      <c r="L366" s="447">
        <v>6</v>
      </c>
      <c r="M366" s="447">
        <v>42</v>
      </c>
      <c r="N366" s="448">
        <v>42285</v>
      </c>
    </row>
    <row r="367" spans="1:14">
      <c r="A367" s="559" t="s">
        <v>1422</v>
      </c>
      <c r="B367" s="560">
        <v>45</v>
      </c>
      <c r="C367" s="193">
        <v>42275</v>
      </c>
      <c r="D367" s="193">
        <v>42275</v>
      </c>
      <c r="E367" s="562" t="s">
        <v>177</v>
      </c>
      <c r="F367" s="562" t="s">
        <v>1110</v>
      </c>
      <c r="G367" s="562" t="s">
        <v>1113</v>
      </c>
      <c r="H367" s="562">
        <v>158</v>
      </c>
      <c r="I367" s="560">
        <v>158</v>
      </c>
      <c r="J367" s="562"/>
      <c r="K367" s="562" t="s">
        <v>1112</v>
      </c>
      <c r="L367" s="447">
        <v>2</v>
      </c>
      <c r="M367" s="447">
        <v>8</v>
      </c>
      <c r="N367" s="448">
        <v>42275</v>
      </c>
    </row>
    <row r="368" spans="1:14">
      <c r="A368" s="559" t="s">
        <v>1422</v>
      </c>
      <c r="B368" s="560">
        <v>45</v>
      </c>
      <c r="C368" s="193">
        <v>42275</v>
      </c>
      <c r="D368" s="193">
        <v>42275</v>
      </c>
      <c r="E368" s="562" t="s">
        <v>223</v>
      </c>
      <c r="F368" s="562" t="s">
        <v>1110</v>
      </c>
      <c r="G368" s="562" t="s">
        <v>1114</v>
      </c>
      <c r="H368" s="562">
        <v>71</v>
      </c>
      <c r="I368" s="560">
        <v>71</v>
      </c>
      <c r="J368" s="562"/>
      <c r="K368" s="377" t="s">
        <v>1112</v>
      </c>
      <c r="L368" s="449">
        <v>5</v>
      </c>
      <c r="M368" s="449">
        <v>35</v>
      </c>
      <c r="N368" s="448">
        <v>42284</v>
      </c>
    </row>
    <row r="369" spans="1:14">
      <c r="A369" s="559" t="s">
        <v>1422</v>
      </c>
      <c r="B369" s="560">
        <v>45</v>
      </c>
      <c r="C369" s="193">
        <v>42275</v>
      </c>
      <c r="D369" s="193">
        <v>42275</v>
      </c>
      <c r="E369" s="562" t="s">
        <v>171</v>
      </c>
      <c r="F369" s="562" t="s">
        <v>1110</v>
      </c>
      <c r="G369" s="563" t="s">
        <v>1116</v>
      </c>
      <c r="H369" s="562">
        <v>52</v>
      </c>
      <c r="I369" s="560">
        <v>52</v>
      </c>
      <c r="J369" s="562"/>
      <c r="K369" s="562" t="s">
        <v>1112</v>
      </c>
      <c r="L369" s="447">
        <v>2</v>
      </c>
      <c r="M369" s="447">
        <v>8</v>
      </c>
      <c r="N369" s="448">
        <v>42285</v>
      </c>
    </row>
    <row r="370" spans="1:14">
      <c r="A370" s="562" t="s">
        <v>1422</v>
      </c>
      <c r="B370" s="560">
        <v>45</v>
      </c>
      <c r="C370" s="193">
        <v>42275</v>
      </c>
      <c r="D370" s="193">
        <v>42275</v>
      </c>
      <c r="E370" s="564" t="s">
        <v>172</v>
      </c>
      <c r="F370" s="562" t="s">
        <v>1110</v>
      </c>
      <c r="G370" s="563" t="s">
        <v>1116</v>
      </c>
      <c r="H370" s="565">
        <v>7</v>
      </c>
      <c r="I370" s="564">
        <v>7</v>
      </c>
      <c r="J370" s="377" t="s">
        <v>1115</v>
      </c>
      <c r="K370" s="562" t="s">
        <v>1112</v>
      </c>
      <c r="L370" s="566">
        <v>2</v>
      </c>
      <c r="M370" s="566">
        <v>8</v>
      </c>
      <c r="N370" s="448">
        <v>42285</v>
      </c>
    </row>
    <row r="371" spans="1:14">
      <c r="A371" s="559" t="s">
        <v>1422</v>
      </c>
      <c r="B371" s="560">
        <v>45</v>
      </c>
      <c r="C371" s="193">
        <v>42275</v>
      </c>
      <c r="D371" s="193">
        <v>42275</v>
      </c>
      <c r="E371" s="562" t="s">
        <v>176</v>
      </c>
      <c r="F371" s="562" t="s">
        <v>1110</v>
      </c>
      <c r="G371" s="562" t="s">
        <v>1117</v>
      </c>
      <c r="H371" s="354">
        <v>9.6</v>
      </c>
      <c r="I371" s="450">
        <v>9.6</v>
      </c>
      <c r="J371" s="562"/>
      <c r="K371" s="562" t="s">
        <v>1118</v>
      </c>
      <c r="L371" s="447">
        <v>4</v>
      </c>
      <c r="M371" s="447"/>
      <c r="N371" s="448">
        <v>42279</v>
      </c>
    </row>
    <row r="372" spans="1:14">
      <c r="A372" s="559" t="s">
        <v>1423</v>
      </c>
      <c r="B372" s="829" t="s">
        <v>1124</v>
      </c>
      <c r="C372" s="193">
        <v>42275</v>
      </c>
      <c r="D372" s="193">
        <v>42275</v>
      </c>
      <c r="E372" s="561" t="s">
        <v>195</v>
      </c>
      <c r="F372" s="562" t="s">
        <v>1110</v>
      </c>
      <c r="G372" s="563" t="s">
        <v>1111</v>
      </c>
      <c r="H372" s="562">
        <v>1260</v>
      </c>
      <c r="I372" s="560">
        <v>1260</v>
      </c>
      <c r="J372" s="562"/>
      <c r="K372" s="377" t="s">
        <v>1112</v>
      </c>
      <c r="L372" s="447">
        <v>6</v>
      </c>
      <c r="M372" s="447">
        <v>42</v>
      </c>
      <c r="N372" s="448">
        <v>42285</v>
      </c>
    </row>
    <row r="373" spans="1:14">
      <c r="A373" s="562" t="s">
        <v>1423</v>
      </c>
      <c r="B373" s="829" t="s">
        <v>1124</v>
      </c>
      <c r="C373" s="193">
        <v>42275</v>
      </c>
      <c r="D373" s="193">
        <v>42275</v>
      </c>
      <c r="E373" s="562" t="s">
        <v>177</v>
      </c>
      <c r="F373" s="562" t="s">
        <v>1110</v>
      </c>
      <c r="G373" s="562" t="s">
        <v>1113</v>
      </c>
      <c r="H373" s="562">
        <v>132</v>
      </c>
      <c r="I373" s="560">
        <v>132</v>
      </c>
      <c r="J373" s="562"/>
      <c r="K373" s="562" t="s">
        <v>1112</v>
      </c>
      <c r="L373" s="447">
        <v>2</v>
      </c>
      <c r="M373" s="447">
        <v>8</v>
      </c>
      <c r="N373" s="448">
        <v>42275</v>
      </c>
    </row>
    <row r="374" spans="1:14">
      <c r="A374" s="577" t="s">
        <v>1423</v>
      </c>
      <c r="B374" s="829" t="s">
        <v>1124</v>
      </c>
      <c r="C374" s="193">
        <v>42275</v>
      </c>
      <c r="D374" s="193">
        <v>42275</v>
      </c>
      <c r="E374" s="562" t="s">
        <v>223</v>
      </c>
      <c r="F374" s="562" t="s">
        <v>1110</v>
      </c>
      <c r="G374" s="562" t="s">
        <v>1114</v>
      </c>
      <c r="H374" s="562">
        <v>35</v>
      </c>
      <c r="I374" s="560">
        <v>35</v>
      </c>
      <c r="J374" s="562" t="s">
        <v>1115</v>
      </c>
      <c r="K374" s="377" t="s">
        <v>1112</v>
      </c>
      <c r="L374" s="449">
        <v>5</v>
      </c>
      <c r="M374" s="449">
        <v>35</v>
      </c>
      <c r="N374" s="448">
        <v>42284</v>
      </c>
    </row>
    <row r="375" spans="1:14">
      <c r="A375" s="562" t="s">
        <v>1423</v>
      </c>
      <c r="B375" s="829" t="s">
        <v>1124</v>
      </c>
      <c r="C375" s="193">
        <v>42275</v>
      </c>
      <c r="D375" s="193">
        <v>42275</v>
      </c>
      <c r="E375" s="562" t="s">
        <v>171</v>
      </c>
      <c r="F375" s="562" t="s">
        <v>1110</v>
      </c>
      <c r="G375" s="563" t="s">
        <v>1116</v>
      </c>
      <c r="H375" s="562">
        <v>112</v>
      </c>
      <c r="I375" s="560">
        <v>112</v>
      </c>
      <c r="J375" s="562"/>
      <c r="K375" s="562" t="s">
        <v>1112</v>
      </c>
      <c r="L375" s="447">
        <v>2</v>
      </c>
      <c r="M375" s="447">
        <v>8</v>
      </c>
      <c r="N375" s="448">
        <v>42285</v>
      </c>
    </row>
    <row r="376" spans="1:14">
      <c r="A376" s="562" t="s">
        <v>1423</v>
      </c>
      <c r="B376" s="829" t="s">
        <v>1124</v>
      </c>
      <c r="C376" s="193">
        <v>42275</v>
      </c>
      <c r="D376" s="193">
        <v>42275</v>
      </c>
      <c r="E376" s="564" t="s">
        <v>172</v>
      </c>
      <c r="F376" s="562" t="s">
        <v>1110</v>
      </c>
      <c r="G376" s="563" t="s">
        <v>1116</v>
      </c>
      <c r="H376" s="565">
        <v>20</v>
      </c>
      <c r="I376" s="564">
        <v>20</v>
      </c>
      <c r="J376" s="377"/>
      <c r="K376" s="562" t="s">
        <v>1112</v>
      </c>
      <c r="L376" s="566">
        <v>2</v>
      </c>
      <c r="M376" s="566">
        <v>8</v>
      </c>
      <c r="N376" s="448">
        <v>42285</v>
      </c>
    </row>
    <row r="377" spans="1:14">
      <c r="A377" s="562" t="s">
        <v>1423</v>
      </c>
      <c r="B377" s="829" t="s">
        <v>1124</v>
      </c>
      <c r="C377" s="193">
        <v>42275</v>
      </c>
      <c r="D377" s="193">
        <v>42275</v>
      </c>
      <c r="E377" s="562" t="s">
        <v>176</v>
      </c>
      <c r="F377" s="562" t="s">
        <v>1110</v>
      </c>
      <c r="G377" s="562" t="s">
        <v>1117</v>
      </c>
      <c r="H377" s="354">
        <v>15.4</v>
      </c>
      <c r="I377" s="450">
        <v>15.4</v>
      </c>
      <c r="J377" s="562"/>
      <c r="K377" s="562" t="s">
        <v>1118</v>
      </c>
      <c r="L377" s="447">
        <v>4</v>
      </c>
      <c r="M377" s="447"/>
      <c r="N377" s="448">
        <v>42279</v>
      </c>
    </row>
    <row r="378" spans="1:14">
      <c r="A378" s="559" t="s">
        <v>1423</v>
      </c>
      <c r="B378" s="560" t="s">
        <v>1124</v>
      </c>
      <c r="C378" s="193">
        <v>42275</v>
      </c>
      <c r="D378" s="193">
        <v>42275</v>
      </c>
      <c r="E378" s="561" t="s">
        <v>173</v>
      </c>
      <c r="F378" s="559" t="s">
        <v>1110</v>
      </c>
      <c r="G378" s="567" t="s">
        <v>1125</v>
      </c>
      <c r="H378" s="254">
        <v>52</v>
      </c>
      <c r="I378" s="451">
        <v>52</v>
      </c>
      <c r="J378" s="559"/>
      <c r="K378" s="562" t="s">
        <v>1112</v>
      </c>
      <c r="L378" s="566">
        <v>0.1</v>
      </c>
      <c r="M378" s="566"/>
      <c r="N378" s="448">
        <v>42289</v>
      </c>
    </row>
    <row r="379" spans="1:14">
      <c r="A379" s="559" t="s">
        <v>1423</v>
      </c>
      <c r="B379" s="560" t="s">
        <v>1124</v>
      </c>
      <c r="C379" s="193">
        <v>42275</v>
      </c>
      <c r="D379" s="193">
        <v>42275</v>
      </c>
      <c r="E379" s="561" t="s">
        <v>173</v>
      </c>
      <c r="F379" s="559" t="s">
        <v>1110</v>
      </c>
      <c r="G379" s="567" t="s">
        <v>1125</v>
      </c>
      <c r="H379" s="254">
        <v>39.4</v>
      </c>
      <c r="I379" s="451">
        <v>39.4</v>
      </c>
      <c r="J379" s="559"/>
      <c r="K379" s="562" t="s">
        <v>1112</v>
      </c>
      <c r="L379" s="566">
        <v>0.1</v>
      </c>
      <c r="M379" s="566"/>
      <c r="N379" s="448">
        <v>42289</v>
      </c>
    </row>
    <row r="380" spans="1:14">
      <c r="A380" s="562" t="s">
        <v>1424</v>
      </c>
      <c r="B380" s="560" t="s">
        <v>1127</v>
      </c>
      <c r="C380" s="193">
        <v>42275</v>
      </c>
      <c r="D380" s="193">
        <v>42275</v>
      </c>
      <c r="E380" s="561" t="s">
        <v>195</v>
      </c>
      <c r="F380" s="562" t="s">
        <v>1110</v>
      </c>
      <c r="G380" s="563" t="s">
        <v>1111</v>
      </c>
      <c r="H380" s="562">
        <v>723</v>
      </c>
      <c r="I380" s="560">
        <v>723</v>
      </c>
      <c r="J380" s="559"/>
      <c r="K380" s="377" t="s">
        <v>1112</v>
      </c>
      <c r="L380" s="447">
        <v>6</v>
      </c>
      <c r="M380" s="447">
        <v>42</v>
      </c>
      <c r="N380" s="448">
        <v>42285</v>
      </c>
    </row>
    <row r="381" spans="1:14">
      <c r="A381" s="562" t="s">
        <v>1424</v>
      </c>
      <c r="B381" s="560" t="s">
        <v>1127</v>
      </c>
      <c r="C381" s="193">
        <v>42275</v>
      </c>
      <c r="D381" s="193">
        <v>42275</v>
      </c>
      <c r="E381" s="562" t="s">
        <v>177</v>
      </c>
      <c r="F381" s="562" t="s">
        <v>1110</v>
      </c>
      <c r="G381" s="562" t="s">
        <v>1113</v>
      </c>
      <c r="H381" s="562">
        <v>153</v>
      </c>
      <c r="I381" s="560">
        <v>153</v>
      </c>
      <c r="J381" s="562"/>
      <c r="K381" s="562" t="s">
        <v>1112</v>
      </c>
      <c r="L381" s="447">
        <v>2</v>
      </c>
      <c r="M381" s="447">
        <v>8</v>
      </c>
      <c r="N381" s="448">
        <v>42275</v>
      </c>
    </row>
    <row r="382" spans="1:14">
      <c r="A382" s="577" t="s">
        <v>1424</v>
      </c>
      <c r="B382" s="560" t="s">
        <v>1127</v>
      </c>
      <c r="C382" s="193">
        <v>42275</v>
      </c>
      <c r="D382" s="193">
        <v>42275</v>
      </c>
      <c r="E382" s="562" t="s">
        <v>223</v>
      </c>
      <c r="F382" s="562" t="s">
        <v>1110</v>
      </c>
      <c r="G382" s="562" t="s">
        <v>1114</v>
      </c>
      <c r="H382" s="562">
        <v>276</v>
      </c>
      <c r="I382" s="560">
        <v>276</v>
      </c>
      <c r="J382" s="559"/>
      <c r="K382" s="377" t="s">
        <v>1112</v>
      </c>
      <c r="L382" s="449">
        <v>5</v>
      </c>
      <c r="M382" s="449">
        <v>35</v>
      </c>
      <c r="N382" s="448">
        <v>42284</v>
      </c>
    </row>
    <row r="383" spans="1:14">
      <c r="A383" s="562" t="s">
        <v>1424</v>
      </c>
      <c r="B383" s="560" t="s">
        <v>1127</v>
      </c>
      <c r="C383" s="193">
        <v>42275</v>
      </c>
      <c r="D383" s="193">
        <v>42275</v>
      </c>
      <c r="E383" s="562" t="s">
        <v>171</v>
      </c>
      <c r="F383" s="562" t="s">
        <v>1110</v>
      </c>
      <c r="G383" s="563" t="s">
        <v>1116</v>
      </c>
      <c r="H383" s="562">
        <v>191</v>
      </c>
      <c r="I383" s="560">
        <v>191</v>
      </c>
      <c r="J383" s="559"/>
      <c r="K383" s="562" t="s">
        <v>1112</v>
      </c>
      <c r="L383" s="447">
        <v>2</v>
      </c>
      <c r="M383" s="447">
        <v>8</v>
      </c>
      <c r="N383" s="448">
        <v>42285</v>
      </c>
    </row>
    <row r="384" spans="1:14">
      <c r="A384" s="562" t="s">
        <v>1424</v>
      </c>
      <c r="B384" s="560" t="s">
        <v>1127</v>
      </c>
      <c r="C384" s="193">
        <v>42275</v>
      </c>
      <c r="D384" s="193">
        <v>42275</v>
      </c>
      <c r="E384" s="564" t="s">
        <v>172</v>
      </c>
      <c r="F384" s="562" t="s">
        <v>1110</v>
      </c>
      <c r="G384" s="563" t="s">
        <v>1116</v>
      </c>
      <c r="H384" s="565">
        <v>6</v>
      </c>
      <c r="I384" s="564">
        <v>6</v>
      </c>
      <c r="J384" s="377" t="s">
        <v>1115</v>
      </c>
      <c r="K384" s="562" t="s">
        <v>1112</v>
      </c>
      <c r="L384" s="566">
        <v>2</v>
      </c>
      <c r="M384" s="566">
        <v>8</v>
      </c>
      <c r="N384" s="448">
        <v>42285</v>
      </c>
    </row>
    <row r="385" spans="1:14" s="710" customFormat="1">
      <c r="A385" s="562" t="s">
        <v>1424</v>
      </c>
      <c r="B385" s="829" t="s">
        <v>1127</v>
      </c>
      <c r="C385" s="193">
        <v>42275</v>
      </c>
      <c r="D385" s="193">
        <v>42275</v>
      </c>
      <c r="E385" s="562" t="s">
        <v>176</v>
      </c>
      <c r="F385" s="562" t="s">
        <v>1110</v>
      </c>
      <c r="G385" s="562" t="s">
        <v>1117</v>
      </c>
      <c r="H385" s="354">
        <v>81.3</v>
      </c>
      <c r="I385" s="450">
        <v>81.3</v>
      </c>
      <c r="J385" s="559"/>
      <c r="K385" s="562" t="s">
        <v>1118</v>
      </c>
      <c r="L385" s="447">
        <v>4</v>
      </c>
      <c r="M385" s="447"/>
      <c r="N385" s="448">
        <v>42279</v>
      </c>
    </row>
    <row r="386" spans="1:14">
      <c r="A386" s="577" t="s">
        <v>1438</v>
      </c>
      <c r="B386" s="560" t="s">
        <v>1109</v>
      </c>
      <c r="C386" s="193">
        <v>42296</v>
      </c>
      <c r="D386" s="193">
        <v>42296</v>
      </c>
      <c r="E386" s="561" t="s">
        <v>195</v>
      </c>
      <c r="F386" s="562" t="s">
        <v>1110</v>
      </c>
      <c r="G386" s="563" t="s">
        <v>1111</v>
      </c>
      <c r="H386" s="562">
        <v>718</v>
      </c>
      <c r="I386" s="560">
        <v>718</v>
      </c>
      <c r="J386" s="562"/>
      <c r="K386" s="377" t="s">
        <v>1112</v>
      </c>
      <c r="L386" s="447">
        <v>6</v>
      </c>
      <c r="M386" s="447">
        <v>42</v>
      </c>
      <c r="N386" s="448">
        <v>42303</v>
      </c>
    </row>
    <row r="387" spans="1:14">
      <c r="A387" s="577" t="s">
        <v>1438</v>
      </c>
      <c r="B387" s="560" t="s">
        <v>1109</v>
      </c>
      <c r="C387" s="193">
        <v>42296</v>
      </c>
      <c r="D387" s="193">
        <v>42296</v>
      </c>
      <c r="E387" s="562" t="s">
        <v>177</v>
      </c>
      <c r="F387" s="562" t="s">
        <v>1110</v>
      </c>
      <c r="G387" s="562" t="s">
        <v>1113</v>
      </c>
      <c r="H387" s="562">
        <v>417</v>
      </c>
      <c r="I387" s="560">
        <v>417</v>
      </c>
      <c r="J387" s="562"/>
      <c r="K387" s="562" t="s">
        <v>1112</v>
      </c>
      <c r="L387" s="447">
        <v>2</v>
      </c>
      <c r="M387" s="447">
        <v>8</v>
      </c>
      <c r="N387" s="448">
        <v>42297</v>
      </c>
    </row>
    <row r="388" spans="1:14">
      <c r="A388" s="577" t="s">
        <v>1438</v>
      </c>
      <c r="B388" s="560" t="s">
        <v>1109</v>
      </c>
      <c r="C388" s="193">
        <v>42296</v>
      </c>
      <c r="D388" s="193">
        <v>42296</v>
      </c>
      <c r="E388" s="562" t="s">
        <v>223</v>
      </c>
      <c r="F388" s="562" t="s">
        <v>1110</v>
      </c>
      <c r="G388" s="562" t="s">
        <v>1114</v>
      </c>
      <c r="H388" s="562">
        <v>27</v>
      </c>
      <c r="I388" s="560">
        <v>27</v>
      </c>
      <c r="J388" s="562" t="s">
        <v>1115</v>
      </c>
      <c r="K388" s="377" t="s">
        <v>1112</v>
      </c>
      <c r="L388" s="449">
        <v>5</v>
      </c>
      <c r="M388" s="449">
        <v>35</v>
      </c>
      <c r="N388" s="448">
        <v>42300</v>
      </c>
    </row>
    <row r="389" spans="1:14">
      <c r="A389" s="577" t="s">
        <v>1438</v>
      </c>
      <c r="B389" s="560" t="s">
        <v>1109</v>
      </c>
      <c r="C389" s="193">
        <v>42296</v>
      </c>
      <c r="D389" s="193">
        <v>42296</v>
      </c>
      <c r="E389" s="562" t="s">
        <v>171</v>
      </c>
      <c r="F389" s="562" t="s">
        <v>1110</v>
      </c>
      <c r="G389" s="563" t="s">
        <v>1116</v>
      </c>
      <c r="H389" s="562">
        <v>7</v>
      </c>
      <c r="I389" s="560">
        <v>7</v>
      </c>
      <c r="J389" s="562" t="s">
        <v>1115</v>
      </c>
      <c r="K389" s="562" t="s">
        <v>1112</v>
      </c>
      <c r="L389" s="447">
        <v>2</v>
      </c>
      <c r="M389" s="447">
        <v>8</v>
      </c>
      <c r="N389" s="448">
        <v>42303</v>
      </c>
    </row>
    <row r="390" spans="1:14">
      <c r="A390" s="562" t="s">
        <v>1438</v>
      </c>
      <c r="B390" s="560" t="s">
        <v>1109</v>
      </c>
      <c r="C390" s="193">
        <v>42296</v>
      </c>
      <c r="D390" s="193">
        <v>42296</v>
      </c>
      <c r="E390" s="564" t="s">
        <v>172</v>
      </c>
      <c r="F390" s="562" t="s">
        <v>1110</v>
      </c>
      <c r="G390" s="563" t="s">
        <v>1116</v>
      </c>
      <c r="H390" s="565"/>
      <c r="I390" s="564">
        <v>2</v>
      </c>
      <c r="J390" s="377" t="s">
        <v>1121</v>
      </c>
      <c r="K390" s="562" t="s">
        <v>1112</v>
      </c>
      <c r="L390" s="566">
        <v>2</v>
      </c>
      <c r="M390" s="566">
        <v>8</v>
      </c>
      <c r="N390" s="448">
        <v>42303</v>
      </c>
    </row>
    <row r="391" spans="1:14">
      <c r="A391" s="577" t="s">
        <v>1438</v>
      </c>
      <c r="B391" s="560" t="s">
        <v>1109</v>
      </c>
      <c r="C391" s="193">
        <v>42296</v>
      </c>
      <c r="D391" s="193">
        <v>42296</v>
      </c>
      <c r="E391" s="562" t="s">
        <v>176</v>
      </c>
      <c r="F391" s="562" t="s">
        <v>1110</v>
      </c>
      <c r="G391" s="562" t="s">
        <v>1117</v>
      </c>
      <c r="H391" s="354">
        <v>6.8</v>
      </c>
      <c r="I391" s="450">
        <v>6.8</v>
      </c>
      <c r="J391" s="562"/>
      <c r="K391" s="562" t="s">
        <v>1118</v>
      </c>
      <c r="L391" s="447">
        <v>4</v>
      </c>
      <c r="M391" s="447"/>
      <c r="N391" s="448">
        <v>42307</v>
      </c>
    </row>
    <row r="392" spans="1:14">
      <c r="A392" s="559" t="s">
        <v>1439</v>
      </c>
      <c r="B392" s="560" t="s">
        <v>1120</v>
      </c>
      <c r="C392" s="193">
        <v>42296</v>
      </c>
      <c r="D392" s="193">
        <v>42296</v>
      </c>
      <c r="E392" s="561" t="s">
        <v>195</v>
      </c>
      <c r="F392" s="562" t="s">
        <v>1110</v>
      </c>
      <c r="G392" s="563" t="s">
        <v>1111</v>
      </c>
      <c r="H392" s="562">
        <v>1028</v>
      </c>
      <c r="I392" s="560">
        <v>1028</v>
      </c>
      <c r="J392" s="562"/>
      <c r="K392" s="377" t="s">
        <v>1112</v>
      </c>
      <c r="L392" s="447">
        <v>6</v>
      </c>
      <c r="M392" s="447">
        <v>42</v>
      </c>
      <c r="N392" s="448">
        <v>42303</v>
      </c>
    </row>
    <row r="393" spans="1:14">
      <c r="A393" s="577" t="s">
        <v>1439</v>
      </c>
      <c r="B393" s="560" t="s">
        <v>1120</v>
      </c>
      <c r="C393" s="193">
        <v>42296</v>
      </c>
      <c r="D393" s="193">
        <v>42296</v>
      </c>
      <c r="E393" s="562" t="s">
        <v>177</v>
      </c>
      <c r="F393" s="562" t="s">
        <v>1110</v>
      </c>
      <c r="G393" s="562" t="s">
        <v>1113</v>
      </c>
      <c r="H393" s="562">
        <v>740</v>
      </c>
      <c r="I393" s="560">
        <v>740</v>
      </c>
      <c r="J393" s="562"/>
      <c r="K393" s="562" t="s">
        <v>1112</v>
      </c>
      <c r="L393" s="447">
        <v>2</v>
      </c>
      <c r="M393" s="447">
        <v>8</v>
      </c>
      <c r="N393" s="448">
        <v>42297</v>
      </c>
    </row>
    <row r="394" spans="1:14">
      <c r="A394" s="577" t="s">
        <v>1439</v>
      </c>
      <c r="B394" s="560" t="s">
        <v>1120</v>
      </c>
      <c r="C394" s="193">
        <v>42296</v>
      </c>
      <c r="D394" s="193">
        <v>42296</v>
      </c>
      <c r="E394" s="562" t="s">
        <v>223</v>
      </c>
      <c r="F394" s="562" t="s">
        <v>1110</v>
      </c>
      <c r="G394" s="562" t="s">
        <v>1114</v>
      </c>
      <c r="H394" s="562">
        <v>20</v>
      </c>
      <c r="I394" s="560">
        <v>20</v>
      </c>
      <c r="J394" s="562" t="s">
        <v>1115</v>
      </c>
      <c r="K394" s="377" t="s">
        <v>1112</v>
      </c>
      <c r="L394" s="449">
        <v>5</v>
      </c>
      <c r="M394" s="449">
        <v>35</v>
      </c>
      <c r="N394" s="448">
        <v>42300</v>
      </c>
    </row>
    <row r="395" spans="1:14">
      <c r="A395" s="577" t="s">
        <v>1439</v>
      </c>
      <c r="B395" s="560" t="s">
        <v>1120</v>
      </c>
      <c r="C395" s="193">
        <v>42296</v>
      </c>
      <c r="D395" s="193">
        <v>42296</v>
      </c>
      <c r="E395" s="562" t="s">
        <v>171</v>
      </c>
      <c r="F395" s="562" t="s">
        <v>1110</v>
      </c>
      <c r="G395" s="563" t="s">
        <v>1116</v>
      </c>
      <c r="H395" s="562">
        <v>26</v>
      </c>
      <c r="I395" s="560">
        <v>26</v>
      </c>
      <c r="J395" s="562"/>
      <c r="K395" s="562" t="s">
        <v>1112</v>
      </c>
      <c r="L395" s="447">
        <v>2</v>
      </c>
      <c r="M395" s="447">
        <v>8</v>
      </c>
      <c r="N395" s="448">
        <v>42303</v>
      </c>
    </row>
    <row r="396" spans="1:14">
      <c r="A396" s="562" t="s">
        <v>1439</v>
      </c>
      <c r="B396" s="560" t="s">
        <v>1120</v>
      </c>
      <c r="C396" s="193">
        <v>42296</v>
      </c>
      <c r="D396" s="193">
        <v>42296</v>
      </c>
      <c r="E396" s="564" t="s">
        <v>172</v>
      </c>
      <c r="F396" s="562" t="s">
        <v>1110</v>
      </c>
      <c r="G396" s="563" t="s">
        <v>1116</v>
      </c>
      <c r="H396" s="565">
        <v>12</v>
      </c>
      <c r="I396" s="564">
        <v>12</v>
      </c>
      <c r="J396" s="377"/>
      <c r="K396" s="562" t="s">
        <v>1112</v>
      </c>
      <c r="L396" s="566">
        <v>2</v>
      </c>
      <c r="M396" s="566">
        <v>8</v>
      </c>
      <c r="N396" s="448">
        <v>42303</v>
      </c>
    </row>
    <row r="397" spans="1:14">
      <c r="A397" s="577" t="s">
        <v>1439</v>
      </c>
      <c r="B397" s="560" t="s">
        <v>1120</v>
      </c>
      <c r="C397" s="193">
        <v>42296</v>
      </c>
      <c r="D397" s="193">
        <v>42296</v>
      </c>
      <c r="E397" s="562" t="s">
        <v>176</v>
      </c>
      <c r="F397" s="562" t="s">
        <v>1110</v>
      </c>
      <c r="G397" s="562" t="s">
        <v>1117</v>
      </c>
      <c r="H397" s="354"/>
      <c r="I397" s="450">
        <v>4</v>
      </c>
      <c r="J397" s="562" t="s">
        <v>1121</v>
      </c>
      <c r="K397" s="562" t="s">
        <v>1118</v>
      </c>
      <c r="L397" s="447">
        <v>4</v>
      </c>
      <c r="M397" s="447"/>
      <c r="N397" s="448">
        <v>42307</v>
      </c>
    </row>
    <row r="398" spans="1:14">
      <c r="A398" s="562" t="s">
        <v>1440</v>
      </c>
      <c r="B398" s="560">
        <v>45</v>
      </c>
      <c r="C398" s="193">
        <v>42296</v>
      </c>
      <c r="D398" s="193">
        <v>42296</v>
      </c>
      <c r="E398" s="561" t="s">
        <v>195</v>
      </c>
      <c r="F398" s="562" t="s">
        <v>1110</v>
      </c>
      <c r="G398" s="563" t="s">
        <v>1111</v>
      </c>
      <c r="H398" s="562">
        <v>714</v>
      </c>
      <c r="I398" s="560">
        <v>714</v>
      </c>
      <c r="J398" s="562"/>
      <c r="K398" s="377" t="s">
        <v>1112</v>
      </c>
      <c r="L398" s="447">
        <v>6</v>
      </c>
      <c r="M398" s="447">
        <v>42</v>
      </c>
      <c r="N398" s="448">
        <v>42303</v>
      </c>
    </row>
    <row r="399" spans="1:14">
      <c r="A399" s="559" t="s">
        <v>1440</v>
      </c>
      <c r="B399" s="560">
        <v>45</v>
      </c>
      <c r="C399" s="193">
        <v>42296</v>
      </c>
      <c r="D399" s="193">
        <v>42296</v>
      </c>
      <c r="E399" s="562" t="s">
        <v>177</v>
      </c>
      <c r="F399" s="562" t="s">
        <v>1110</v>
      </c>
      <c r="G399" s="562" t="s">
        <v>1113</v>
      </c>
      <c r="H399" s="562">
        <v>336</v>
      </c>
      <c r="I399" s="560">
        <v>336</v>
      </c>
      <c r="J399" s="562"/>
      <c r="K399" s="562" t="s">
        <v>1112</v>
      </c>
      <c r="L399" s="447">
        <v>2</v>
      </c>
      <c r="M399" s="447">
        <v>8</v>
      </c>
      <c r="N399" s="448">
        <v>42297</v>
      </c>
    </row>
    <row r="400" spans="1:14">
      <c r="A400" s="559" t="s">
        <v>1440</v>
      </c>
      <c r="B400" s="560">
        <v>45</v>
      </c>
      <c r="C400" s="193">
        <v>42296</v>
      </c>
      <c r="D400" s="193">
        <v>42296</v>
      </c>
      <c r="E400" s="562" t="s">
        <v>223</v>
      </c>
      <c r="F400" s="562" t="s">
        <v>1110</v>
      </c>
      <c r="G400" s="562" t="s">
        <v>1114</v>
      </c>
      <c r="H400" s="562">
        <v>62</v>
      </c>
      <c r="I400" s="560">
        <v>62</v>
      </c>
      <c r="J400" s="562"/>
      <c r="K400" s="377" t="s">
        <v>1112</v>
      </c>
      <c r="L400" s="449">
        <v>5</v>
      </c>
      <c r="M400" s="449">
        <v>35</v>
      </c>
      <c r="N400" s="448">
        <v>42300</v>
      </c>
    </row>
    <row r="401" spans="1:14">
      <c r="A401" s="559" t="s">
        <v>1440</v>
      </c>
      <c r="B401" s="560">
        <v>45</v>
      </c>
      <c r="C401" s="193">
        <v>42296</v>
      </c>
      <c r="D401" s="193">
        <v>42296</v>
      </c>
      <c r="E401" s="562" t="s">
        <v>171</v>
      </c>
      <c r="F401" s="562" t="s">
        <v>1110</v>
      </c>
      <c r="G401" s="563" t="s">
        <v>1116</v>
      </c>
      <c r="H401" s="562">
        <v>38</v>
      </c>
      <c r="I401" s="560">
        <v>38</v>
      </c>
      <c r="J401" s="562"/>
      <c r="K401" s="562" t="s">
        <v>1112</v>
      </c>
      <c r="L401" s="447">
        <v>2</v>
      </c>
      <c r="M401" s="447">
        <v>8</v>
      </c>
      <c r="N401" s="448">
        <v>42303</v>
      </c>
    </row>
    <row r="402" spans="1:14">
      <c r="A402" s="562" t="s">
        <v>1440</v>
      </c>
      <c r="B402" s="560">
        <v>45</v>
      </c>
      <c r="C402" s="193">
        <v>42296</v>
      </c>
      <c r="D402" s="193">
        <v>42296</v>
      </c>
      <c r="E402" s="564" t="s">
        <v>172</v>
      </c>
      <c r="F402" s="562" t="s">
        <v>1110</v>
      </c>
      <c r="G402" s="563" t="s">
        <v>1116</v>
      </c>
      <c r="H402" s="565">
        <v>6</v>
      </c>
      <c r="I402" s="564">
        <v>6</v>
      </c>
      <c r="J402" s="377" t="s">
        <v>1115</v>
      </c>
      <c r="K402" s="562" t="s">
        <v>1112</v>
      </c>
      <c r="L402" s="566">
        <v>2</v>
      </c>
      <c r="M402" s="566">
        <v>8</v>
      </c>
      <c r="N402" s="448">
        <v>42303</v>
      </c>
    </row>
    <row r="403" spans="1:14">
      <c r="A403" s="559" t="s">
        <v>1440</v>
      </c>
      <c r="B403" s="560">
        <v>45</v>
      </c>
      <c r="C403" s="193">
        <v>42296</v>
      </c>
      <c r="D403" s="193">
        <v>42296</v>
      </c>
      <c r="E403" s="562" t="s">
        <v>176</v>
      </c>
      <c r="F403" s="562" t="s">
        <v>1110</v>
      </c>
      <c r="G403" s="562" t="s">
        <v>1117</v>
      </c>
      <c r="H403" s="354">
        <v>12.6</v>
      </c>
      <c r="I403" s="450">
        <v>12.6</v>
      </c>
      <c r="J403" s="562"/>
      <c r="K403" s="562" t="s">
        <v>1118</v>
      </c>
      <c r="L403" s="447">
        <v>4</v>
      </c>
      <c r="M403" s="447"/>
      <c r="N403" s="448">
        <v>42307</v>
      </c>
    </row>
    <row r="404" spans="1:14">
      <c r="A404" s="559" t="s">
        <v>1441</v>
      </c>
      <c r="B404" s="829" t="s">
        <v>1124</v>
      </c>
      <c r="C404" s="193">
        <v>42296</v>
      </c>
      <c r="D404" s="193">
        <v>42296</v>
      </c>
      <c r="E404" s="561" t="s">
        <v>195</v>
      </c>
      <c r="F404" s="562" t="s">
        <v>1110</v>
      </c>
      <c r="G404" s="563" t="s">
        <v>1111</v>
      </c>
      <c r="H404" s="562">
        <v>787</v>
      </c>
      <c r="I404" s="560">
        <v>787</v>
      </c>
      <c r="J404" s="562"/>
      <c r="K404" s="377" t="s">
        <v>1112</v>
      </c>
      <c r="L404" s="447">
        <v>6</v>
      </c>
      <c r="M404" s="447">
        <v>42</v>
      </c>
      <c r="N404" s="448">
        <v>42303</v>
      </c>
    </row>
    <row r="405" spans="1:14">
      <c r="A405" s="562" t="s">
        <v>1441</v>
      </c>
      <c r="B405" s="829" t="s">
        <v>1124</v>
      </c>
      <c r="C405" s="193">
        <v>42296</v>
      </c>
      <c r="D405" s="193">
        <v>42296</v>
      </c>
      <c r="E405" s="562" t="s">
        <v>177</v>
      </c>
      <c r="F405" s="562" t="s">
        <v>1110</v>
      </c>
      <c r="G405" s="562" t="s">
        <v>1113</v>
      </c>
      <c r="H405" s="562">
        <v>308</v>
      </c>
      <c r="I405" s="560">
        <v>308</v>
      </c>
      <c r="J405" s="562"/>
      <c r="K405" s="562" t="s">
        <v>1112</v>
      </c>
      <c r="L405" s="447">
        <v>2</v>
      </c>
      <c r="M405" s="447">
        <v>8</v>
      </c>
      <c r="N405" s="448">
        <v>42297</v>
      </c>
    </row>
    <row r="406" spans="1:14">
      <c r="A406" s="577" t="s">
        <v>1441</v>
      </c>
      <c r="B406" s="829" t="s">
        <v>1124</v>
      </c>
      <c r="C406" s="193">
        <v>42296</v>
      </c>
      <c r="D406" s="193">
        <v>42296</v>
      </c>
      <c r="E406" s="562" t="s">
        <v>223</v>
      </c>
      <c r="F406" s="562" t="s">
        <v>1110</v>
      </c>
      <c r="G406" s="562" t="s">
        <v>1114</v>
      </c>
      <c r="H406" s="562">
        <v>123</v>
      </c>
      <c r="I406" s="560">
        <v>123</v>
      </c>
      <c r="J406" s="562"/>
      <c r="K406" s="377" t="s">
        <v>1112</v>
      </c>
      <c r="L406" s="449">
        <v>5</v>
      </c>
      <c r="M406" s="449">
        <v>35</v>
      </c>
      <c r="N406" s="448">
        <v>42300</v>
      </c>
    </row>
    <row r="407" spans="1:14">
      <c r="A407" s="562" t="s">
        <v>1441</v>
      </c>
      <c r="B407" s="829" t="s">
        <v>1124</v>
      </c>
      <c r="C407" s="193">
        <v>42296</v>
      </c>
      <c r="D407" s="193">
        <v>42296</v>
      </c>
      <c r="E407" s="562" t="s">
        <v>171</v>
      </c>
      <c r="F407" s="562" t="s">
        <v>1110</v>
      </c>
      <c r="G407" s="563" t="s">
        <v>1116</v>
      </c>
      <c r="H407" s="562">
        <v>60</v>
      </c>
      <c r="I407" s="560">
        <v>60</v>
      </c>
      <c r="J407" s="562"/>
      <c r="K407" s="562" t="s">
        <v>1112</v>
      </c>
      <c r="L407" s="447">
        <v>2</v>
      </c>
      <c r="M407" s="447">
        <v>8</v>
      </c>
      <c r="N407" s="448">
        <v>42303</v>
      </c>
    </row>
    <row r="408" spans="1:14">
      <c r="A408" s="562" t="s">
        <v>1441</v>
      </c>
      <c r="B408" s="829" t="s">
        <v>1124</v>
      </c>
      <c r="C408" s="193">
        <v>42296</v>
      </c>
      <c r="D408" s="193">
        <v>42296</v>
      </c>
      <c r="E408" s="564" t="s">
        <v>172</v>
      </c>
      <c r="F408" s="562" t="s">
        <v>1110</v>
      </c>
      <c r="G408" s="563" t="s">
        <v>1116</v>
      </c>
      <c r="H408" s="565">
        <v>5</v>
      </c>
      <c r="I408" s="564">
        <v>5</v>
      </c>
      <c r="J408" s="377" t="s">
        <v>1115</v>
      </c>
      <c r="K408" s="562" t="s">
        <v>1112</v>
      </c>
      <c r="L408" s="566">
        <v>2</v>
      </c>
      <c r="M408" s="566">
        <v>8</v>
      </c>
      <c r="N408" s="448">
        <v>42303</v>
      </c>
    </row>
    <row r="409" spans="1:14">
      <c r="A409" s="562" t="s">
        <v>1441</v>
      </c>
      <c r="B409" s="829" t="s">
        <v>1124</v>
      </c>
      <c r="C409" s="193">
        <v>42296</v>
      </c>
      <c r="D409" s="193">
        <v>42296</v>
      </c>
      <c r="E409" s="562" t="s">
        <v>176</v>
      </c>
      <c r="F409" s="562" t="s">
        <v>1110</v>
      </c>
      <c r="G409" s="562" t="s">
        <v>1117</v>
      </c>
      <c r="H409" s="354">
        <v>16.600000000000001</v>
      </c>
      <c r="I409" s="450">
        <v>16.600000000000001</v>
      </c>
      <c r="J409" s="562"/>
      <c r="K409" s="562" t="s">
        <v>1118</v>
      </c>
      <c r="L409" s="447">
        <v>4</v>
      </c>
      <c r="M409" s="447"/>
      <c r="N409" s="448">
        <v>42307</v>
      </c>
    </row>
    <row r="410" spans="1:14">
      <c r="A410" s="559" t="s">
        <v>1441</v>
      </c>
      <c r="B410" s="560" t="s">
        <v>1124</v>
      </c>
      <c r="C410" s="193">
        <v>42296</v>
      </c>
      <c r="D410" s="193">
        <v>42296</v>
      </c>
      <c r="E410" s="561" t="s">
        <v>173</v>
      </c>
      <c r="F410" s="559" t="s">
        <v>1110</v>
      </c>
      <c r="G410" s="567" t="s">
        <v>1125</v>
      </c>
      <c r="H410" s="254">
        <v>13</v>
      </c>
      <c r="I410" s="451">
        <v>13</v>
      </c>
      <c r="J410" s="559"/>
      <c r="K410" s="562" t="s">
        <v>1112</v>
      </c>
      <c r="L410" s="566">
        <v>0.1</v>
      </c>
      <c r="M410" s="566"/>
      <c r="N410" s="448">
        <v>42305</v>
      </c>
    </row>
    <row r="411" spans="1:14">
      <c r="A411" s="559" t="s">
        <v>1441</v>
      </c>
      <c r="B411" s="560" t="s">
        <v>1124</v>
      </c>
      <c r="C411" s="193">
        <v>42296</v>
      </c>
      <c r="D411" s="193">
        <v>42296</v>
      </c>
      <c r="E411" s="561" t="s">
        <v>173</v>
      </c>
      <c r="F411" s="559" t="s">
        <v>1110</v>
      </c>
      <c r="G411" s="567" t="s">
        <v>1125</v>
      </c>
      <c r="H411" s="254">
        <v>13.6</v>
      </c>
      <c r="I411" s="451">
        <v>13.6</v>
      </c>
      <c r="J411" s="559"/>
      <c r="K411" s="562" t="s">
        <v>1112</v>
      </c>
      <c r="L411" s="566">
        <v>0.1</v>
      </c>
      <c r="M411" s="566"/>
      <c r="N411" s="448">
        <v>42305</v>
      </c>
    </row>
    <row r="412" spans="1:14">
      <c r="A412" s="562" t="s">
        <v>1442</v>
      </c>
      <c r="B412" s="560" t="s">
        <v>1127</v>
      </c>
      <c r="C412" s="193">
        <v>42296</v>
      </c>
      <c r="D412" s="193">
        <v>42296</v>
      </c>
      <c r="E412" s="561" t="s">
        <v>195</v>
      </c>
      <c r="F412" s="562" t="s">
        <v>1110</v>
      </c>
      <c r="G412" s="563" t="s">
        <v>1111</v>
      </c>
      <c r="H412" s="562">
        <v>711</v>
      </c>
      <c r="I412" s="560">
        <v>711</v>
      </c>
      <c r="J412" s="559"/>
      <c r="K412" s="377" t="s">
        <v>1112</v>
      </c>
      <c r="L412" s="447">
        <v>6</v>
      </c>
      <c r="M412" s="447">
        <v>42</v>
      </c>
      <c r="N412" s="448">
        <v>42303</v>
      </c>
    </row>
    <row r="413" spans="1:14">
      <c r="A413" s="562" t="s">
        <v>1442</v>
      </c>
      <c r="B413" s="560" t="s">
        <v>1127</v>
      </c>
      <c r="C413" s="193">
        <v>42296</v>
      </c>
      <c r="D413" s="193">
        <v>42296</v>
      </c>
      <c r="E413" s="562" t="s">
        <v>177</v>
      </c>
      <c r="F413" s="562" t="s">
        <v>1110</v>
      </c>
      <c r="G413" s="562" t="s">
        <v>1113</v>
      </c>
      <c r="H413" s="562">
        <v>306</v>
      </c>
      <c r="I413" s="560">
        <v>306</v>
      </c>
      <c r="J413" s="562"/>
      <c r="K413" s="562" t="s">
        <v>1112</v>
      </c>
      <c r="L413" s="447">
        <v>2</v>
      </c>
      <c r="M413" s="447">
        <v>8</v>
      </c>
      <c r="N413" s="448">
        <v>42297</v>
      </c>
    </row>
    <row r="414" spans="1:14">
      <c r="A414" s="577" t="s">
        <v>1442</v>
      </c>
      <c r="B414" s="560" t="s">
        <v>1127</v>
      </c>
      <c r="C414" s="193">
        <v>42296</v>
      </c>
      <c r="D414" s="193">
        <v>42296</v>
      </c>
      <c r="E414" s="562" t="s">
        <v>223</v>
      </c>
      <c r="F414" s="562" t="s">
        <v>1110</v>
      </c>
      <c r="G414" s="562" t="s">
        <v>1114</v>
      </c>
      <c r="H414" s="562">
        <v>125</v>
      </c>
      <c r="I414" s="560">
        <v>125</v>
      </c>
      <c r="J414" s="559"/>
      <c r="K414" s="377" t="s">
        <v>1112</v>
      </c>
      <c r="L414" s="449">
        <v>5</v>
      </c>
      <c r="M414" s="449">
        <v>35</v>
      </c>
      <c r="N414" s="448">
        <v>42300</v>
      </c>
    </row>
    <row r="415" spans="1:14">
      <c r="A415" s="562" t="s">
        <v>1442</v>
      </c>
      <c r="B415" s="560" t="s">
        <v>1127</v>
      </c>
      <c r="C415" s="193">
        <v>42296</v>
      </c>
      <c r="D415" s="193">
        <v>42296</v>
      </c>
      <c r="E415" s="562" t="s">
        <v>171</v>
      </c>
      <c r="F415" s="562" t="s">
        <v>1110</v>
      </c>
      <c r="G415" s="563" t="s">
        <v>1116</v>
      </c>
      <c r="H415" s="562">
        <v>62</v>
      </c>
      <c r="I415" s="560">
        <v>62</v>
      </c>
      <c r="J415" s="559"/>
      <c r="K415" s="562" t="s">
        <v>1112</v>
      </c>
      <c r="L415" s="447">
        <v>2</v>
      </c>
      <c r="M415" s="447">
        <v>8</v>
      </c>
      <c r="N415" s="448">
        <v>42303</v>
      </c>
    </row>
    <row r="416" spans="1:14">
      <c r="A416" s="562" t="s">
        <v>1442</v>
      </c>
      <c r="B416" s="560" t="s">
        <v>1127</v>
      </c>
      <c r="C416" s="193">
        <v>42296</v>
      </c>
      <c r="D416" s="193">
        <v>42296</v>
      </c>
      <c r="E416" s="564" t="s">
        <v>172</v>
      </c>
      <c r="F416" s="562" t="s">
        <v>1110</v>
      </c>
      <c r="G416" s="563" t="s">
        <v>1116</v>
      </c>
      <c r="H416" s="565">
        <v>17</v>
      </c>
      <c r="I416" s="564">
        <v>17</v>
      </c>
      <c r="J416" s="377"/>
      <c r="K416" s="562" t="s">
        <v>1112</v>
      </c>
      <c r="L416" s="566">
        <v>2</v>
      </c>
      <c r="M416" s="566">
        <v>8</v>
      </c>
      <c r="N416" s="448">
        <v>42303</v>
      </c>
    </row>
    <row r="417" spans="1:14" s="710" customFormat="1">
      <c r="A417" s="562" t="s">
        <v>1442</v>
      </c>
      <c r="B417" s="829" t="s">
        <v>1127</v>
      </c>
      <c r="C417" s="193">
        <v>42296</v>
      </c>
      <c r="D417" s="193">
        <v>42296</v>
      </c>
      <c r="E417" s="562" t="s">
        <v>176</v>
      </c>
      <c r="F417" s="562" t="s">
        <v>1110</v>
      </c>
      <c r="G417" s="562" t="s">
        <v>1117</v>
      </c>
      <c r="H417" s="354">
        <v>20.2</v>
      </c>
      <c r="I417" s="450">
        <v>20.2</v>
      </c>
      <c r="J417" s="559"/>
      <c r="K417" s="562" t="s">
        <v>1118</v>
      </c>
      <c r="L417" s="447">
        <v>4</v>
      </c>
      <c r="M417" s="447"/>
      <c r="N417" s="448">
        <v>42307</v>
      </c>
    </row>
    <row r="418" spans="1:14">
      <c r="A418" s="577" t="s">
        <v>1557</v>
      </c>
      <c r="B418" s="560" t="s">
        <v>1109</v>
      </c>
      <c r="C418" s="193">
        <v>42324</v>
      </c>
      <c r="D418" s="193">
        <v>42324</v>
      </c>
      <c r="E418" s="561" t="s">
        <v>195</v>
      </c>
      <c r="F418" s="562" t="s">
        <v>1110</v>
      </c>
      <c r="G418" s="563" t="s">
        <v>1111</v>
      </c>
      <c r="H418" s="562">
        <v>997</v>
      </c>
      <c r="I418" s="560">
        <v>997</v>
      </c>
      <c r="J418" s="562"/>
      <c r="K418" s="377" t="s">
        <v>1112</v>
      </c>
      <c r="L418" s="447">
        <v>6</v>
      </c>
      <c r="M418" s="447">
        <v>42</v>
      </c>
      <c r="N418" s="448">
        <v>42340</v>
      </c>
    </row>
    <row r="419" spans="1:14">
      <c r="A419" s="577" t="s">
        <v>1557</v>
      </c>
      <c r="B419" s="560" t="s">
        <v>1109</v>
      </c>
      <c r="C419" s="193">
        <v>42324</v>
      </c>
      <c r="D419" s="193">
        <v>42324</v>
      </c>
      <c r="E419" s="562" t="s">
        <v>177</v>
      </c>
      <c r="F419" s="562" t="s">
        <v>1110</v>
      </c>
      <c r="G419" s="562" t="s">
        <v>1113</v>
      </c>
      <c r="H419" s="562">
        <v>916</v>
      </c>
      <c r="I419" s="560">
        <v>916</v>
      </c>
      <c r="J419" s="562"/>
      <c r="K419" s="562" t="s">
        <v>1112</v>
      </c>
      <c r="L419" s="447">
        <v>2</v>
      </c>
      <c r="M419" s="447">
        <v>8</v>
      </c>
      <c r="N419" s="448">
        <v>42325</v>
      </c>
    </row>
    <row r="420" spans="1:14">
      <c r="A420" s="577" t="s">
        <v>1557</v>
      </c>
      <c r="B420" s="560" t="s">
        <v>1109</v>
      </c>
      <c r="C420" s="193">
        <v>42324</v>
      </c>
      <c r="D420" s="193">
        <v>42324</v>
      </c>
      <c r="E420" s="562" t="s">
        <v>223</v>
      </c>
      <c r="F420" s="562" t="s">
        <v>1110</v>
      </c>
      <c r="G420" s="562" t="s">
        <v>1114</v>
      </c>
      <c r="H420" s="562">
        <v>16</v>
      </c>
      <c r="I420" s="560">
        <v>16</v>
      </c>
      <c r="J420" s="562" t="s">
        <v>1115</v>
      </c>
      <c r="K420" s="377" t="s">
        <v>1112</v>
      </c>
      <c r="L420" s="449">
        <v>5</v>
      </c>
      <c r="M420" s="449">
        <v>35</v>
      </c>
      <c r="N420" s="448">
        <v>42327</v>
      </c>
    </row>
    <row r="421" spans="1:14">
      <c r="A421" s="577" t="s">
        <v>1557</v>
      </c>
      <c r="B421" s="560" t="s">
        <v>1109</v>
      </c>
      <c r="C421" s="193">
        <v>42324</v>
      </c>
      <c r="D421" s="193">
        <v>42324</v>
      </c>
      <c r="E421" s="562" t="s">
        <v>171</v>
      </c>
      <c r="F421" s="562" t="s">
        <v>1110</v>
      </c>
      <c r="G421" s="563" t="s">
        <v>1116</v>
      </c>
      <c r="H421" s="562">
        <v>4</v>
      </c>
      <c r="I421" s="560">
        <v>4</v>
      </c>
      <c r="J421" s="562" t="s">
        <v>1115</v>
      </c>
      <c r="K421" s="562" t="s">
        <v>1112</v>
      </c>
      <c r="L421" s="447">
        <v>2</v>
      </c>
      <c r="M421" s="447">
        <v>8</v>
      </c>
      <c r="N421" s="448">
        <v>42340</v>
      </c>
    </row>
    <row r="422" spans="1:14">
      <c r="A422" s="562" t="s">
        <v>1557</v>
      </c>
      <c r="B422" s="560" t="s">
        <v>1109</v>
      </c>
      <c r="C422" s="193">
        <v>42324</v>
      </c>
      <c r="D422" s="193">
        <v>42324</v>
      </c>
      <c r="E422" s="564" t="s">
        <v>172</v>
      </c>
      <c r="F422" s="562" t="s">
        <v>1110</v>
      </c>
      <c r="G422" s="563" t="s">
        <v>1116</v>
      </c>
      <c r="H422" s="565"/>
      <c r="I422" s="564">
        <v>2</v>
      </c>
      <c r="J422" s="377" t="s">
        <v>1121</v>
      </c>
      <c r="K422" s="562" t="s">
        <v>1112</v>
      </c>
      <c r="L422" s="566">
        <v>2</v>
      </c>
      <c r="M422" s="566">
        <v>8</v>
      </c>
      <c r="N422" s="448">
        <v>42340</v>
      </c>
    </row>
    <row r="423" spans="1:14">
      <c r="A423" s="577" t="s">
        <v>1557</v>
      </c>
      <c r="B423" s="560" t="s">
        <v>1109</v>
      </c>
      <c r="C423" s="193">
        <v>42324</v>
      </c>
      <c r="D423" s="193">
        <v>42324</v>
      </c>
      <c r="E423" s="562" t="s">
        <v>176</v>
      </c>
      <c r="F423" s="562" t="s">
        <v>1110</v>
      </c>
      <c r="G423" s="562" t="s">
        <v>1117</v>
      </c>
      <c r="H423" s="354"/>
      <c r="I423" s="450">
        <v>4</v>
      </c>
      <c r="J423" s="562" t="s">
        <v>1121</v>
      </c>
      <c r="K423" s="562" t="s">
        <v>1118</v>
      </c>
      <c r="L423" s="447">
        <v>4</v>
      </c>
      <c r="M423" s="447"/>
      <c r="N423" s="448">
        <v>42327</v>
      </c>
    </row>
    <row r="424" spans="1:14">
      <c r="A424" s="559" t="s">
        <v>1558</v>
      </c>
      <c r="B424" s="560" t="s">
        <v>1120</v>
      </c>
      <c r="C424" s="193">
        <v>42324</v>
      </c>
      <c r="D424" s="193">
        <v>42324</v>
      </c>
      <c r="E424" s="561" t="s">
        <v>195</v>
      </c>
      <c r="F424" s="562" t="s">
        <v>1110</v>
      </c>
      <c r="G424" s="563" t="s">
        <v>1111</v>
      </c>
      <c r="H424" s="562">
        <v>753</v>
      </c>
      <c r="I424" s="560">
        <v>753</v>
      </c>
      <c r="J424" s="562"/>
      <c r="K424" s="377" t="s">
        <v>1112</v>
      </c>
      <c r="L424" s="447">
        <v>6</v>
      </c>
      <c r="M424" s="447">
        <v>42</v>
      </c>
      <c r="N424" s="448">
        <v>42340</v>
      </c>
    </row>
    <row r="425" spans="1:14">
      <c r="A425" s="577" t="s">
        <v>1558</v>
      </c>
      <c r="B425" s="560" t="s">
        <v>1120</v>
      </c>
      <c r="C425" s="193">
        <v>42324</v>
      </c>
      <c r="D425" s="193">
        <v>42324</v>
      </c>
      <c r="E425" s="562" t="s">
        <v>177</v>
      </c>
      <c r="F425" s="562" t="s">
        <v>1110</v>
      </c>
      <c r="G425" s="562" t="s">
        <v>1113</v>
      </c>
      <c r="H425" s="562">
        <v>585</v>
      </c>
      <c r="I425" s="560">
        <v>585</v>
      </c>
      <c r="J425" s="562"/>
      <c r="K425" s="562" t="s">
        <v>1112</v>
      </c>
      <c r="L425" s="447">
        <v>2</v>
      </c>
      <c r="M425" s="447">
        <v>8</v>
      </c>
      <c r="N425" s="448">
        <v>42325</v>
      </c>
    </row>
    <row r="426" spans="1:14">
      <c r="A426" s="577" t="s">
        <v>1558</v>
      </c>
      <c r="B426" s="560" t="s">
        <v>1120</v>
      </c>
      <c r="C426" s="193">
        <v>42324</v>
      </c>
      <c r="D426" s="193">
        <v>42324</v>
      </c>
      <c r="E426" s="562" t="s">
        <v>223</v>
      </c>
      <c r="F426" s="562" t="s">
        <v>1110</v>
      </c>
      <c r="G426" s="562" t="s">
        <v>1114</v>
      </c>
      <c r="H426" s="562">
        <v>17</v>
      </c>
      <c r="I426" s="560">
        <v>17</v>
      </c>
      <c r="J426" s="562" t="s">
        <v>1115</v>
      </c>
      <c r="K426" s="377" t="s">
        <v>1112</v>
      </c>
      <c r="L426" s="449">
        <v>5</v>
      </c>
      <c r="M426" s="449">
        <v>35</v>
      </c>
      <c r="N426" s="448">
        <v>42327</v>
      </c>
    </row>
    <row r="427" spans="1:14">
      <c r="A427" s="577" t="s">
        <v>1558</v>
      </c>
      <c r="B427" s="560" t="s">
        <v>1120</v>
      </c>
      <c r="C427" s="193">
        <v>42324</v>
      </c>
      <c r="D427" s="193">
        <v>42324</v>
      </c>
      <c r="E427" s="562" t="s">
        <v>171</v>
      </c>
      <c r="F427" s="562" t="s">
        <v>1110</v>
      </c>
      <c r="G427" s="563" t="s">
        <v>1116</v>
      </c>
      <c r="H427" s="562"/>
      <c r="I427" s="560">
        <v>2</v>
      </c>
      <c r="J427" s="562" t="s">
        <v>1121</v>
      </c>
      <c r="K427" s="562" t="s">
        <v>1112</v>
      </c>
      <c r="L427" s="447">
        <v>2</v>
      </c>
      <c r="M427" s="447">
        <v>8</v>
      </c>
      <c r="N427" s="448">
        <v>42340</v>
      </c>
    </row>
    <row r="428" spans="1:14">
      <c r="A428" s="562" t="s">
        <v>1558</v>
      </c>
      <c r="B428" s="560" t="s">
        <v>1120</v>
      </c>
      <c r="C428" s="193">
        <v>42324</v>
      </c>
      <c r="D428" s="193">
        <v>42324</v>
      </c>
      <c r="E428" s="564" t="s">
        <v>172</v>
      </c>
      <c r="F428" s="562" t="s">
        <v>1110</v>
      </c>
      <c r="G428" s="563" t="s">
        <v>1116</v>
      </c>
      <c r="H428" s="565"/>
      <c r="I428" s="564">
        <v>2</v>
      </c>
      <c r="J428" s="377" t="s">
        <v>1121</v>
      </c>
      <c r="K428" s="562" t="s">
        <v>1112</v>
      </c>
      <c r="L428" s="566">
        <v>2</v>
      </c>
      <c r="M428" s="566">
        <v>8</v>
      </c>
      <c r="N428" s="448">
        <v>42340</v>
      </c>
    </row>
    <row r="429" spans="1:14">
      <c r="A429" s="577" t="s">
        <v>1558</v>
      </c>
      <c r="B429" s="560" t="s">
        <v>1120</v>
      </c>
      <c r="C429" s="193">
        <v>42324</v>
      </c>
      <c r="D429" s="193">
        <v>42324</v>
      </c>
      <c r="E429" s="562" t="s">
        <v>176</v>
      </c>
      <c r="F429" s="562" t="s">
        <v>1110</v>
      </c>
      <c r="G429" s="562" t="s">
        <v>1117</v>
      </c>
      <c r="H429" s="354"/>
      <c r="I429" s="450">
        <v>4</v>
      </c>
      <c r="J429" s="562" t="s">
        <v>1121</v>
      </c>
      <c r="K429" s="562" t="s">
        <v>1118</v>
      </c>
      <c r="L429" s="447">
        <v>4</v>
      </c>
      <c r="M429" s="447"/>
      <c r="N429" s="448">
        <v>42327</v>
      </c>
    </row>
    <row r="430" spans="1:14">
      <c r="A430" s="562" t="s">
        <v>1559</v>
      </c>
      <c r="B430" s="560">
        <v>45</v>
      </c>
      <c r="C430" s="193">
        <v>42324</v>
      </c>
      <c r="D430" s="193">
        <v>42324</v>
      </c>
      <c r="E430" s="561" t="s">
        <v>195</v>
      </c>
      <c r="F430" s="562" t="s">
        <v>1110</v>
      </c>
      <c r="G430" s="563" t="s">
        <v>1111</v>
      </c>
      <c r="H430" s="562">
        <v>1746</v>
      </c>
      <c r="I430" s="560">
        <v>1746</v>
      </c>
      <c r="J430" s="562"/>
      <c r="K430" s="377" t="s">
        <v>1112</v>
      </c>
      <c r="L430" s="447">
        <v>6</v>
      </c>
      <c r="M430" s="447">
        <v>42</v>
      </c>
      <c r="N430" s="448">
        <v>42340</v>
      </c>
    </row>
    <row r="431" spans="1:14">
      <c r="A431" s="559" t="s">
        <v>1559</v>
      </c>
      <c r="B431" s="560">
        <v>45</v>
      </c>
      <c r="C431" s="193">
        <v>42324</v>
      </c>
      <c r="D431" s="193">
        <v>42324</v>
      </c>
      <c r="E431" s="562" t="s">
        <v>177</v>
      </c>
      <c r="F431" s="562" t="s">
        <v>1110</v>
      </c>
      <c r="G431" s="562" t="s">
        <v>1113</v>
      </c>
      <c r="H431" s="562">
        <v>1118</v>
      </c>
      <c r="I431" s="560">
        <v>1118</v>
      </c>
      <c r="J431" s="562"/>
      <c r="K431" s="562" t="s">
        <v>1112</v>
      </c>
      <c r="L431" s="447">
        <v>2</v>
      </c>
      <c r="M431" s="447">
        <v>8</v>
      </c>
      <c r="N431" s="448">
        <v>42325</v>
      </c>
    </row>
    <row r="432" spans="1:14">
      <c r="A432" s="559" t="s">
        <v>1559</v>
      </c>
      <c r="B432" s="560">
        <v>45</v>
      </c>
      <c r="C432" s="193">
        <v>42324</v>
      </c>
      <c r="D432" s="193">
        <v>42324</v>
      </c>
      <c r="E432" s="562" t="s">
        <v>223</v>
      </c>
      <c r="F432" s="562" t="s">
        <v>1110</v>
      </c>
      <c r="G432" s="562" t="s">
        <v>1114</v>
      </c>
      <c r="H432" s="562">
        <v>403</v>
      </c>
      <c r="I432" s="560">
        <v>403</v>
      </c>
      <c r="J432" s="562"/>
      <c r="K432" s="377" t="s">
        <v>1112</v>
      </c>
      <c r="L432" s="449">
        <v>5</v>
      </c>
      <c r="M432" s="449">
        <v>35</v>
      </c>
      <c r="N432" s="448">
        <v>42327</v>
      </c>
    </row>
    <row r="433" spans="1:14">
      <c r="A433" s="559" t="s">
        <v>1559</v>
      </c>
      <c r="B433" s="560">
        <v>45</v>
      </c>
      <c r="C433" s="193">
        <v>42324</v>
      </c>
      <c r="D433" s="193">
        <v>42324</v>
      </c>
      <c r="E433" s="562" t="s">
        <v>171</v>
      </c>
      <c r="F433" s="562" t="s">
        <v>1110</v>
      </c>
      <c r="G433" s="563" t="s">
        <v>1116</v>
      </c>
      <c r="H433" s="562">
        <v>76</v>
      </c>
      <c r="I433" s="560">
        <v>76</v>
      </c>
      <c r="J433" s="562"/>
      <c r="K433" s="562" t="s">
        <v>1112</v>
      </c>
      <c r="L433" s="447">
        <v>2</v>
      </c>
      <c r="M433" s="447">
        <v>8</v>
      </c>
      <c r="N433" s="448">
        <v>42340</v>
      </c>
    </row>
    <row r="434" spans="1:14">
      <c r="A434" s="562" t="s">
        <v>1559</v>
      </c>
      <c r="B434" s="560">
        <v>45</v>
      </c>
      <c r="C434" s="193">
        <v>42324</v>
      </c>
      <c r="D434" s="193">
        <v>42324</v>
      </c>
      <c r="E434" s="564" t="s">
        <v>172</v>
      </c>
      <c r="F434" s="562" t="s">
        <v>1110</v>
      </c>
      <c r="G434" s="563" t="s">
        <v>1116</v>
      </c>
      <c r="H434" s="565">
        <v>9</v>
      </c>
      <c r="I434" s="564">
        <v>9</v>
      </c>
      <c r="J434" s="377"/>
      <c r="K434" s="562" t="s">
        <v>1112</v>
      </c>
      <c r="L434" s="566">
        <v>2</v>
      </c>
      <c r="M434" s="566">
        <v>8</v>
      </c>
      <c r="N434" s="448">
        <v>42340</v>
      </c>
    </row>
    <row r="435" spans="1:14">
      <c r="A435" s="559" t="s">
        <v>1559</v>
      </c>
      <c r="B435" s="560">
        <v>45</v>
      </c>
      <c r="C435" s="193">
        <v>42324</v>
      </c>
      <c r="D435" s="193">
        <v>42324</v>
      </c>
      <c r="E435" s="562" t="s">
        <v>176</v>
      </c>
      <c r="F435" s="562" t="s">
        <v>1110</v>
      </c>
      <c r="G435" s="562" t="s">
        <v>1117</v>
      </c>
      <c r="H435" s="354">
        <v>18</v>
      </c>
      <c r="I435" s="450">
        <v>18</v>
      </c>
      <c r="J435" s="562"/>
      <c r="K435" s="562" t="s">
        <v>1118</v>
      </c>
      <c r="L435" s="447">
        <v>4</v>
      </c>
      <c r="M435" s="447"/>
      <c r="N435" s="448">
        <v>42327</v>
      </c>
    </row>
    <row r="436" spans="1:14">
      <c r="A436" s="559" t="s">
        <v>1560</v>
      </c>
      <c r="B436" s="829" t="s">
        <v>1124</v>
      </c>
      <c r="C436" s="193">
        <v>42324</v>
      </c>
      <c r="D436" s="193">
        <v>42324</v>
      </c>
      <c r="E436" s="561" t="s">
        <v>195</v>
      </c>
      <c r="F436" s="562" t="s">
        <v>1110</v>
      </c>
      <c r="G436" s="563" t="s">
        <v>1111</v>
      </c>
      <c r="H436" s="562">
        <v>874</v>
      </c>
      <c r="I436" s="560">
        <v>874</v>
      </c>
      <c r="J436" s="562"/>
      <c r="K436" s="377" t="s">
        <v>1112</v>
      </c>
      <c r="L436" s="447">
        <v>6</v>
      </c>
      <c r="M436" s="447">
        <v>42</v>
      </c>
      <c r="N436" s="448">
        <v>42340</v>
      </c>
    </row>
    <row r="437" spans="1:14">
      <c r="A437" s="562" t="s">
        <v>1560</v>
      </c>
      <c r="B437" s="829" t="s">
        <v>1124</v>
      </c>
      <c r="C437" s="193">
        <v>42324</v>
      </c>
      <c r="D437" s="193">
        <v>42324</v>
      </c>
      <c r="E437" s="562" t="s">
        <v>177</v>
      </c>
      <c r="F437" s="562" t="s">
        <v>1110</v>
      </c>
      <c r="G437" s="562" t="s">
        <v>1113</v>
      </c>
      <c r="H437" s="562">
        <v>423</v>
      </c>
      <c r="I437" s="560">
        <v>423</v>
      </c>
      <c r="J437" s="562"/>
      <c r="K437" s="562" t="s">
        <v>1112</v>
      </c>
      <c r="L437" s="447">
        <v>2</v>
      </c>
      <c r="M437" s="447">
        <v>8</v>
      </c>
      <c r="N437" s="448">
        <v>42325</v>
      </c>
    </row>
    <row r="438" spans="1:14">
      <c r="A438" s="577" t="s">
        <v>1560</v>
      </c>
      <c r="B438" s="829" t="s">
        <v>1124</v>
      </c>
      <c r="C438" s="193">
        <v>42324</v>
      </c>
      <c r="D438" s="193">
        <v>42324</v>
      </c>
      <c r="E438" s="562" t="s">
        <v>223</v>
      </c>
      <c r="F438" s="562" t="s">
        <v>1110</v>
      </c>
      <c r="G438" s="562" t="s">
        <v>1114</v>
      </c>
      <c r="H438" s="562">
        <v>122</v>
      </c>
      <c r="I438" s="560">
        <v>122</v>
      </c>
      <c r="J438" s="562"/>
      <c r="K438" s="377" t="s">
        <v>1112</v>
      </c>
      <c r="L438" s="449">
        <v>5</v>
      </c>
      <c r="M438" s="449">
        <v>35</v>
      </c>
      <c r="N438" s="448">
        <v>42327</v>
      </c>
    </row>
    <row r="439" spans="1:14">
      <c r="A439" s="562" t="s">
        <v>1560</v>
      </c>
      <c r="B439" s="829" t="s">
        <v>1124</v>
      </c>
      <c r="C439" s="193">
        <v>42324</v>
      </c>
      <c r="D439" s="193">
        <v>42324</v>
      </c>
      <c r="E439" s="562" t="s">
        <v>171</v>
      </c>
      <c r="F439" s="562" t="s">
        <v>1110</v>
      </c>
      <c r="G439" s="563" t="s">
        <v>1116</v>
      </c>
      <c r="H439" s="562">
        <v>27</v>
      </c>
      <c r="I439" s="560">
        <v>27</v>
      </c>
      <c r="J439" s="562"/>
      <c r="K439" s="562" t="s">
        <v>1112</v>
      </c>
      <c r="L439" s="447">
        <v>2</v>
      </c>
      <c r="M439" s="447">
        <v>8</v>
      </c>
      <c r="N439" s="448">
        <v>42340</v>
      </c>
    </row>
    <row r="440" spans="1:14">
      <c r="A440" s="562" t="s">
        <v>1560</v>
      </c>
      <c r="B440" s="829" t="s">
        <v>1124</v>
      </c>
      <c r="C440" s="193">
        <v>42324</v>
      </c>
      <c r="D440" s="193">
        <v>42324</v>
      </c>
      <c r="E440" s="564" t="s">
        <v>172</v>
      </c>
      <c r="F440" s="562" t="s">
        <v>1110</v>
      </c>
      <c r="G440" s="563" t="s">
        <v>1116</v>
      </c>
      <c r="H440" s="565"/>
      <c r="I440" s="564">
        <v>2</v>
      </c>
      <c r="J440" s="377" t="s">
        <v>1121</v>
      </c>
      <c r="K440" s="562" t="s">
        <v>1112</v>
      </c>
      <c r="L440" s="566">
        <v>2</v>
      </c>
      <c r="M440" s="566">
        <v>8</v>
      </c>
      <c r="N440" s="448">
        <v>42340</v>
      </c>
    </row>
    <row r="441" spans="1:14">
      <c r="A441" s="562" t="s">
        <v>1560</v>
      </c>
      <c r="B441" s="829" t="s">
        <v>1124</v>
      </c>
      <c r="C441" s="193">
        <v>42324</v>
      </c>
      <c r="D441" s="193">
        <v>42324</v>
      </c>
      <c r="E441" s="562" t="s">
        <v>176</v>
      </c>
      <c r="F441" s="562" t="s">
        <v>1110</v>
      </c>
      <c r="G441" s="562" t="s">
        <v>1117</v>
      </c>
      <c r="H441" s="354">
        <v>11</v>
      </c>
      <c r="I441" s="450">
        <v>11</v>
      </c>
      <c r="J441" s="562"/>
      <c r="K441" s="562" t="s">
        <v>1118</v>
      </c>
      <c r="L441" s="447">
        <v>4</v>
      </c>
      <c r="M441" s="447"/>
      <c r="N441" s="448">
        <v>42327</v>
      </c>
    </row>
    <row r="442" spans="1:14">
      <c r="A442" s="559" t="s">
        <v>1560</v>
      </c>
      <c r="B442" s="560" t="s">
        <v>1124</v>
      </c>
      <c r="C442" s="193">
        <v>42324</v>
      </c>
      <c r="D442" s="193">
        <v>42324</v>
      </c>
      <c r="E442" s="561" t="s">
        <v>173</v>
      </c>
      <c r="F442" s="559" t="s">
        <v>1110</v>
      </c>
      <c r="G442" s="567" t="s">
        <v>1125</v>
      </c>
      <c r="H442" s="254">
        <v>8.8000000000000007</v>
      </c>
      <c r="I442" s="451">
        <v>8.8000000000000007</v>
      </c>
      <c r="J442" s="559"/>
      <c r="K442" s="562" t="s">
        <v>1112</v>
      </c>
      <c r="L442" s="566">
        <v>0.1</v>
      </c>
      <c r="M442" s="566"/>
      <c r="N442" s="448">
        <v>42325</v>
      </c>
    </row>
    <row r="443" spans="1:14">
      <c r="A443" s="559" t="s">
        <v>1560</v>
      </c>
      <c r="B443" s="560" t="s">
        <v>1124</v>
      </c>
      <c r="C443" s="193">
        <v>42324</v>
      </c>
      <c r="D443" s="193">
        <v>42324</v>
      </c>
      <c r="E443" s="561" t="s">
        <v>173</v>
      </c>
      <c r="F443" s="559" t="s">
        <v>1110</v>
      </c>
      <c r="G443" s="567" t="s">
        <v>1125</v>
      </c>
      <c r="H443" s="254">
        <v>8.8000000000000007</v>
      </c>
      <c r="I443" s="451">
        <v>8.8000000000000007</v>
      </c>
      <c r="J443" s="559"/>
      <c r="K443" s="562" t="s">
        <v>1112</v>
      </c>
      <c r="L443" s="566">
        <v>0.1</v>
      </c>
      <c r="M443" s="566"/>
      <c r="N443" s="448">
        <v>42325</v>
      </c>
    </row>
    <row r="444" spans="1:14">
      <c r="A444" s="562" t="s">
        <v>1561</v>
      </c>
      <c r="B444" s="560" t="s">
        <v>1127</v>
      </c>
      <c r="C444" s="193">
        <v>42324</v>
      </c>
      <c r="D444" s="193">
        <v>42324</v>
      </c>
      <c r="E444" s="561" t="s">
        <v>195</v>
      </c>
      <c r="F444" s="562" t="s">
        <v>1110</v>
      </c>
      <c r="G444" s="563" t="s">
        <v>1111</v>
      </c>
      <c r="H444" s="562">
        <v>832</v>
      </c>
      <c r="I444" s="560">
        <v>832</v>
      </c>
      <c r="J444" s="559"/>
      <c r="K444" s="377" t="s">
        <v>1112</v>
      </c>
      <c r="L444" s="447">
        <v>6</v>
      </c>
      <c r="M444" s="447">
        <v>42</v>
      </c>
      <c r="N444" s="448">
        <v>42340</v>
      </c>
    </row>
    <row r="445" spans="1:14">
      <c r="A445" s="562" t="s">
        <v>1561</v>
      </c>
      <c r="B445" s="560" t="s">
        <v>1127</v>
      </c>
      <c r="C445" s="193">
        <v>42324</v>
      </c>
      <c r="D445" s="193">
        <v>42324</v>
      </c>
      <c r="E445" s="562" t="s">
        <v>177</v>
      </c>
      <c r="F445" s="562" t="s">
        <v>1110</v>
      </c>
      <c r="G445" s="562" t="s">
        <v>1113</v>
      </c>
      <c r="H445" s="562">
        <v>440</v>
      </c>
      <c r="I445" s="560">
        <v>440</v>
      </c>
      <c r="J445" s="562"/>
      <c r="K445" s="562" t="s">
        <v>1112</v>
      </c>
      <c r="L445" s="447">
        <v>2</v>
      </c>
      <c r="M445" s="447">
        <v>8</v>
      </c>
      <c r="N445" s="448">
        <v>42325</v>
      </c>
    </row>
    <row r="446" spans="1:14">
      <c r="A446" s="577" t="s">
        <v>1561</v>
      </c>
      <c r="B446" s="560" t="s">
        <v>1127</v>
      </c>
      <c r="C446" s="193">
        <v>42324</v>
      </c>
      <c r="D446" s="193">
        <v>42324</v>
      </c>
      <c r="E446" s="562" t="s">
        <v>223</v>
      </c>
      <c r="F446" s="562" t="s">
        <v>1110</v>
      </c>
      <c r="G446" s="562" t="s">
        <v>1114</v>
      </c>
      <c r="H446" s="562">
        <v>126</v>
      </c>
      <c r="I446" s="560">
        <v>126</v>
      </c>
      <c r="J446" s="559"/>
      <c r="K446" s="377" t="s">
        <v>1112</v>
      </c>
      <c r="L446" s="449">
        <v>5</v>
      </c>
      <c r="M446" s="449">
        <v>35</v>
      </c>
      <c r="N446" s="448">
        <v>42327</v>
      </c>
    </row>
    <row r="447" spans="1:14">
      <c r="A447" s="562" t="s">
        <v>1561</v>
      </c>
      <c r="B447" s="560" t="s">
        <v>1127</v>
      </c>
      <c r="C447" s="193">
        <v>42324</v>
      </c>
      <c r="D447" s="193">
        <v>42324</v>
      </c>
      <c r="E447" s="562" t="s">
        <v>171</v>
      </c>
      <c r="F447" s="562" t="s">
        <v>1110</v>
      </c>
      <c r="G447" s="563" t="s">
        <v>1116</v>
      </c>
      <c r="H447" s="562">
        <v>28</v>
      </c>
      <c r="I447" s="560">
        <v>28</v>
      </c>
      <c r="J447" s="559"/>
      <c r="K447" s="562" t="s">
        <v>1112</v>
      </c>
      <c r="L447" s="447">
        <v>2</v>
      </c>
      <c r="M447" s="447">
        <v>8</v>
      </c>
      <c r="N447" s="448">
        <v>42340</v>
      </c>
    </row>
    <row r="448" spans="1:14">
      <c r="A448" s="562" t="s">
        <v>1561</v>
      </c>
      <c r="B448" s="560" t="s">
        <v>1127</v>
      </c>
      <c r="C448" s="193">
        <v>42324</v>
      </c>
      <c r="D448" s="193">
        <v>42324</v>
      </c>
      <c r="E448" s="564" t="s">
        <v>172</v>
      </c>
      <c r="F448" s="562" t="s">
        <v>1110</v>
      </c>
      <c r="G448" s="563" t="s">
        <v>1116</v>
      </c>
      <c r="H448" s="565"/>
      <c r="I448" s="564">
        <v>2</v>
      </c>
      <c r="J448" s="377" t="s">
        <v>1121</v>
      </c>
      <c r="K448" s="562" t="s">
        <v>1112</v>
      </c>
      <c r="L448" s="566">
        <v>2</v>
      </c>
      <c r="M448" s="566">
        <v>8</v>
      </c>
      <c r="N448" s="448">
        <v>42340</v>
      </c>
    </row>
    <row r="449" spans="1:14" s="710" customFormat="1">
      <c r="A449" s="562" t="s">
        <v>1561</v>
      </c>
      <c r="B449" s="829" t="s">
        <v>1127</v>
      </c>
      <c r="C449" s="193">
        <v>42324</v>
      </c>
      <c r="D449" s="193">
        <v>42324</v>
      </c>
      <c r="E449" s="562" t="s">
        <v>176</v>
      </c>
      <c r="F449" s="562" t="s">
        <v>1110</v>
      </c>
      <c r="G449" s="562" t="s">
        <v>1117</v>
      </c>
      <c r="H449" s="354">
        <v>11.2</v>
      </c>
      <c r="I449" s="450">
        <v>11.2</v>
      </c>
      <c r="J449" s="559"/>
      <c r="K449" s="562" t="s">
        <v>1118</v>
      </c>
      <c r="L449" s="447">
        <v>4</v>
      </c>
      <c r="M449" s="447"/>
      <c r="N449" s="448">
        <v>42327</v>
      </c>
    </row>
    <row r="450" spans="1:14">
      <c r="A450" s="577" t="s">
        <v>1562</v>
      </c>
      <c r="B450" s="560" t="s">
        <v>1109</v>
      </c>
      <c r="C450" s="193">
        <v>42345</v>
      </c>
      <c r="D450" s="193">
        <v>42345</v>
      </c>
      <c r="E450" s="561" t="s">
        <v>195</v>
      </c>
      <c r="F450" s="562" t="s">
        <v>1110</v>
      </c>
      <c r="G450" s="563" t="s">
        <v>1111</v>
      </c>
      <c r="H450" s="562">
        <v>725</v>
      </c>
      <c r="I450" s="560">
        <v>725</v>
      </c>
      <c r="J450" s="562"/>
      <c r="K450" s="377" t="s">
        <v>1112</v>
      </c>
      <c r="L450" s="447">
        <v>6</v>
      </c>
      <c r="M450" s="447">
        <v>42</v>
      </c>
      <c r="N450" s="448">
        <v>42348</v>
      </c>
    </row>
    <row r="451" spans="1:14">
      <c r="A451" s="577" t="s">
        <v>1562</v>
      </c>
      <c r="B451" s="560" t="s">
        <v>1109</v>
      </c>
      <c r="C451" s="193">
        <v>42345</v>
      </c>
      <c r="D451" s="193">
        <v>42345</v>
      </c>
      <c r="E451" s="562" t="s">
        <v>177</v>
      </c>
      <c r="F451" s="562" t="s">
        <v>1110</v>
      </c>
      <c r="G451" s="562" t="s">
        <v>1113</v>
      </c>
      <c r="H451" s="562">
        <v>584</v>
      </c>
      <c r="I451" s="560">
        <v>584</v>
      </c>
      <c r="J451" s="562"/>
      <c r="K451" s="562" t="s">
        <v>1112</v>
      </c>
      <c r="L451" s="447">
        <v>2</v>
      </c>
      <c r="M451" s="447">
        <v>8</v>
      </c>
      <c r="N451" s="448">
        <v>42346</v>
      </c>
    </row>
    <row r="452" spans="1:14">
      <c r="A452" s="577" t="s">
        <v>1562</v>
      </c>
      <c r="B452" s="560" t="s">
        <v>1109</v>
      </c>
      <c r="C452" s="193">
        <v>42345</v>
      </c>
      <c r="D452" s="193">
        <v>42345</v>
      </c>
      <c r="E452" s="562" t="s">
        <v>223</v>
      </c>
      <c r="F452" s="562" t="s">
        <v>1110</v>
      </c>
      <c r="G452" s="562" t="s">
        <v>1114</v>
      </c>
      <c r="H452" s="562">
        <v>14</v>
      </c>
      <c r="I452" s="560">
        <v>14</v>
      </c>
      <c r="J452" s="562" t="s">
        <v>1115</v>
      </c>
      <c r="K452" s="377" t="s">
        <v>1112</v>
      </c>
      <c r="L452" s="449">
        <v>5</v>
      </c>
      <c r="M452" s="449">
        <v>35</v>
      </c>
      <c r="N452" s="448">
        <v>42359</v>
      </c>
    </row>
    <row r="453" spans="1:14">
      <c r="A453" s="577" t="s">
        <v>1562</v>
      </c>
      <c r="B453" s="560" t="s">
        <v>1109</v>
      </c>
      <c r="C453" s="193">
        <v>42345</v>
      </c>
      <c r="D453" s="193">
        <v>42345</v>
      </c>
      <c r="E453" s="562" t="s">
        <v>171</v>
      </c>
      <c r="F453" s="562" t="s">
        <v>1110</v>
      </c>
      <c r="G453" s="563" t="s">
        <v>1116</v>
      </c>
      <c r="H453" s="562"/>
      <c r="I453" s="560">
        <v>2</v>
      </c>
      <c r="J453" s="562" t="s">
        <v>1121</v>
      </c>
      <c r="K453" s="562" t="s">
        <v>1112</v>
      </c>
      <c r="L453" s="447">
        <v>2</v>
      </c>
      <c r="M453" s="447">
        <v>8</v>
      </c>
      <c r="N453" s="448">
        <v>42348</v>
      </c>
    </row>
    <row r="454" spans="1:14">
      <c r="A454" s="562" t="s">
        <v>1562</v>
      </c>
      <c r="B454" s="560" t="s">
        <v>1109</v>
      </c>
      <c r="C454" s="193">
        <v>42345</v>
      </c>
      <c r="D454" s="193">
        <v>42345</v>
      </c>
      <c r="E454" s="564" t="s">
        <v>172</v>
      </c>
      <c r="F454" s="562" t="s">
        <v>1110</v>
      </c>
      <c r="G454" s="563" t="s">
        <v>1116</v>
      </c>
      <c r="H454" s="565"/>
      <c r="I454" s="564">
        <v>2</v>
      </c>
      <c r="J454" s="377" t="s">
        <v>1121</v>
      </c>
      <c r="K454" s="562" t="s">
        <v>1112</v>
      </c>
      <c r="L454" s="566">
        <v>2</v>
      </c>
      <c r="M454" s="566">
        <v>8</v>
      </c>
      <c r="N454" s="448">
        <v>42348</v>
      </c>
    </row>
    <row r="455" spans="1:14">
      <c r="A455" s="577" t="s">
        <v>1562</v>
      </c>
      <c r="B455" s="560" t="s">
        <v>1109</v>
      </c>
      <c r="C455" s="193">
        <v>42345</v>
      </c>
      <c r="D455" s="193">
        <v>42345</v>
      </c>
      <c r="E455" s="562" t="s">
        <v>176</v>
      </c>
      <c r="F455" s="562" t="s">
        <v>1110</v>
      </c>
      <c r="G455" s="562" t="s">
        <v>1117</v>
      </c>
      <c r="H455" s="354"/>
      <c r="I455" s="450">
        <v>4</v>
      </c>
      <c r="J455" s="562" t="s">
        <v>1121</v>
      </c>
      <c r="K455" s="562" t="s">
        <v>1118</v>
      </c>
      <c r="L455" s="447">
        <v>4</v>
      </c>
      <c r="M455" s="447"/>
      <c r="N455" s="448">
        <v>42347</v>
      </c>
    </row>
    <row r="456" spans="1:14">
      <c r="A456" s="559" t="s">
        <v>1563</v>
      </c>
      <c r="B456" s="560" t="s">
        <v>1120</v>
      </c>
      <c r="C456" s="193">
        <v>42345</v>
      </c>
      <c r="D456" s="193">
        <v>42345</v>
      </c>
      <c r="E456" s="561" t="s">
        <v>195</v>
      </c>
      <c r="F456" s="562" t="s">
        <v>1110</v>
      </c>
      <c r="G456" s="563" t="s">
        <v>1111</v>
      </c>
      <c r="H456" s="562">
        <v>1105</v>
      </c>
      <c r="I456" s="560">
        <v>725</v>
      </c>
      <c r="J456" s="562"/>
      <c r="K456" s="377" t="s">
        <v>1112</v>
      </c>
      <c r="L456" s="447">
        <v>6</v>
      </c>
      <c r="M456" s="447">
        <v>42</v>
      </c>
      <c r="N456" s="448">
        <v>42348</v>
      </c>
    </row>
    <row r="457" spans="1:14">
      <c r="A457" s="577" t="s">
        <v>1563</v>
      </c>
      <c r="B457" s="560" t="s">
        <v>1120</v>
      </c>
      <c r="C457" s="193">
        <v>42345</v>
      </c>
      <c r="D457" s="193">
        <v>42345</v>
      </c>
      <c r="E457" s="562" t="s">
        <v>177</v>
      </c>
      <c r="F457" s="562" t="s">
        <v>1110</v>
      </c>
      <c r="G457" s="562" t="s">
        <v>1113</v>
      </c>
      <c r="H457" s="562">
        <v>929</v>
      </c>
      <c r="I457" s="560">
        <v>584</v>
      </c>
      <c r="J457" s="562"/>
      <c r="K457" s="562" t="s">
        <v>1112</v>
      </c>
      <c r="L457" s="447">
        <v>2</v>
      </c>
      <c r="M457" s="447">
        <v>8</v>
      </c>
      <c r="N457" s="448">
        <v>42346</v>
      </c>
    </row>
    <row r="458" spans="1:14">
      <c r="A458" s="577" t="s">
        <v>1563</v>
      </c>
      <c r="B458" s="560" t="s">
        <v>1120</v>
      </c>
      <c r="C458" s="193">
        <v>42345</v>
      </c>
      <c r="D458" s="193">
        <v>42345</v>
      </c>
      <c r="E458" s="562" t="s">
        <v>223</v>
      </c>
      <c r="F458" s="562" t="s">
        <v>1110</v>
      </c>
      <c r="G458" s="562" t="s">
        <v>1114</v>
      </c>
      <c r="H458" s="562">
        <v>71</v>
      </c>
      <c r="I458" s="560">
        <v>14</v>
      </c>
      <c r="J458" s="562"/>
      <c r="K458" s="377" t="s">
        <v>1112</v>
      </c>
      <c r="L458" s="449">
        <v>5</v>
      </c>
      <c r="M458" s="449">
        <v>35</v>
      </c>
      <c r="N458" s="448">
        <v>42359</v>
      </c>
    </row>
    <row r="459" spans="1:14">
      <c r="A459" s="577" t="s">
        <v>1563</v>
      </c>
      <c r="B459" s="560" t="s">
        <v>1120</v>
      </c>
      <c r="C459" s="193">
        <v>42345</v>
      </c>
      <c r="D459" s="193">
        <v>42345</v>
      </c>
      <c r="E459" s="562" t="s">
        <v>171</v>
      </c>
      <c r="F459" s="562" t="s">
        <v>1110</v>
      </c>
      <c r="G459" s="563" t="s">
        <v>1116</v>
      </c>
      <c r="H459" s="562">
        <v>10</v>
      </c>
      <c r="I459" s="560">
        <v>2</v>
      </c>
      <c r="J459" s="562"/>
      <c r="K459" s="562" t="s">
        <v>1112</v>
      </c>
      <c r="L459" s="447">
        <v>2</v>
      </c>
      <c r="M459" s="447">
        <v>8</v>
      </c>
      <c r="N459" s="448">
        <v>42348</v>
      </c>
    </row>
    <row r="460" spans="1:14">
      <c r="A460" s="562" t="s">
        <v>1563</v>
      </c>
      <c r="B460" s="560" t="s">
        <v>1120</v>
      </c>
      <c r="C460" s="193">
        <v>42345</v>
      </c>
      <c r="D460" s="193">
        <v>42345</v>
      </c>
      <c r="E460" s="564" t="s">
        <v>172</v>
      </c>
      <c r="F460" s="562" t="s">
        <v>1110</v>
      </c>
      <c r="G460" s="563" t="s">
        <v>1116</v>
      </c>
      <c r="H460" s="565"/>
      <c r="I460" s="564">
        <v>2</v>
      </c>
      <c r="J460" s="377" t="s">
        <v>1121</v>
      </c>
      <c r="K460" s="562" t="s">
        <v>1112</v>
      </c>
      <c r="L460" s="566">
        <v>2</v>
      </c>
      <c r="M460" s="566">
        <v>8</v>
      </c>
      <c r="N460" s="448">
        <v>42348</v>
      </c>
    </row>
    <row r="461" spans="1:14">
      <c r="A461" s="577" t="s">
        <v>1563</v>
      </c>
      <c r="B461" s="560" t="s">
        <v>1120</v>
      </c>
      <c r="C461" s="193">
        <v>42345</v>
      </c>
      <c r="D461" s="193">
        <v>42345</v>
      </c>
      <c r="E461" s="562" t="s">
        <v>176</v>
      </c>
      <c r="F461" s="562" t="s">
        <v>1110</v>
      </c>
      <c r="G461" s="562" t="s">
        <v>1117</v>
      </c>
      <c r="H461" s="354"/>
      <c r="I461" s="450">
        <v>4</v>
      </c>
      <c r="J461" s="562" t="s">
        <v>1121</v>
      </c>
      <c r="K461" s="562" t="s">
        <v>1118</v>
      </c>
      <c r="L461" s="447">
        <v>4</v>
      </c>
      <c r="M461" s="447"/>
      <c r="N461" s="448">
        <v>42347</v>
      </c>
    </row>
    <row r="462" spans="1:14">
      <c r="A462" s="562" t="s">
        <v>1564</v>
      </c>
      <c r="B462" s="560">
        <v>45</v>
      </c>
      <c r="C462" s="193">
        <v>42345</v>
      </c>
      <c r="D462" s="193">
        <v>42345</v>
      </c>
      <c r="E462" s="561" t="s">
        <v>195</v>
      </c>
      <c r="F462" s="562" t="s">
        <v>1110</v>
      </c>
      <c r="G462" s="563" t="s">
        <v>1111</v>
      </c>
      <c r="H462" s="562">
        <v>885</v>
      </c>
      <c r="I462" s="560">
        <v>885</v>
      </c>
      <c r="J462" s="562"/>
      <c r="K462" s="377" t="s">
        <v>1112</v>
      </c>
      <c r="L462" s="447">
        <v>6</v>
      </c>
      <c r="M462" s="447">
        <v>42</v>
      </c>
      <c r="N462" s="448">
        <v>42348</v>
      </c>
    </row>
    <row r="463" spans="1:14">
      <c r="A463" s="559" t="s">
        <v>1564</v>
      </c>
      <c r="B463" s="560">
        <v>45</v>
      </c>
      <c r="C463" s="193">
        <v>42345</v>
      </c>
      <c r="D463" s="193">
        <v>42345</v>
      </c>
      <c r="E463" s="562" t="s">
        <v>177</v>
      </c>
      <c r="F463" s="562" t="s">
        <v>1110</v>
      </c>
      <c r="G463" s="562" t="s">
        <v>1113</v>
      </c>
      <c r="H463" s="562">
        <v>579</v>
      </c>
      <c r="I463" s="560">
        <v>579</v>
      </c>
      <c r="J463" s="562"/>
      <c r="K463" s="562" t="s">
        <v>1112</v>
      </c>
      <c r="L463" s="447">
        <v>2</v>
      </c>
      <c r="M463" s="447">
        <v>8</v>
      </c>
      <c r="N463" s="448">
        <v>42346</v>
      </c>
    </row>
    <row r="464" spans="1:14">
      <c r="A464" s="559" t="s">
        <v>1564</v>
      </c>
      <c r="B464" s="560">
        <v>45</v>
      </c>
      <c r="C464" s="193">
        <v>42345</v>
      </c>
      <c r="D464" s="193">
        <v>42345</v>
      </c>
      <c r="E464" s="562" t="s">
        <v>223</v>
      </c>
      <c r="F464" s="562" t="s">
        <v>1110</v>
      </c>
      <c r="G464" s="562" t="s">
        <v>1114</v>
      </c>
      <c r="H464" s="562">
        <v>21</v>
      </c>
      <c r="I464" s="560">
        <v>21</v>
      </c>
      <c r="J464" s="562" t="s">
        <v>1115</v>
      </c>
      <c r="K464" s="377" t="s">
        <v>1112</v>
      </c>
      <c r="L464" s="449">
        <v>5</v>
      </c>
      <c r="M464" s="449">
        <v>35</v>
      </c>
      <c r="N464" s="448">
        <v>42359</v>
      </c>
    </row>
    <row r="465" spans="1:14">
      <c r="A465" s="559" t="s">
        <v>1564</v>
      </c>
      <c r="B465" s="560">
        <v>45</v>
      </c>
      <c r="C465" s="193">
        <v>42345</v>
      </c>
      <c r="D465" s="193">
        <v>42345</v>
      </c>
      <c r="E465" s="562" t="s">
        <v>171</v>
      </c>
      <c r="F465" s="562" t="s">
        <v>1110</v>
      </c>
      <c r="G465" s="563" t="s">
        <v>1116</v>
      </c>
      <c r="H465" s="562">
        <v>13</v>
      </c>
      <c r="I465" s="560">
        <v>13</v>
      </c>
      <c r="J465" s="562"/>
      <c r="K465" s="562" t="s">
        <v>1112</v>
      </c>
      <c r="L465" s="447">
        <v>2</v>
      </c>
      <c r="M465" s="447">
        <v>8</v>
      </c>
      <c r="N465" s="448">
        <v>42348</v>
      </c>
    </row>
    <row r="466" spans="1:14">
      <c r="A466" s="562" t="s">
        <v>1564</v>
      </c>
      <c r="B466" s="560">
        <v>45</v>
      </c>
      <c r="C466" s="193">
        <v>42345</v>
      </c>
      <c r="D466" s="193">
        <v>42345</v>
      </c>
      <c r="E466" s="564" t="s">
        <v>172</v>
      </c>
      <c r="F466" s="562" t="s">
        <v>1110</v>
      </c>
      <c r="G466" s="563" t="s">
        <v>1116</v>
      </c>
      <c r="H466" s="565"/>
      <c r="I466" s="564">
        <v>2</v>
      </c>
      <c r="J466" s="377" t="s">
        <v>1121</v>
      </c>
      <c r="K466" s="562" t="s">
        <v>1112</v>
      </c>
      <c r="L466" s="566">
        <v>2</v>
      </c>
      <c r="M466" s="566">
        <v>8</v>
      </c>
      <c r="N466" s="448">
        <v>42348</v>
      </c>
    </row>
    <row r="467" spans="1:14">
      <c r="A467" s="559" t="s">
        <v>1564</v>
      </c>
      <c r="B467" s="560">
        <v>45</v>
      </c>
      <c r="C467" s="193">
        <v>42345</v>
      </c>
      <c r="D467" s="193">
        <v>42345</v>
      </c>
      <c r="E467" s="562" t="s">
        <v>176</v>
      </c>
      <c r="F467" s="562" t="s">
        <v>1110</v>
      </c>
      <c r="G467" s="562" t="s">
        <v>1117</v>
      </c>
      <c r="H467" s="354"/>
      <c r="I467" s="450">
        <v>4</v>
      </c>
      <c r="J467" s="562" t="s">
        <v>1121</v>
      </c>
      <c r="K467" s="562" t="s">
        <v>1118</v>
      </c>
      <c r="L467" s="447">
        <v>4</v>
      </c>
      <c r="M467" s="447"/>
      <c r="N467" s="448">
        <v>42347</v>
      </c>
    </row>
    <row r="468" spans="1:14">
      <c r="A468" s="1103" t="s">
        <v>1609</v>
      </c>
      <c r="B468" s="1104" t="s">
        <v>1124</v>
      </c>
      <c r="C468" s="1094">
        <v>42366</v>
      </c>
      <c r="D468" s="1094">
        <v>42366</v>
      </c>
      <c r="E468" s="1105" t="s">
        <v>195</v>
      </c>
      <c r="F468" s="1091" t="s">
        <v>1110</v>
      </c>
      <c r="G468" s="1098" t="s">
        <v>1111</v>
      </c>
      <c r="H468" s="1101">
        <v>1308</v>
      </c>
      <c r="I468" s="1102">
        <v>1308</v>
      </c>
      <c r="J468" s="1101"/>
      <c r="K468" s="1106" t="s">
        <v>1112</v>
      </c>
      <c r="L468" s="1093">
        <v>6</v>
      </c>
      <c r="M468" s="1093">
        <v>42</v>
      </c>
      <c r="N468" s="1092">
        <v>42375</v>
      </c>
    </row>
    <row r="469" spans="1:14">
      <c r="A469" s="1103" t="s">
        <v>1609</v>
      </c>
      <c r="B469" s="1104" t="s">
        <v>1124</v>
      </c>
      <c r="C469" s="1094">
        <v>42366</v>
      </c>
      <c r="D469" s="1094">
        <v>42366</v>
      </c>
      <c r="E469" s="1091" t="s">
        <v>177</v>
      </c>
      <c r="F469" s="1091" t="s">
        <v>1110</v>
      </c>
      <c r="G469" s="1091" t="s">
        <v>1113</v>
      </c>
      <c r="H469" s="1101">
        <v>965</v>
      </c>
      <c r="I469" s="1102">
        <v>965</v>
      </c>
      <c r="J469" s="1101"/>
      <c r="K469" s="1091" t="s">
        <v>1112</v>
      </c>
      <c r="L469" s="1093">
        <v>2</v>
      </c>
      <c r="M469" s="1093">
        <v>8</v>
      </c>
      <c r="N469" s="1092">
        <v>42367</v>
      </c>
    </row>
    <row r="470" spans="1:14">
      <c r="A470" s="1103" t="s">
        <v>1609</v>
      </c>
      <c r="B470" s="1104" t="s">
        <v>1124</v>
      </c>
      <c r="C470" s="1094">
        <v>42366</v>
      </c>
      <c r="D470" s="1094">
        <v>42366</v>
      </c>
      <c r="E470" s="1091" t="s">
        <v>223</v>
      </c>
      <c r="F470" s="1091" t="s">
        <v>1110</v>
      </c>
      <c r="G470" s="1091" t="s">
        <v>1114</v>
      </c>
      <c r="H470" s="1101">
        <v>98</v>
      </c>
      <c r="I470" s="1102">
        <v>98</v>
      </c>
      <c r="J470" s="1101"/>
      <c r="K470" s="1106" t="s">
        <v>1112</v>
      </c>
      <c r="L470" s="1109">
        <v>5</v>
      </c>
      <c r="M470" s="1109">
        <v>35</v>
      </c>
      <c r="N470" s="1092">
        <v>42376</v>
      </c>
    </row>
    <row r="471" spans="1:14">
      <c r="A471" s="1103" t="s">
        <v>1609</v>
      </c>
      <c r="B471" s="1104" t="s">
        <v>1124</v>
      </c>
      <c r="C471" s="1094">
        <v>42366</v>
      </c>
      <c r="D471" s="1094">
        <v>42366</v>
      </c>
      <c r="E471" s="1091" t="s">
        <v>171</v>
      </c>
      <c r="F471" s="1091" t="s">
        <v>1110</v>
      </c>
      <c r="G471" s="1098" t="s">
        <v>1116</v>
      </c>
      <c r="H471" s="1101">
        <v>9</v>
      </c>
      <c r="I471" s="1102">
        <v>9</v>
      </c>
      <c r="J471" s="1101"/>
      <c r="K471" s="1091" t="s">
        <v>1112</v>
      </c>
      <c r="L471" s="1093">
        <v>2</v>
      </c>
      <c r="M471" s="1093">
        <v>8</v>
      </c>
      <c r="N471" s="1092">
        <v>42375</v>
      </c>
    </row>
    <row r="472" spans="1:14">
      <c r="A472" s="1103" t="s">
        <v>1609</v>
      </c>
      <c r="B472" s="1104" t="s">
        <v>1124</v>
      </c>
      <c r="C472" s="1094">
        <v>42366</v>
      </c>
      <c r="D472" s="1094">
        <v>42366</v>
      </c>
      <c r="E472" s="1097" t="s">
        <v>172</v>
      </c>
      <c r="F472" s="1091" t="s">
        <v>1110</v>
      </c>
      <c r="G472" s="1098" t="s">
        <v>1116</v>
      </c>
      <c r="H472" s="1099">
        <v>4</v>
      </c>
      <c r="I472" s="1110">
        <v>4</v>
      </c>
      <c r="J472" s="1106" t="s">
        <v>1115</v>
      </c>
      <c r="K472" s="1091" t="s">
        <v>1112</v>
      </c>
      <c r="L472" s="1100">
        <v>2</v>
      </c>
      <c r="M472" s="1100">
        <v>8</v>
      </c>
      <c r="N472" s="1092">
        <v>42375</v>
      </c>
    </row>
    <row r="473" spans="1:14">
      <c r="A473" s="1103" t="s">
        <v>1609</v>
      </c>
      <c r="B473" s="1104" t="s">
        <v>1124</v>
      </c>
      <c r="C473" s="1094">
        <v>42366</v>
      </c>
      <c r="D473" s="1094">
        <v>42366</v>
      </c>
      <c r="E473" s="1091" t="s">
        <v>176</v>
      </c>
      <c r="F473" s="1091" t="s">
        <v>1110</v>
      </c>
      <c r="G473" s="1091" t="s">
        <v>1117</v>
      </c>
      <c r="H473" s="1096">
        <v>4</v>
      </c>
      <c r="I473" s="1111"/>
      <c r="J473" s="1101" t="s">
        <v>1121</v>
      </c>
      <c r="K473" s="1091" t="s">
        <v>1118</v>
      </c>
      <c r="L473" s="1093">
        <v>4</v>
      </c>
      <c r="M473" s="1093"/>
      <c r="N473" s="1092">
        <v>42368</v>
      </c>
    </row>
    <row r="474" spans="1:14">
      <c r="A474" s="1103" t="s">
        <v>1609</v>
      </c>
      <c r="B474" s="1095" t="s">
        <v>1124</v>
      </c>
      <c r="C474" s="1094">
        <v>42366</v>
      </c>
      <c r="D474" s="1094">
        <v>42366</v>
      </c>
      <c r="E474" s="1105" t="s">
        <v>173</v>
      </c>
      <c r="F474" s="1103" t="s">
        <v>1110</v>
      </c>
      <c r="G474" s="1107" t="s">
        <v>1125</v>
      </c>
      <c r="H474" s="1108">
        <v>4.4000000000000004</v>
      </c>
      <c r="I474" s="1112">
        <v>4.4000000000000004</v>
      </c>
      <c r="J474" s="1113"/>
      <c r="K474" s="1091" t="s">
        <v>1112</v>
      </c>
      <c r="L474" s="1100">
        <v>0.1</v>
      </c>
      <c r="M474" s="1100"/>
      <c r="N474" s="1092">
        <v>42368</v>
      </c>
    </row>
    <row r="475" spans="1:14">
      <c r="A475" s="1103" t="s">
        <v>1609</v>
      </c>
      <c r="B475" s="1095" t="s">
        <v>1124</v>
      </c>
      <c r="C475" s="1094">
        <v>42366</v>
      </c>
      <c r="D475" s="1094">
        <v>42366</v>
      </c>
      <c r="E475" s="1105" t="s">
        <v>173</v>
      </c>
      <c r="F475" s="1103" t="s">
        <v>1110</v>
      </c>
      <c r="G475" s="1107" t="s">
        <v>1125</v>
      </c>
      <c r="H475" s="1108">
        <v>4.8</v>
      </c>
      <c r="I475" s="1112">
        <v>4.8</v>
      </c>
      <c r="J475" s="1113"/>
      <c r="K475" s="1091" t="s">
        <v>1112</v>
      </c>
      <c r="L475" s="1100">
        <v>0.1</v>
      </c>
      <c r="M475" s="1100"/>
      <c r="N475" s="1092">
        <v>42368</v>
      </c>
    </row>
    <row r="476" spans="1:14">
      <c r="A476" s="1091" t="s">
        <v>1610</v>
      </c>
      <c r="B476" s="1095" t="s">
        <v>1127</v>
      </c>
      <c r="C476" s="1094">
        <v>42366</v>
      </c>
      <c r="D476" s="1094">
        <v>42366</v>
      </c>
      <c r="E476" s="1105" t="s">
        <v>195</v>
      </c>
      <c r="F476" s="1091" t="s">
        <v>1110</v>
      </c>
      <c r="G476" s="1098" t="s">
        <v>1111</v>
      </c>
      <c r="H476" s="1101">
        <v>1245</v>
      </c>
      <c r="I476" s="1102">
        <v>1245</v>
      </c>
      <c r="J476" s="1113"/>
      <c r="K476" s="1106" t="s">
        <v>1112</v>
      </c>
      <c r="L476" s="1093">
        <v>6</v>
      </c>
      <c r="M476" s="1093">
        <v>42</v>
      </c>
      <c r="N476" s="1092">
        <v>42375</v>
      </c>
    </row>
    <row r="477" spans="1:14">
      <c r="A477" s="1091" t="s">
        <v>1610</v>
      </c>
      <c r="B477" s="1095" t="s">
        <v>1127</v>
      </c>
      <c r="C477" s="1094">
        <v>42366</v>
      </c>
      <c r="D477" s="1094">
        <v>42366</v>
      </c>
      <c r="E477" s="1091" t="s">
        <v>177</v>
      </c>
      <c r="F477" s="1091" t="s">
        <v>1110</v>
      </c>
      <c r="G477" s="1091" t="s">
        <v>1113</v>
      </c>
      <c r="H477" s="1101">
        <v>557</v>
      </c>
      <c r="I477" s="1102">
        <v>557</v>
      </c>
      <c r="J477" s="1091"/>
      <c r="K477" s="1091" t="s">
        <v>1112</v>
      </c>
      <c r="L477" s="1093">
        <v>2</v>
      </c>
      <c r="M477" s="1093">
        <v>8</v>
      </c>
      <c r="N477" s="1092">
        <v>42367</v>
      </c>
    </row>
    <row r="478" spans="1:14">
      <c r="A478" s="1091" t="s">
        <v>1610</v>
      </c>
      <c r="B478" s="1095" t="s">
        <v>1127</v>
      </c>
      <c r="C478" s="1094">
        <v>42366</v>
      </c>
      <c r="D478" s="1094">
        <v>42366</v>
      </c>
      <c r="E478" s="1091" t="s">
        <v>223</v>
      </c>
      <c r="F478" s="1091" t="s">
        <v>1110</v>
      </c>
      <c r="G478" s="1091" t="s">
        <v>1114</v>
      </c>
      <c r="H478" s="1101">
        <v>336</v>
      </c>
      <c r="I478" s="1102">
        <v>336</v>
      </c>
      <c r="J478" s="1113"/>
      <c r="K478" s="1106" t="s">
        <v>1112</v>
      </c>
      <c r="L478" s="1109">
        <v>5</v>
      </c>
      <c r="M478" s="1109">
        <v>35</v>
      </c>
      <c r="N478" s="1092">
        <v>42376</v>
      </c>
    </row>
    <row r="479" spans="1:14">
      <c r="A479" s="1091" t="s">
        <v>1610</v>
      </c>
      <c r="B479" s="1104" t="s">
        <v>1127</v>
      </c>
      <c r="C479" s="1094">
        <v>42366</v>
      </c>
      <c r="D479" s="1094">
        <v>42366</v>
      </c>
      <c r="E479" s="1091" t="s">
        <v>176</v>
      </c>
      <c r="F479" s="1091" t="s">
        <v>1110</v>
      </c>
      <c r="G479" s="1091" t="s">
        <v>1117</v>
      </c>
      <c r="H479" s="1096">
        <v>4</v>
      </c>
      <c r="I479" s="1111"/>
      <c r="J479" s="1113" t="s">
        <v>1121</v>
      </c>
      <c r="K479" s="1091" t="s">
        <v>1118</v>
      </c>
      <c r="L479" s="1093">
        <v>4</v>
      </c>
      <c r="M479" s="1093"/>
      <c r="N479" s="1092">
        <v>42368</v>
      </c>
    </row>
    <row r="480" spans="1:14">
      <c r="A480" s="1091" t="s">
        <v>1610</v>
      </c>
      <c r="B480" s="1095" t="s">
        <v>1127</v>
      </c>
      <c r="C480" s="1094">
        <v>42366</v>
      </c>
      <c r="D480" s="1094">
        <v>42366</v>
      </c>
      <c r="E480" s="1091" t="s">
        <v>171</v>
      </c>
      <c r="F480" s="1091" t="s">
        <v>1110</v>
      </c>
      <c r="G480" s="1098" t="s">
        <v>1116</v>
      </c>
      <c r="H480" s="1101">
        <v>15</v>
      </c>
      <c r="I480" s="1102">
        <v>15</v>
      </c>
      <c r="J480" s="1113"/>
      <c r="K480" s="1091" t="s">
        <v>1112</v>
      </c>
      <c r="L480" s="1093">
        <v>2</v>
      </c>
      <c r="M480" s="1093">
        <v>8</v>
      </c>
      <c r="N480" s="1092">
        <v>42375</v>
      </c>
    </row>
    <row r="481" spans="1:14">
      <c r="A481" s="1091" t="s">
        <v>1610</v>
      </c>
      <c r="B481" s="1095" t="s">
        <v>1127</v>
      </c>
      <c r="C481" s="1094">
        <v>42366</v>
      </c>
      <c r="D481" s="1094">
        <v>42366</v>
      </c>
      <c r="E481" s="1097" t="s">
        <v>172</v>
      </c>
      <c r="F481" s="1091" t="s">
        <v>1110</v>
      </c>
      <c r="G481" s="1098" t="s">
        <v>1116</v>
      </c>
      <c r="H481" s="1099">
        <v>2</v>
      </c>
      <c r="I481" s="1110"/>
      <c r="J481" s="1106" t="s">
        <v>1121</v>
      </c>
      <c r="K481" s="1091" t="s">
        <v>1112</v>
      </c>
      <c r="L481" s="1100">
        <v>2</v>
      </c>
      <c r="M481" s="1100">
        <v>8</v>
      </c>
      <c r="N481" s="1092">
        <v>42375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  <pageSetUpPr fitToPage="1"/>
  </sheetPr>
  <dimension ref="A1:U60"/>
  <sheetViews>
    <sheetView topLeftCell="A10" zoomScale="80" zoomScaleNormal="80" workbookViewId="0">
      <selection activeCell="C2" sqref="C2:Q2"/>
    </sheetView>
  </sheetViews>
  <sheetFormatPr defaultColWidth="17.54296875" defaultRowHeight="14"/>
  <cols>
    <col min="1" max="1" width="17.08984375" customWidth="1"/>
    <col min="2" max="2" width="27.54296875" customWidth="1"/>
    <col min="3" max="3" width="9" customWidth="1"/>
    <col min="4" max="4" width="8.90625" customWidth="1"/>
    <col min="5" max="5" width="9" customWidth="1"/>
    <col min="6" max="6" width="8.90625" customWidth="1"/>
    <col min="7" max="7" width="9.453125" customWidth="1"/>
    <col min="8" max="8" width="9" customWidth="1"/>
    <col min="9" max="9" width="8.6328125" customWidth="1"/>
    <col min="10" max="10" width="8.36328125" customWidth="1"/>
    <col min="11" max="12" width="8.08984375" customWidth="1"/>
    <col min="13" max="13" width="9.453125" customWidth="1"/>
    <col min="14" max="14" width="9" customWidth="1"/>
    <col min="15" max="15" width="10.90625" customWidth="1"/>
    <col min="16" max="17" width="9" customWidth="1"/>
    <col min="18" max="18" width="10.08984375" customWidth="1"/>
    <col min="19" max="19" width="8" customWidth="1"/>
    <col min="20" max="20" width="12" customWidth="1"/>
    <col min="21" max="21" width="4.453125" customWidth="1"/>
  </cols>
  <sheetData>
    <row r="1" spans="1:21">
      <c r="A1" s="1469" t="s">
        <v>175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</row>
    <row r="2" spans="1:21">
      <c r="A2" s="86" t="s">
        <v>10</v>
      </c>
      <c r="B2" s="86" t="s">
        <v>174</v>
      </c>
      <c r="C2" s="418">
        <v>42009</v>
      </c>
      <c r="D2" s="418">
        <v>42052</v>
      </c>
      <c r="E2" s="418">
        <v>42086</v>
      </c>
      <c r="F2" s="418">
        <v>42114</v>
      </c>
      <c r="G2" s="418">
        <v>42142</v>
      </c>
      <c r="H2" s="418">
        <v>42170</v>
      </c>
      <c r="I2" s="419">
        <v>42191</v>
      </c>
      <c r="J2" s="419">
        <v>42205</v>
      </c>
      <c r="K2" s="419">
        <v>42227</v>
      </c>
      <c r="L2" s="418">
        <v>42241</v>
      </c>
      <c r="M2" s="418">
        <v>42261</v>
      </c>
      <c r="N2" s="420">
        <v>42275</v>
      </c>
      <c r="O2" s="420">
        <v>42296</v>
      </c>
      <c r="P2" s="420">
        <v>42324</v>
      </c>
      <c r="Q2" s="420">
        <v>42345</v>
      </c>
      <c r="R2" s="368" t="s">
        <v>16</v>
      </c>
      <c r="S2" s="369" t="s">
        <v>311</v>
      </c>
      <c r="T2" s="96"/>
      <c r="U2" s="348"/>
    </row>
    <row r="3" spans="1:21">
      <c r="A3" s="1471" t="s">
        <v>205</v>
      </c>
      <c r="B3" s="357" t="s">
        <v>193</v>
      </c>
      <c r="C3" s="638">
        <v>1316</v>
      </c>
      <c r="D3" s="620">
        <v>1089</v>
      </c>
      <c r="E3" s="620">
        <v>939</v>
      </c>
      <c r="F3" s="620">
        <v>947</v>
      </c>
      <c r="G3" s="620">
        <v>818</v>
      </c>
      <c r="H3" s="620">
        <v>581</v>
      </c>
      <c r="I3" s="620">
        <v>460</v>
      </c>
      <c r="J3" s="620">
        <v>422</v>
      </c>
      <c r="K3" s="620">
        <v>488</v>
      </c>
      <c r="L3" s="620">
        <v>663</v>
      </c>
      <c r="M3" s="620">
        <v>755</v>
      </c>
      <c r="N3" s="620">
        <v>1138</v>
      </c>
      <c r="O3" s="620">
        <v>1028</v>
      </c>
      <c r="P3" s="620">
        <v>753</v>
      </c>
      <c r="Q3" s="620">
        <v>725</v>
      </c>
      <c r="R3" s="370">
        <f t="shared" ref="R3:R35" si="0">AVERAGE(C3:Q3)</f>
        <v>808.13333333333333</v>
      </c>
      <c r="S3" s="370">
        <f t="shared" ref="S3:S35" si="1">MEDIAN(C3:Q3)</f>
        <v>755</v>
      </c>
      <c r="T3" s="96"/>
      <c r="U3" s="348"/>
    </row>
    <row r="4" spans="1:21">
      <c r="A4" s="1475"/>
      <c r="B4" s="358" t="s">
        <v>177</v>
      </c>
      <c r="C4" s="638">
        <v>971</v>
      </c>
      <c r="D4" s="620">
        <v>751</v>
      </c>
      <c r="E4" s="620">
        <v>640</v>
      </c>
      <c r="F4" s="620">
        <v>746</v>
      </c>
      <c r="G4" s="620">
        <v>447</v>
      </c>
      <c r="H4" s="620">
        <v>233</v>
      </c>
      <c r="I4" s="620">
        <v>244</v>
      </c>
      <c r="J4" s="620">
        <v>250</v>
      </c>
      <c r="K4" s="620">
        <v>320</v>
      </c>
      <c r="L4" s="620">
        <v>442</v>
      </c>
      <c r="M4" s="620">
        <v>624</v>
      </c>
      <c r="N4" s="620">
        <v>781</v>
      </c>
      <c r="O4" s="620">
        <v>740</v>
      </c>
      <c r="P4" s="620">
        <v>585</v>
      </c>
      <c r="Q4" s="620">
        <v>584</v>
      </c>
      <c r="R4" s="370">
        <f t="shared" si="0"/>
        <v>557.20000000000005</v>
      </c>
      <c r="S4" s="370">
        <f t="shared" si="1"/>
        <v>585</v>
      </c>
      <c r="T4" s="96"/>
      <c r="U4" s="348"/>
    </row>
    <row r="5" spans="1:21">
      <c r="A5" s="1475"/>
      <c r="B5" s="352" t="s">
        <v>223</v>
      </c>
      <c r="C5" s="638">
        <v>75</v>
      </c>
      <c r="D5" s="620">
        <v>23</v>
      </c>
      <c r="E5" s="620">
        <v>58</v>
      </c>
      <c r="F5" s="620">
        <v>26</v>
      </c>
      <c r="G5" s="620">
        <v>50</v>
      </c>
      <c r="H5" s="620">
        <v>31</v>
      </c>
      <c r="I5" s="620">
        <v>32</v>
      </c>
      <c r="J5" s="620">
        <v>25</v>
      </c>
      <c r="K5" s="620">
        <v>68</v>
      </c>
      <c r="L5" s="620">
        <v>18</v>
      </c>
      <c r="M5" s="620">
        <v>5</v>
      </c>
      <c r="N5" s="620">
        <v>36</v>
      </c>
      <c r="O5" s="620">
        <v>20</v>
      </c>
      <c r="P5" s="620">
        <v>17</v>
      </c>
      <c r="Q5" s="620">
        <v>14</v>
      </c>
      <c r="R5" s="370">
        <f t="shared" si="0"/>
        <v>33.200000000000003</v>
      </c>
      <c r="S5" s="370">
        <f t="shared" si="1"/>
        <v>26</v>
      </c>
      <c r="T5" s="96"/>
      <c r="U5" s="348"/>
    </row>
    <row r="6" spans="1:21">
      <c r="A6" s="1475"/>
      <c r="B6" s="357" t="s">
        <v>171</v>
      </c>
      <c r="C6" s="638">
        <v>22</v>
      </c>
      <c r="D6" s="620">
        <v>30</v>
      </c>
      <c r="E6" s="620">
        <v>47</v>
      </c>
      <c r="F6" s="620">
        <v>54</v>
      </c>
      <c r="G6" s="620">
        <v>83</v>
      </c>
      <c r="H6" s="620">
        <v>56</v>
      </c>
      <c r="I6" s="620">
        <v>73</v>
      </c>
      <c r="J6" s="620">
        <v>30</v>
      </c>
      <c r="K6" s="620">
        <v>38</v>
      </c>
      <c r="L6" s="620">
        <v>28</v>
      </c>
      <c r="M6" s="620">
        <v>44</v>
      </c>
      <c r="N6" s="620">
        <v>112</v>
      </c>
      <c r="O6" s="620">
        <v>26</v>
      </c>
      <c r="P6" s="620">
        <v>2</v>
      </c>
      <c r="Q6" s="620">
        <v>2</v>
      </c>
      <c r="R6" s="370">
        <f t="shared" si="0"/>
        <v>43.133333333333333</v>
      </c>
      <c r="S6" s="370">
        <f t="shared" si="1"/>
        <v>38</v>
      </c>
      <c r="T6" s="96"/>
      <c r="U6" s="348"/>
    </row>
    <row r="7" spans="1:21">
      <c r="A7" s="1475"/>
      <c r="B7" s="359" t="s">
        <v>172</v>
      </c>
      <c r="C7" s="639">
        <v>11</v>
      </c>
      <c r="D7" s="1080">
        <v>12</v>
      </c>
      <c r="E7" s="1080">
        <v>9</v>
      </c>
      <c r="F7" s="1080">
        <v>12</v>
      </c>
      <c r="G7" s="1080">
        <v>15</v>
      </c>
      <c r="H7" s="1080">
        <v>10</v>
      </c>
      <c r="I7" s="1080">
        <v>20</v>
      </c>
      <c r="J7" s="1080">
        <v>10</v>
      </c>
      <c r="K7" s="1080">
        <v>8</v>
      </c>
      <c r="L7" s="1080">
        <v>20</v>
      </c>
      <c r="M7" s="1080">
        <v>6</v>
      </c>
      <c r="N7" s="1080">
        <v>17</v>
      </c>
      <c r="O7" s="1080">
        <v>12</v>
      </c>
      <c r="P7" s="1080">
        <v>2</v>
      </c>
      <c r="Q7" s="1080">
        <v>2</v>
      </c>
      <c r="R7" s="370">
        <f t="shared" si="0"/>
        <v>11.066666666666666</v>
      </c>
      <c r="S7" s="370">
        <f t="shared" si="1"/>
        <v>11</v>
      </c>
      <c r="T7" s="96"/>
      <c r="U7" s="348"/>
    </row>
    <row r="8" spans="1:21">
      <c r="A8" s="1476"/>
      <c r="B8" s="359" t="s">
        <v>176</v>
      </c>
      <c r="C8" s="364">
        <v>4</v>
      </c>
      <c r="D8" s="98">
        <v>4</v>
      </c>
      <c r="E8" s="98">
        <v>16.399999999999999</v>
      </c>
      <c r="F8" s="98">
        <v>67.7</v>
      </c>
      <c r="G8" s="98">
        <v>41.2</v>
      </c>
      <c r="H8" s="98">
        <v>19.3</v>
      </c>
      <c r="I8" s="98">
        <v>41.4</v>
      </c>
      <c r="J8" s="98">
        <v>10.4</v>
      </c>
      <c r="K8" s="98">
        <v>16.399999999999999</v>
      </c>
      <c r="L8" s="98">
        <v>9.1999999999999993</v>
      </c>
      <c r="M8" s="98">
        <v>4.8</v>
      </c>
      <c r="N8" s="98">
        <v>6</v>
      </c>
      <c r="O8" s="98">
        <v>4</v>
      </c>
      <c r="P8" s="98">
        <v>4</v>
      </c>
      <c r="Q8" s="98">
        <v>4</v>
      </c>
      <c r="R8" s="370">
        <f t="shared" si="0"/>
        <v>16.853333333333335</v>
      </c>
      <c r="S8" s="370">
        <f t="shared" si="1"/>
        <v>9.1999999999999993</v>
      </c>
      <c r="T8" s="96"/>
      <c r="U8" s="348"/>
    </row>
    <row r="9" spans="1:21">
      <c r="A9" s="1477" t="s">
        <v>206</v>
      </c>
      <c r="B9" s="360" t="s">
        <v>193</v>
      </c>
      <c r="C9" s="638">
        <v>1056</v>
      </c>
      <c r="D9" s="620">
        <v>772</v>
      </c>
      <c r="E9" s="620">
        <v>1372</v>
      </c>
      <c r="F9" s="620">
        <v>818</v>
      </c>
      <c r="G9" s="620">
        <v>1114</v>
      </c>
      <c r="H9" s="620">
        <v>887</v>
      </c>
      <c r="I9" s="620">
        <v>826</v>
      </c>
      <c r="J9" s="620">
        <v>754</v>
      </c>
      <c r="K9" s="620">
        <v>1552</v>
      </c>
      <c r="L9" s="620">
        <v>817</v>
      </c>
      <c r="M9" s="620">
        <v>1124</v>
      </c>
      <c r="N9" s="620">
        <v>1178</v>
      </c>
      <c r="O9" s="620">
        <v>718</v>
      </c>
      <c r="P9" s="620">
        <v>997</v>
      </c>
      <c r="Q9" s="620">
        <v>725</v>
      </c>
      <c r="R9" s="370">
        <f t="shared" si="0"/>
        <v>980.66666666666663</v>
      </c>
      <c r="S9" s="370">
        <f t="shared" si="1"/>
        <v>887</v>
      </c>
      <c r="T9" s="96"/>
      <c r="U9" s="348"/>
    </row>
    <row r="10" spans="1:21">
      <c r="A10" s="1478"/>
      <c r="B10" s="361" t="s">
        <v>177</v>
      </c>
      <c r="C10" s="638">
        <v>614</v>
      </c>
      <c r="D10" s="620">
        <v>473</v>
      </c>
      <c r="E10" s="620">
        <v>644</v>
      </c>
      <c r="F10" s="620">
        <v>591</v>
      </c>
      <c r="G10" s="620">
        <v>668</v>
      </c>
      <c r="H10" s="620">
        <v>452</v>
      </c>
      <c r="I10" s="620">
        <v>420</v>
      </c>
      <c r="J10" s="620">
        <v>379</v>
      </c>
      <c r="K10" s="620">
        <v>534</v>
      </c>
      <c r="L10" s="620">
        <v>493</v>
      </c>
      <c r="M10" s="620">
        <v>915</v>
      </c>
      <c r="N10" s="620">
        <v>1026</v>
      </c>
      <c r="O10" s="620">
        <v>417</v>
      </c>
      <c r="P10" s="620">
        <v>916</v>
      </c>
      <c r="Q10" s="620">
        <v>584</v>
      </c>
      <c r="R10" s="370">
        <f t="shared" si="0"/>
        <v>608.4</v>
      </c>
      <c r="S10" s="370">
        <f t="shared" si="1"/>
        <v>584</v>
      </c>
      <c r="T10" s="96"/>
      <c r="U10" s="348"/>
    </row>
    <row r="11" spans="1:21">
      <c r="A11" s="1478"/>
      <c r="B11" s="356" t="s">
        <v>223</v>
      </c>
      <c r="C11" s="638">
        <v>27</v>
      </c>
      <c r="D11" s="620">
        <v>25</v>
      </c>
      <c r="E11" s="620">
        <v>22</v>
      </c>
      <c r="F11" s="620">
        <v>25</v>
      </c>
      <c r="G11" s="620">
        <v>103</v>
      </c>
      <c r="H11" s="620">
        <v>50</v>
      </c>
      <c r="I11" s="620">
        <v>50</v>
      </c>
      <c r="J11" s="620">
        <v>23</v>
      </c>
      <c r="K11" s="620">
        <v>101</v>
      </c>
      <c r="L11" s="620">
        <v>13</v>
      </c>
      <c r="M11" s="620">
        <v>6</v>
      </c>
      <c r="N11" s="620">
        <v>20</v>
      </c>
      <c r="O11" s="620">
        <v>27</v>
      </c>
      <c r="P11" s="620">
        <v>16</v>
      </c>
      <c r="Q11" s="620">
        <v>14</v>
      </c>
      <c r="R11" s="370">
        <f t="shared" si="0"/>
        <v>34.799999999999997</v>
      </c>
      <c r="S11" s="370">
        <f t="shared" si="1"/>
        <v>25</v>
      </c>
      <c r="T11" s="96"/>
      <c r="U11" s="348"/>
    </row>
    <row r="12" spans="1:21">
      <c r="A12" s="1478"/>
      <c r="B12" s="360" t="s">
        <v>171</v>
      </c>
      <c r="C12" s="638">
        <v>13</v>
      </c>
      <c r="D12" s="620">
        <v>8</v>
      </c>
      <c r="E12" s="620">
        <v>32</v>
      </c>
      <c r="F12" s="620">
        <v>66</v>
      </c>
      <c r="G12" s="620">
        <v>199</v>
      </c>
      <c r="H12" s="620">
        <v>78</v>
      </c>
      <c r="I12" s="620">
        <v>63</v>
      </c>
      <c r="J12" s="620">
        <v>40</v>
      </c>
      <c r="K12" s="620">
        <v>277</v>
      </c>
      <c r="L12" s="620">
        <v>10</v>
      </c>
      <c r="M12" s="620">
        <v>2</v>
      </c>
      <c r="N12" s="620">
        <v>14</v>
      </c>
      <c r="O12" s="620">
        <v>7</v>
      </c>
      <c r="P12" s="620">
        <v>4</v>
      </c>
      <c r="Q12" s="620">
        <v>2</v>
      </c>
      <c r="R12" s="370">
        <f t="shared" si="0"/>
        <v>54.333333333333336</v>
      </c>
      <c r="S12" s="370">
        <f t="shared" si="1"/>
        <v>14</v>
      </c>
      <c r="T12" s="96"/>
      <c r="U12" s="348"/>
    </row>
    <row r="13" spans="1:21">
      <c r="A13" s="1478"/>
      <c r="B13" s="362" t="s">
        <v>172</v>
      </c>
      <c r="C13" s="639">
        <v>5</v>
      </c>
      <c r="D13" s="1080">
        <v>2</v>
      </c>
      <c r="E13" s="1080">
        <v>5</v>
      </c>
      <c r="F13" s="1080">
        <v>7</v>
      </c>
      <c r="G13" s="1080">
        <v>19</v>
      </c>
      <c r="H13" s="1080">
        <v>27</v>
      </c>
      <c r="I13" s="1080">
        <v>19</v>
      </c>
      <c r="J13" s="1080">
        <v>24</v>
      </c>
      <c r="K13" s="1080">
        <v>16</v>
      </c>
      <c r="L13" s="1080">
        <v>6</v>
      </c>
      <c r="M13" s="1080">
        <v>2</v>
      </c>
      <c r="N13" s="1080">
        <v>2</v>
      </c>
      <c r="O13" s="1080">
        <v>2</v>
      </c>
      <c r="P13" s="1080">
        <v>2</v>
      </c>
      <c r="Q13" s="1080">
        <v>2</v>
      </c>
      <c r="R13" s="370">
        <f t="shared" si="0"/>
        <v>9.3333333333333339</v>
      </c>
      <c r="S13" s="370">
        <f t="shared" si="1"/>
        <v>5</v>
      </c>
      <c r="T13" s="96"/>
      <c r="U13" s="348"/>
    </row>
    <row r="14" spans="1:21">
      <c r="A14" s="1479"/>
      <c r="B14" s="362" t="s">
        <v>176</v>
      </c>
      <c r="C14" s="364">
        <v>11.5</v>
      </c>
      <c r="D14" s="98">
        <v>4</v>
      </c>
      <c r="E14" s="98">
        <v>10.4</v>
      </c>
      <c r="F14" s="98">
        <v>20.3</v>
      </c>
      <c r="G14" s="98">
        <v>138</v>
      </c>
      <c r="H14" s="98">
        <v>28.6</v>
      </c>
      <c r="I14" s="98">
        <v>29.8</v>
      </c>
      <c r="J14" s="98">
        <v>9.6</v>
      </c>
      <c r="K14" s="98">
        <v>110.4</v>
      </c>
      <c r="L14" s="98">
        <v>6.4</v>
      </c>
      <c r="M14" s="98">
        <v>4</v>
      </c>
      <c r="N14" s="98">
        <v>90.4</v>
      </c>
      <c r="O14" s="98">
        <v>6.8</v>
      </c>
      <c r="P14" s="98">
        <v>4</v>
      </c>
      <c r="Q14" s="98">
        <v>4</v>
      </c>
      <c r="R14" s="370">
        <f t="shared" si="0"/>
        <v>31.88</v>
      </c>
      <c r="S14" s="370">
        <f t="shared" si="1"/>
        <v>10.4</v>
      </c>
      <c r="T14" s="96"/>
      <c r="U14" s="348"/>
    </row>
    <row r="15" spans="1:21">
      <c r="A15" s="1471" t="s">
        <v>875</v>
      </c>
      <c r="B15" s="357" t="s">
        <v>193</v>
      </c>
      <c r="C15" s="638">
        <v>1294</v>
      </c>
      <c r="D15" s="620">
        <v>1113</v>
      </c>
      <c r="E15" s="620">
        <v>910</v>
      </c>
      <c r="F15" s="620">
        <v>820</v>
      </c>
      <c r="G15" s="638">
        <v>927</v>
      </c>
      <c r="H15" s="620">
        <v>889</v>
      </c>
      <c r="I15" s="620">
        <v>803</v>
      </c>
      <c r="J15" s="620">
        <v>694</v>
      </c>
      <c r="K15" s="620">
        <v>777</v>
      </c>
      <c r="L15" s="620">
        <v>814</v>
      </c>
      <c r="M15" s="620">
        <v>619</v>
      </c>
      <c r="N15" s="620">
        <v>1260</v>
      </c>
      <c r="O15" s="620">
        <v>787</v>
      </c>
      <c r="P15" s="620">
        <v>874</v>
      </c>
      <c r="Q15" s="1114">
        <v>1308</v>
      </c>
      <c r="R15" s="370">
        <f t="shared" si="0"/>
        <v>925.93333333333328</v>
      </c>
      <c r="S15" s="370">
        <f t="shared" si="1"/>
        <v>874</v>
      </c>
      <c r="T15" s="96"/>
      <c r="U15" s="348"/>
    </row>
    <row r="16" spans="1:21">
      <c r="A16" s="1472"/>
      <c r="B16" s="358" t="s">
        <v>177</v>
      </c>
      <c r="C16" s="638">
        <v>848</v>
      </c>
      <c r="D16" s="620">
        <v>606</v>
      </c>
      <c r="E16" s="620">
        <v>533</v>
      </c>
      <c r="F16" s="620">
        <v>456</v>
      </c>
      <c r="G16" s="638">
        <v>502</v>
      </c>
      <c r="H16" s="620">
        <v>212</v>
      </c>
      <c r="I16" s="620">
        <v>156</v>
      </c>
      <c r="J16" s="620">
        <v>33</v>
      </c>
      <c r="K16" s="620">
        <v>221</v>
      </c>
      <c r="L16" s="620">
        <v>169</v>
      </c>
      <c r="M16" s="620">
        <v>93</v>
      </c>
      <c r="N16" s="620">
        <v>132</v>
      </c>
      <c r="O16" s="620">
        <v>308</v>
      </c>
      <c r="P16" s="620">
        <v>423</v>
      </c>
      <c r="Q16" s="1114">
        <v>965</v>
      </c>
      <c r="R16" s="370">
        <f t="shared" si="0"/>
        <v>377.13333333333333</v>
      </c>
      <c r="S16" s="370">
        <f t="shared" si="1"/>
        <v>308</v>
      </c>
      <c r="T16" s="96"/>
      <c r="U16" s="348"/>
    </row>
    <row r="17" spans="1:21">
      <c r="A17" s="1475"/>
      <c r="B17" s="445" t="s">
        <v>223</v>
      </c>
      <c r="C17" s="638">
        <v>65</v>
      </c>
      <c r="D17" s="620">
        <v>20</v>
      </c>
      <c r="E17" s="620">
        <v>25</v>
      </c>
      <c r="F17" s="620">
        <v>29</v>
      </c>
      <c r="G17" s="638">
        <v>27</v>
      </c>
      <c r="H17" s="620">
        <v>115</v>
      </c>
      <c r="I17" s="620">
        <v>57</v>
      </c>
      <c r="J17" s="620">
        <v>51</v>
      </c>
      <c r="K17" s="620">
        <v>73</v>
      </c>
      <c r="L17" s="620">
        <v>19</v>
      </c>
      <c r="M17" s="620">
        <v>138</v>
      </c>
      <c r="N17" s="620">
        <v>35</v>
      </c>
      <c r="O17" s="620">
        <v>123</v>
      </c>
      <c r="P17" s="620">
        <v>122</v>
      </c>
      <c r="Q17" s="1114">
        <v>98</v>
      </c>
      <c r="R17" s="370">
        <f t="shared" si="0"/>
        <v>66.466666666666669</v>
      </c>
      <c r="S17" s="370">
        <f t="shared" si="1"/>
        <v>57</v>
      </c>
      <c r="T17" s="96"/>
      <c r="U17" s="348"/>
    </row>
    <row r="18" spans="1:21">
      <c r="A18" s="1475"/>
      <c r="B18" s="357" t="s">
        <v>171</v>
      </c>
      <c r="C18" s="638">
        <v>21</v>
      </c>
      <c r="D18" s="620">
        <v>17</v>
      </c>
      <c r="E18" s="620">
        <v>16</v>
      </c>
      <c r="F18" s="620">
        <v>28</v>
      </c>
      <c r="G18" s="638">
        <v>56</v>
      </c>
      <c r="H18" s="620">
        <v>36</v>
      </c>
      <c r="I18" s="620">
        <v>52</v>
      </c>
      <c r="J18" s="620">
        <v>67</v>
      </c>
      <c r="K18" s="620">
        <v>43</v>
      </c>
      <c r="L18" s="620">
        <v>42</v>
      </c>
      <c r="M18" s="620">
        <v>44</v>
      </c>
      <c r="N18" s="620">
        <v>112</v>
      </c>
      <c r="O18" s="620">
        <v>60</v>
      </c>
      <c r="P18" s="620">
        <v>27</v>
      </c>
      <c r="Q18" s="1114">
        <v>9</v>
      </c>
      <c r="R18" s="370">
        <f t="shared" si="0"/>
        <v>42</v>
      </c>
      <c r="S18" s="370">
        <f t="shared" si="1"/>
        <v>42</v>
      </c>
      <c r="T18" s="96"/>
      <c r="U18" s="348"/>
    </row>
    <row r="19" spans="1:21">
      <c r="A19" s="1475"/>
      <c r="B19" s="359" t="s">
        <v>172</v>
      </c>
      <c r="C19" s="639">
        <v>9</v>
      </c>
      <c r="D19" s="1080">
        <v>3</v>
      </c>
      <c r="E19" s="1080">
        <v>14</v>
      </c>
      <c r="F19" s="1080">
        <v>11</v>
      </c>
      <c r="G19" s="639">
        <v>20</v>
      </c>
      <c r="H19" s="1080">
        <v>19</v>
      </c>
      <c r="I19" s="1080">
        <v>14</v>
      </c>
      <c r="J19" s="1080">
        <v>4</v>
      </c>
      <c r="K19" s="1080">
        <v>2</v>
      </c>
      <c r="L19" s="1080">
        <v>13</v>
      </c>
      <c r="M19" s="1080">
        <v>4</v>
      </c>
      <c r="N19" s="1080">
        <v>20</v>
      </c>
      <c r="O19" s="1080">
        <v>5</v>
      </c>
      <c r="P19" s="1080">
        <v>2</v>
      </c>
      <c r="Q19" s="1115">
        <v>4</v>
      </c>
      <c r="R19" s="370">
        <f t="shared" si="0"/>
        <v>9.6</v>
      </c>
      <c r="S19" s="370">
        <f t="shared" si="1"/>
        <v>9</v>
      </c>
      <c r="T19" s="96"/>
      <c r="U19" s="348"/>
    </row>
    <row r="20" spans="1:21">
      <c r="A20" s="1475"/>
      <c r="B20" s="359" t="s">
        <v>176</v>
      </c>
      <c r="C20" s="364">
        <v>4</v>
      </c>
      <c r="D20" s="98">
        <v>4</v>
      </c>
      <c r="E20" s="98">
        <v>4.8</v>
      </c>
      <c r="F20" s="98">
        <v>5.2</v>
      </c>
      <c r="G20" s="364">
        <v>8.1</v>
      </c>
      <c r="H20" s="98">
        <v>4</v>
      </c>
      <c r="I20" s="98">
        <v>9.6</v>
      </c>
      <c r="J20" s="98">
        <v>5.2</v>
      </c>
      <c r="K20" s="98">
        <v>8.6</v>
      </c>
      <c r="L20" s="98">
        <v>9.8000000000000007</v>
      </c>
      <c r="M20" s="98">
        <v>9.8000000000000007</v>
      </c>
      <c r="N20" s="98">
        <v>15.4</v>
      </c>
      <c r="O20" s="98">
        <v>16.600000000000001</v>
      </c>
      <c r="P20" s="98">
        <v>11</v>
      </c>
      <c r="Q20" s="1116">
        <v>4</v>
      </c>
      <c r="R20" s="370">
        <f t="shared" si="0"/>
        <v>8.0066666666666677</v>
      </c>
      <c r="S20" s="370">
        <f t="shared" si="1"/>
        <v>8.1</v>
      </c>
      <c r="T20" s="150"/>
      <c r="U20" s="348"/>
    </row>
    <row r="21" spans="1:21" s="630" customFormat="1">
      <c r="A21" s="1475"/>
      <c r="B21" s="363" t="s">
        <v>173</v>
      </c>
      <c r="C21" s="425">
        <v>17.7</v>
      </c>
      <c r="D21" s="151">
        <v>3.9</v>
      </c>
      <c r="E21" s="151">
        <v>7.4</v>
      </c>
      <c r="F21" s="151">
        <v>7.7</v>
      </c>
      <c r="G21" s="425">
        <v>3.9</v>
      </c>
      <c r="H21" s="151">
        <v>3.6</v>
      </c>
      <c r="I21" s="151">
        <v>8.6</v>
      </c>
      <c r="J21" s="151">
        <v>15.3</v>
      </c>
      <c r="K21" s="151">
        <v>22.9</v>
      </c>
      <c r="L21" s="151">
        <v>26.9</v>
      </c>
      <c r="M21" s="151">
        <v>7</v>
      </c>
      <c r="N21" s="151">
        <v>52</v>
      </c>
      <c r="O21" s="151">
        <v>13</v>
      </c>
      <c r="P21" s="151">
        <v>8.8000000000000007</v>
      </c>
      <c r="Q21" s="1117">
        <v>4.4000000000000004</v>
      </c>
      <c r="R21" s="370">
        <f t="shared" si="0"/>
        <v>13.540000000000001</v>
      </c>
      <c r="S21" s="370">
        <f t="shared" si="1"/>
        <v>8.6</v>
      </c>
      <c r="T21" s="150"/>
      <c r="U21" s="348"/>
    </row>
    <row r="22" spans="1:21" s="630" customFormat="1">
      <c r="A22" s="1475"/>
      <c r="B22" s="363" t="s">
        <v>173</v>
      </c>
      <c r="C22" s="425">
        <v>18</v>
      </c>
      <c r="D22" s="151">
        <v>3.6</v>
      </c>
      <c r="E22" s="151">
        <v>11.4</v>
      </c>
      <c r="F22" s="151">
        <v>7.7</v>
      </c>
      <c r="G22" s="425">
        <v>3.9</v>
      </c>
      <c r="H22" s="151">
        <v>3.3</v>
      </c>
      <c r="I22" s="151">
        <v>1.8</v>
      </c>
      <c r="J22" s="151">
        <v>15</v>
      </c>
      <c r="K22" s="151">
        <v>22.9</v>
      </c>
      <c r="L22" s="151">
        <v>29.9</v>
      </c>
      <c r="M22" s="151">
        <v>8.8000000000000007</v>
      </c>
      <c r="N22" s="151">
        <v>39.4</v>
      </c>
      <c r="O22" s="151">
        <v>13.6</v>
      </c>
      <c r="P22" s="151">
        <v>8.8000000000000007</v>
      </c>
      <c r="Q22" s="1117">
        <v>4.8</v>
      </c>
      <c r="R22" s="370">
        <f t="shared" si="0"/>
        <v>12.860000000000001</v>
      </c>
      <c r="S22" s="370">
        <f t="shared" si="1"/>
        <v>8.8000000000000007</v>
      </c>
      <c r="T22" s="150"/>
      <c r="U22" s="348"/>
    </row>
    <row r="23" spans="1:21">
      <c r="A23" s="1476"/>
      <c r="B23" s="637" t="s">
        <v>1072</v>
      </c>
      <c r="C23" s="640">
        <f>AVERAGE(C21:C22)</f>
        <v>17.850000000000001</v>
      </c>
      <c r="D23" s="1090">
        <f t="shared" ref="D23:Q23" si="2">AVERAGE(D21:D22)</f>
        <v>3.75</v>
      </c>
      <c r="E23" s="1090">
        <f t="shared" si="2"/>
        <v>9.4</v>
      </c>
      <c r="F23" s="1090">
        <f t="shared" si="2"/>
        <v>7.7</v>
      </c>
      <c r="G23" s="1090">
        <f t="shared" si="2"/>
        <v>3.9</v>
      </c>
      <c r="H23" s="1090">
        <f t="shared" si="2"/>
        <v>3.45</v>
      </c>
      <c r="I23" s="1090">
        <f t="shared" si="2"/>
        <v>5.2</v>
      </c>
      <c r="J23" s="1090">
        <f t="shared" si="2"/>
        <v>15.15</v>
      </c>
      <c r="K23" s="1090">
        <f t="shared" si="2"/>
        <v>22.9</v>
      </c>
      <c r="L23" s="1090">
        <f t="shared" si="2"/>
        <v>28.4</v>
      </c>
      <c r="M23" s="1090">
        <f t="shared" si="2"/>
        <v>7.9</v>
      </c>
      <c r="N23" s="1090">
        <f t="shared" si="2"/>
        <v>45.7</v>
      </c>
      <c r="O23" s="1090">
        <f t="shared" si="2"/>
        <v>13.3</v>
      </c>
      <c r="P23" s="1090">
        <f t="shared" si="2"/>
        <v>8.8000000000000007</v>
      </c>
      <c r="Q23" s="1090">
        <f t="shared" si="2"/>
        <v>4.5999999999999996</v>
      </c>
      <c r="R23" s="370">
        <f t="shared" si="0"/>
        <v>13.200000000000001</v>
      </c>
      <c r="S23" s="370">
        <f t="shared" si="1"/>
        <v>8.8000000000000007</v>
      </c>
      <c r="T23" s="150"/>
      <c r="U23" s="350"/>
    </row>
    <row r="24" spans="1:21">
      <c r="A24" s="1477" t="s">
        <v>876</v>
      </c>
      <c r="B24" s="360" t="s">
        <v>193</v>
      </c>
      <c r="C24" s="638">
        <v>1192</v>
      </c>
      <c r="D24" s="620">
        <v>1283</v>
      </c>
      <c r="E24" s="620">
        <v>1206</v>
      </c>
      <c r="F24" s="620">
        <v>786</v>
      </c>
      <c r="G24" s="620">
        <v>1048</v>
      </c>
      <c r="H24" s="620">
        <v>1015</v>
      </c>
      <c r="I24" s="620">
        <v>856</v>
      </c>
      <c r="J24" s="620">
        <v>709</v>
      </c>
      <c r="K24" s="620">
        <v>759</v>
      </c>
      <c r="L24" s="620">
        <v>801</v>
      </c>
      <c r="M24" s="620">
        <v>769</v>
      </c>
      <c r="N24" s="620">
        <v>723</v>
      </c>
      <c r="O24" s="620">
        <v>711</v>
      </c>
      <c r="P24" s="620">
        <v>832</v>
      </c>
      <c r="Q24" s="1114">
        <v>1245</v>
      </c>
      <c r="R24" s="370">
        <f t="shared" si="0"/>
        <v>929</v>
      </c>
      <c r="S24" s="370">
        <f t="shared" si="1"/>
        <v>832</v>
      </c>
      <c r="T24" s="150"/>
      <c r="U24" s="350"/>
    </row>
    <row r="25" spans="1:21">
      <c r="A25" s="1480"/>
      <c r="B25" s="361" t="s">
        <v>177</v>
      </c>
      <c r="C25" s="638">
        <v>458</v>
      </c>
      <c r="D25" s="620">
        <v>316</v>
      </c>
      <c r="E25" s="620">
        <v>478</v>
      </c>
      <c r="F25" s="620">
        <v>411</v>
      </c>
      <c r="G25" s="620">
        <v>598</v>
      </c>
      <c r="H25" s="620">
        <v>350</v>
      </c>
      <c r="I25" s="620">
        <v>169</v>
      </c>
      <c r="J25" s="620">
        <v>152</v>
      </c>
      <c r="K25" s="620">
        <v>212</v>
      </c>
      <c r="L25" s="620">
        <v>187</v>
      </c>
      <c r="M25" s="620">
        <v>101</v>
      </c>
      <c r="N25" s="620">
        <v>153</v>
      </c>
      <c r="O25" s="620">
        <v>306</v>
      </c>
      <c r="P25" s="620">
        <v>440</v>
      </c>
      <c r="Q25" s="1114">
        <v>557</v>
      </c>
      <c r="R25" s="370">
        <f t="shared" si="0"/>
        <v>325.86666666666667</v>
      </c>
      <c r="S25" s="370">
        <f t="shared" si="1"/>
        <v>316</v>
      </c>
      <c r="T25" s="150"/>
      <c r="U25" s="350"/>
    </row>
    <row r="26" spans="1:21">
      <c r="A26" s="1480"/>
      <c r="B26" s="356" t="s">
        <v>223</v>
      </c>
      <c r="C26" s="638">
        <v>400</v>
      </c>
      <c r="D26" s="620">
        <v>705</v>
      </c>
      <c r="E26" s="620">
        <v>359</v>
      </c>
      <c r="F26" s="620">
        <v>198</v>
      </c>
      <c r="G26" s="620">
        <v>101</v>
      </c>
      <c r="H26" s="620">
        <v>262</v>
      </c>
      <c r="I26" s="620">
        <v>283</v>
      </c>
      <c r="J26" s="620">
        <v>290</v>
      </c>
      <c r="K26" s="620">
        <v>334</v>
      </c>
      <c r="L26" s="620">
        <v>260</v>
      </c>
      <c r="M26" s="620">
        <v>243</v>
      </c>
      <c r="N26" s="620">
        <v>276</v>
      </c>
      <c r="O26" s="620">
        <v>125</v>
      </c>
      <c r="P26" s="620">
        <v>126</v>
      </c>
      <c r="Q26" s="1114">
        <v>336</v>
      </c>
      <c r="R26" s="370">
        <f t="shared" si="0"/>
        <v>286.53333333333336</v>
      </c>
      <c r="S26" s="370">
        <f t="shared" si="1"/>
        <v>276</v>
      </c>
      <c r="T26" s="150"/>
      <c r="U26" s="350"/>
    </row>
    <row r="27" spans="1:21">
      <c r="A27" s="1478"/>
      <c r="B27" s="360" t="s">
        <v>171</v>
      </c>
      <c r="C27" s="638">
        <v>49</v>
      </c>
      <c r="D27" s="620">
        <v>22</v>
      </c>
      <c r="E27" s="620">
        <v>13</v>
      </c>
      <c r="F27" s="620">
        <v>27</v>
      </c>
      <c r="G27" s="620">
        <v>78</v>
      </c>
      <c r="H27" s="620">
        <v>57</v>
      </c>
      <c r="I27" s="620">
        <v>126</v>
      </c>
      <c r="J27" s="620">
        <v>66</v>
      </c>
      <c r="K27" s="620">
        <v>92</v>
      </c>
      <c r="L27" s="620">
        <v>114</v>
      </c>
      <c r="M27" s="620">
        <v>105</v>
      </c>
      <c r="N27" s="620">
        <v>191</v>
      </c>
      <c r="O27" s="620">
        <v>62</v>
      </c>
      <c r="P27" s="620">
        <v>28</v>
      </c>
      <c r="Q27" s="1116">
        <v>4</v>
      </c>
      <c r="R27" s="370">
        <f t="shared" si="0"/>
        <v>68.933333333333337</v>
      </c>
      <c r="S27" s="370">
        <f t="shared" si="1"/>
        <v>62</v>
      </c>
      <c r="T27" s="150"/>
      <c r="U27" s="350"/>
    </row>
    <row r="28" spans="1:21">
      <c r="A28" s="1478"/>
      <c r="B28" s="362" t="s">
        <v>172</v>
      </c>
      <c r="C28" s="639">
        <v>8</v>
      </c>
      <c r="D28" s="1080">
        <v>5</v>
      </c>
      <c r="E28" s="1080">
        <v>6</v>
      </c>
      <c r="F28" s="1080">
        <v>5</v>
      </c>
      <c r="G28" s="1080">
        <v>28</v>
      </c>
      <c r="H28" s="1080">
        <v>34</v>
      </c>
      <c r="I28" s="1080">
        <v>47</v>
      </c>
      <c r="J28" s="1080">
        <v>31</v>
      </c>
      <c r="K28" s="1080">
        <v>11</v>
      </c>
      <c r="L28" s="1080">
        <v>11</v>
      </c>
      <c r="M28" s="1080">
        <v>4</v>
      </c>
      <c r="N28" s="1080">
        <v>6</v>
      </c>
      <c r="O28" s="1080">
        <v>17</v>
      </c>
      <c r="P28" s="1080">
        <v>2</v>
      </c>
      <c r="Q28" s="1114">
        <v>15</v>
      </c>
      <c r="R28" s="370">
        <f t="shared" si="0"/>
        <v>15.333333333333334</v>
      </c>
      <c r="S28" s="370">
        <f t="shared" si="1"/>
        <v>11</v>
      </c>
      <c r="T28" s="96"/>
      <c r="U28" s="350"/>
    </row>
    <row r="29" spans="1:21">
      <c r="A29" s="1479"/>
      <c r="B29" s="362" t="s">
        <v>176</v>
      </c>
      <c r="C29" s="364">
        <v>4</v>
      </c>
      <c r="D29" s="98">
        <v>4</v>
      </c>
      <c r="E29" s="98">
        <v>4</v>
      </c>
      <c r="F29" s="98">
        <v>5.7</v>
      </c>
      <c r="G29" s="98">
        <v>11.8</v>
      </c>
      <c r="H29" s="98">
        <v>4</v>
      </c>
      <c r="I29" s="98">
        <v>6.2</v>
      </c>
      <c r="J29" s="98">
        <v>8</v>
      </c>
      <c r="K29" s="98">
        <v>26.8</v>
      </c>
      <c r="L29" s="98">
        <v>39</v>
      </c>
      <c r="M29" s="98">
        <v>27.4</v>
      </c>
      <c r="N29" s="98">
        <v>81.3</v>
      </c>
      <c r="O29" s="98">
        <v>20.2</v>
      </c>
      <c r="P29" s="98">
        <v>11.2</v>
      </c>
      <c r="Q29" s="1115">
        <v>2</v>
      </c>
      <c r="R29" s="370">
        <f t="shared" si="0"/>
        <v>17.04</v>
      </c>
      <c r="S29" s="370">
        <f t="shared" si="1"/>
        <v>8</v>
      </c>
      <c r="T29" s="96"/>
      <c r="U29" s="350"/>
    </row>
    <row r="30" spans="1:21">
      <c r="A30" s="1471" t="s">
        <v>207</v>
      </c>
      <c r="B30" s="357" t="s">
        <v>193</v>
      </c>
      <c r="C30" s="638">
        <v>1050</v>
      </c>
      <c r="D30" s="620">
        <v>915</v>
      </c>
      <c r="E30" s="620">
        <v>1077</v>
      </c>
      <c r="F30" s="620">
        <v>916</v>
      </c>
      <c r="G30" s="620">
        <v>975</v>
      </c>
      <c r="H30" s="620">
        <v>591</v>
      </c>
      <c r="I30" s="620">
        <v>593</v>
      </c>
      <c r="J30" s="620">
        <v>506</v>
      </c>
      <c r="K30" s="620">
        <v>614</v>
      </c>
      <c r="L30" s="620">
        <v>693</v>
      </c>
      <c r="M30" s="620">
        <v>550</v>
      </c>
      <c r="N30" s="620">
        <v>696</v>
      </c>
      <c r="O30" s="620">
        <v>714</v>
      </c>
      <c r="P30" s="620">
        <v>1746</v>
      </c>
      <c r="Q30" s="620">
        <v>885</v>
      </c>
      <c r="R30" s="370">
        <f t="shared" si="0"/>
        <v>834.73333333333335</v>
      </c>
      <c r="S30" s="370">
        <f t="shared" si="1"/>
        <v>714</v>
      </c>
      <c r="T30" s="96"/>
      <c r="U30" s="348"/>
    </row>
    <row r="31" spans="1:21">
      <c r="A31" s="1472"/>
      <c r="B31" s="358" t="s">
        <v>177</v>
      </c>
      <c r="C31" s="638">
        <v>623</v>
      </c>
      <c r="D31" s="620">
        <v>595</v>
      </c>
      <c r="E31" s="620">
        <v>522</v>
      </c>
      <c r="F31" s="620">
        <v>452</v>
      </c>
      <c r="G31" s="620">
        <v>562</v>
      </c>
      <c r="H31" s="620">
        <v>245</v>
      </c>
      <c r="I31" s="620">
        <v>209</v>
      </c>
      <c r="J31" s="620">
        <v>149</v>
      </c>
      <c r="K31" s="620">
        <v>236</v>
      </c>
      <c r="L31" s="620">
        <v>161</v>
      </c>
      <c r="M31" s="620">
        <v>139</v>
      </c>
      <c r="N31" s="620">
        <v>158</v>
      </c>
      <c r="O31" s="620">
        <v>336</v>
      </c>
      <c r="P31" s="620">
        <v>1118</v>
      </c>
      <c r="Q31" s="620">
        <v>579</v>
      </c>
      <c r="R31" s="370">
        <f t="shared" si="0"/>
        <v>405.6</v>
      </c>
      <c r="S31" s="370">
        <f t="shared" si="1"/>
        <v>336</v>
      </c>
      <c r="T31" s="96"/>
      <c r="U31" s="348"/>
    </row>
    <row r="32" spans="1:21">
      <c r="A32" s="1472"/>
      <c r="B32" s="352" t="s">
        <v>223</v>
      </c>
      <c r="C32" s="638">
        <v>87</v>
      </c>
      <c r="D32" s="620">
        <v>25</v>
      </c>
      <c r="E32" s="620">
        <v>26</v>
      </c>
      <c r="F32" s="620">
        <v>35</v>
      </c>
      <c r="G32" s="620">
        <v>47</v>
      </c>
      <c r="H32" s="620">
        <v>71</v>
      </c>
      <c r="I32" s="620">
        <v>107</v>
      </c>
      <c r="J32" s="620">
        <v>43</v>
      </c>
      <c r="K32" s="620">
        <v>78</v>
      </c>
      <c r="L32" s="620">
        <v>26</v>
      </c>
      <c r="M32" s="620">
        <v>102</v>
      </c>
      <c r="N32" s="620">
        <v>71</v>
      </c>
      <c r="O32" s="620">
        <v>62</v>
      </c>
      <c r="P32" s="620">
        <v>403</v>
      </c>
      <c r="Q32" s="620">
        <v>21</v>
      </c>
      <c r="R32" s="370">
        <f t="shared" si="0"/>
        <v>80.266666666666666</v>
      </c>
      <c r="S32" s="370">
        <f t="shared" si="1"/>
        <v>62</v>
      </c>
      <c r="T32" s="96"/>
      <c r="U32" s="348"/>
    </row>
    <row r="33" spans="1:21">
      <c r="A33" s="1473"/>
      <c r="B33" s="357" t="s">
        <v>171</v>
      </c>
      <c r="C33" s="638">
        <v>13</v>
      </c>
      <c r="D33" s="620">
        <v>17</v>
      </c>
      <c r="E33" s="620">
        <v>22</v>
      </c>
      <c r="F33" s="620">
        <v>46</v>
      </c>
      <c r="G33" s="620">
        <v>61</v>
      </c>
      <c r="H33" s="620">
        <v>42</v>
      </c>
      <c r="I33" s="620">
        <v>42</v>
      </c>
      <c r="J33" s="620">
        <v>34</v>
      </c>
      <c r="K33" s="620">
        <v>28</v>
      </c>
      <c r="L33" s="620">
        <v>40</v>
      </c>
      <c r="M33" s="620">
        <v>40</v>
      </c>
      <c r="N33" s="620">
        <v>52</v>
      </c>
      <c r="O33" s="620">
        <v>38</v>
      </c>
      <c r="P33" s="620">
        <v>76</v>
      </c>
      <c r="Q33" s="620">
        <v>13</v>
      </c>
      <c r="R33" s="370">
        <f t="shared" si="0"/>
        <v>37.6</v>
      </c>
      <c r="S33" s="370">
        <f t="shared" si="1"/>
        <v>40</v>
      </c>
      <c r="T33" s="96"/>
      <c r="U33" s="348"/>
    </row>
    <row r="34" spans="1:21">
      <c r="A34" s="1473"/>
      <c r="B34" s="359" t="s">
        <v>172</v>
      </c>
      <c r="C34" s="639">
        <v>6</v>
      </c>
      <c r="D34" s="1080">
        <v>4</v>
      </c>
      <c r="E34" s="1080">
        <v>2</v>
      </c>
      <c r="F34" s="1080">
        <v>7</v>
      </c>
      <c r="G34" s="1080">
        <v>26</v>
      </c>
      <c r="H34" s="1080">
        <v>19</v>
      </c>
      <c r="I34" s="1080">
        <v>25</v>
      </c>
      <c r="J34" s="1080">
        <v>14</v>
      </c>
      <c r="K34" s="1080">
        <v>2</v>
      </c>
      <c r="L34" s="1080">
        <v>26</v>
      </c>
      <c r="M34" s="1080">
        <v>3</v>
      </c>
      <c r="N34" s="1080">
        <v>7</v>
      </c>
      <c r="O34" s="1080">
        <v>6</v>
      </c>
      <c r="P34" s="1080">
        <v>9</v>
      </c>
      <c r="Q34" s="1080">
        <v>2</v>
      </c>
      <c r="R34" s="370">
        <f t="shared" si="0"/>
        <v>10.533333333333333</v>
      </c>
      <c r="S34" s="370">
        <f t="shared" si="1"/>
        <v>7</v>
      </c>
      <c r="T34" s="96"/>
      <c r="U34" s="348"/>
    </row>
    <row r="35" spans="1:21">
      <c r="A35" s="1473"/>
      <c r="B35" s="359" t="s">
        <v>176</v>
      </c>
      <c r="C35" s="364">
        <v>4</v>
      </c>
      <c r="D35" s="98">
        <v>4</v>
      </c>
      <c r="E35" s="98">
        <v>6.1</v>
      </c>
      <c r="F35" s="98">
        <v>12.6</v>
      </c>
      <c r="G35" s="98">
        <v>9.5</v>
      </c>
      <c r="H35" s="98">
        <v>4</v>
      </c>
      <c r="I35" s="98">
        <v>6.6</v>
      </c>
      <c r="J35" s="98">
        <v>8.1999999999999993</v>
      </c>
      <c r="K35" s="98">
        <v>10.199999999999999</v>
      </c>
      <c r="L35" s="98">
        <v>10.199999999999999</v>
      </c>
      <c r="M35" s="98">
        <v>9.8000000000000007</v>
      </c>
      <c r="N35" s="98">
        <v>9.6</v>
      </c>
      <c r="O35" s="98">
        <v>12.6</v>
      </c>
      <c r="P35" s="98">
        <v>18</v>
      </c>
      <c r="Q35" s="98">
        <v>4</v>
      </c>
      <c r="R35" s="370">
        <f t="shared" si="0"/>
        <v>8.6266666666666652</v>
      </c>
      <c r="S35" s="370">
        <f t="shared" si="1"/>
        <v>9.5</v>
      </c>
      <c r="T35" s="96"/>
      <c r="U35" s="348"/>
    </row>
    <row r="36" spans="1:21">
      <c r="A36" s="1474"/>
      <c r="B36" s="358" t="s">
        <v>527</v>
      </c>
      <c r="C36" s="1212">
        <v>7</v>
      </c>
      <c r="D36" s="1212">
        <v>1</v>
      </c>
      <c r="E36" s="1212">
        <v>1</v>
      </c>
      <c r="F36" s="1212">
        <v>10</v>
      </c>
      <c r="G36" s="1212">
        <v>35</v>
      </c>
      <c r="H36" s="1212">
        <v>2</v>
      </c>
      <c r="I36" s="1212">
        <v>5</v>
      </c>
      <c r="J36" s="50"/>
      <c r="K36" s="1212">
        <v>1</v>
      </c>
      <c r="L36" s="50"/>
      <c r="M36" s="1212">
        <v>1</v>
      </c>
      <c r="N36" s="50"/>
      <c r="O36" s="1212">
        <v>1</v>
      </c>
      <c r="P36" s="1212">
        <v>35</v>
      </c>
      <c r="Q36" s="1212">
        <v>1</v>
      </c>
      <c r="R36" s="347">
        <f>GEOMEAN(C36:Q36)</f>
        <v>3.1220235693426548</v>
      </c>
      <c r="S36" s="347">
        <f>MEDIAN(C36:Q36)</f>
        <v>1.5</v>
      </c>
      <c r="T36" s="96"/>
      <c r="U36" s="348"/>
    </row>
    <row r="37" spans="1:21">
      <c r="A37" s="89"/>
      <c r="B37" s="710"/>
      <c r="C37" s="710"/>
      <c r="D37" s="89"/>
      <c r="E37" s="89"/>
      <c r="F37" s="89"/>
      <c r="G37" s="92"/>
      <c r="H37" s="84"/>
      <c r="R37" s="17" t="s">
        <v>879</v>
      </c>
      <c r="U37" s="348"/>
    </row>
    <row r="38" spans="1:21">
      <c r="A38" s="89"/>
      <c r="B38" s="90"/>
      <c r="C38" s="90"/>
      <c r="D38" s="93"/>
      <c r="E38" s="89"/>
      <c r="F38" s="79"/>
      <c r="G38" s="91"/>
      <c r="H38" s="80"/>
    </row>
    <row r="39" spans="1:21">
      <c r="A39" s="89"/>
      <c r="B39" s="90"/>
      <c r="C39" s="90"/>
      <c r="D39" s="87"/>
      <c r="E39" s="89"/>
      <c r="F39" s="94"/>
      <c r="G39" s="88"/>
      <c r="H39" s="88"/>
    </row>
    <row r="40" spans="1:21">
      <c r="A40" s="89"/>
      <c r="B40" s="90"/>
      <c r="C40" s="17"/>
      <c r="D40" s="96"/>
      <c r="E40" s="76"/>
      <c r="F40" s="76"/>
      <c r="G40" s="17"/>
      <c r="H40" s="17"/>
      <c r="I40" s="17"/>
      <c r="J40" s="17"/>
      <c r="K40" s="77"/>
      <c r="L40" s="77"/>
    </row>
    <row r="41" spans="1:21">
      <c r="A41" s="89"/>
      <c r="B41" s="90"/>
      <c r="C41" s="17"/>
      <c r="D41" s="96"/>
      <c r="E41" s="76"/>
      <c r="F41" s="76"/>
      <c r="G41" s="17"/>
      <c r="H41" s="17"/>
      <c r="I41" s="17"/>
      <c r="J41" s="17"/>
      <c r="K41" s="77"/>
      <c r="L41" s="77"/>
    </row>
    <row r="42" spans="1:21">
      <c r="A42" s="89"/>
      <c r="B42" s="90"/>
      <c r="C42" s="17"/>
      <c r="D42" s="96"/>
      <c r="E42" s="76"/>
      <c r="F42" s="76"/>
      <c r="G42" s="17"/>
      <c r="H42" s="17"/>
      <c r="I42" s="17"/>
      <c r="J42" s="17"/>
      <c r="K42" s="84"/>
      <c r="L42" s="84"/>
    </row>
    <row r="43" spans="1:21">
      <c r="A43" s="89"/>
      <c r="B43" s="90"/>
      <c r="C43" s="17"/>
      <c r="D43" s="96"/>
      <c r="E43" s="76"/>
      <c r="F43" s="76"/>
      <c r="G43" s="81"/>
      <c r="H43" s="17"/>
      <c r="I43" s="79"/>
      <c r="J43" s="79"/>
      <c r="K43" s="80"/>
      <c r="L43" s="80"/>
    </row>
    <row r="44" spans="1:21">
      <c r="A44" s="17"/>
      <c r="B44" s="90"/>
      <c r="C44" s="17"/>
      <c r="D44" s="96"/>
      <c r="E44" s="76"/>
      <c r="F44" s="76"/>
      <c r="G44" s="17"/>
      <c r="H44" s="17"/>
      <c r="I44" s="17"/>
      <c r="J44" s="17"/>
      <c r="K44" s="77"/>
      <c r="L44" s="77"/>
    </row>
    <row r="45" spans="1:21">
      <c r="A45" s="17"/>
      <c r="B45" s="90"/>
      <c r="C45" s="17"/>
      <c r="D45" s="96"/>
      <c r="E45" s="76"/>
      <c r="F45" s="76"/>
      <c r="G45" s="17"/>
      <c r="H45" s="17"/>
      <c r="I45" s="17"/>
      <c r="J45" s="17"/>
      <c r="K45" s="77"/>
      <c r="L45" s="77"/>
    </row>
    <row r="46" spans="1:21">
      <c r="A46" s="17"/>
      <c r="B46" s="90"/>
      <c r="C46" s="17"/>
      <c r="D46" s="96"/>
      <c r="E46" s="76"/>
      <c r="F46" s="76"/>
      <c r="G46" s="17"/>
      <c r="H46" s="17"/>
      <c r="I46" s="17"/>
      <c r="J46" s="17"/>
      <c r="K46" s="84"/>
      <c r="L46" s="84"/>
    </row>
    <row r="47" spans="1:21">
      <c r="A47" s="17"/>
      <c r="B47" s="90"/>
      <c r="C47" s="17"/>
      <c r="D47" s="96"/>
      <c r="E47" s="76"/>
      <c r="F47" s="76"/>
      <c r="G47" s="81"/>
      <c r="H47" s="17"/>
      <c r="I47" s="79"/>
      <c r="J47" s="79"/>
      <c r="K47" s="80"/>
      <c r="L47" s="80"/>
    </row>
    <row r="48" spans="1:21">
      <c r="A48" s="89"/>
      <c r="B48" s="90"/>
      <c r="C48" s="17"/>
      <c r="D48" s="96"/>
      <c r="E48" s="76"/>
      <c r="F48" s="76"/>
      <c r="G48" s="87"/>
      <c r="H48" s="17"/>
      <c r="I48" s="82"/>
      <c r="J48" s="82"/>
      <c r="K48" s="88"/>
      <c r="L48" s="88"/>
    </row>
    <row r="49" spans="1:12">
      <c r="A49" s="89"/>
      <c r="B49" s="90"/>
      <c r="C49" s="17"/>
      <c r="D49" s="96"/>
      <c r="E49" s="76"/>
      <c r="F49" s="76"/>
      <c r="G49" s="17"/>
      <c r="H49" s="17"/>
      <c r="I49" s="17"/>
      <c r="J49" s="17"/>
      <c r="K49" s="77"/>
      <c r="L49" s="77"/>
    </row>
    <row r="50" spans="1:12">
      <c r="A50" s="89"/>
      <c r="B50" s="90"/>
      <c r="C50" s="17"/>
      <c r="D50" s="96"/>
      <c r="E50" s="76"/>
      <c r="F50" s="76"/>
      <c r="G50" s="17"/>
      <c r="H50" s="17"/>
      <c r="I50" s="17"/>
      <c r="J50" s="17"/>
      <c r="K50" s="77"/>
      <c r="L50" s="77"/>
    </row>
    <row r="51" spans="1:12">
      <c r="A51" s="89"/>
      <c r="B51" s="90"/>
      <c r="C51" s="17"/>
      <c r="D51" s="96"/>
      <c r="E51" s="76"/>
      <c r="F51" s="76"/>
      <c r="G51" s="17"/>
      <c r="H51" s="17"/>
      <c r="I51" s="17"/>
      <c r="J51" s="17"/>
      <c r="K51" s="84"/>
      <c r="L51" s="84"/>
    </row>
    <row r="52" spans="1:12">
      <c r="A52" s="89"/>
      <c r="B52" s="90"/>
      <c r="C52" s="17"/>
      <c r="D52" s="96"/>
      <c r="E52" s="76"/>
      <c r="F52" s="76"/>
      <c r="G52" s="81"/>
      <c r="H52" s="17"/>
      <c r="I52" s="79"/>
      <c r="J52" s="79"/>
      <c r="K52" s="80"/>
      <c r="L52" s="80"/>
    </row>
    <row r="53" spans="1:12">
      <c r="C53" s="17"/>
      <c r="D53" s="96"/>
      <c r="E53" s="76"/>
      <c r="F53" s="76"/>
      <c r="G53" s="17"/>
      <c r="H53" s="17"/>
      <c r="I53" s="17"/>
      <c r="J53" s="17"/>
      <c r="K53" s="77"/>
      <c r="L53" s="77"/>
    </row>
    <row r="54" spans="1:12">
      <c r="C54" s="17"/>
      <c r="D54" s="96"/>
      <c r="E54" s="76"/>
      <c r="F54" s="76"/>
      <c r="G54" s="17"/>
      <c r="H54" s="17"/>
      <c r="I54" s="17"/>
      <c r="J54" s="17"/>
      <c r="K54" s="77"/>
      <c r="L54" s="77"/>
    </row>
    <row r="55" spans="1:12">
      <c r="C55" s="17"/>
      <c r="D55" s="96"/>
      <c r="E55" s="76"/>
      <c r="F55" s="76"/>
      <c r="G55" s="17"/>
      <c r="H55" s="17"/>
      <c r="I55" s="17"/>
      <c r="J55" s="17"/>
      <c r="K55" s="84"/>
      <c r="L55" s="84"/>
    </row>
    <row r="56" spans="1:12">
      <c r="C56" s="17"/>
      <c r="D56" s="96"/>
      <c r="E56" s="76"/>
      <c r="F56" s="76"/>
      <c r="G56" s="81"/>
      <c r="H56" s="17"/>
      <c r="I56" s="79"/>
      <c r="J56" s="79"/>
      <c r="K56" s="80"/>
      <c r="L56" s="80"/>
    </row>
    <row r="57" spans="1:12">
      <c r="C57" s="17"/>
      <c r="D57" s="96"/>
      <c r="E57" s="76"/>
      <c r="F57" s="76"/>
      <c r="G57" s="17"/>
      <c r="H57" s="17"/>
      <c r="I57" s="17"/>
      <c r="J57" s="17"/>
      <c r="K57" s="77"/>
      <c r="L57" s="77"/>
    </row>
    <row r="58" spans="1:12">
      <c r="C58" s="17"/>
      <c r="D58" s="96"/>
      <c r="E58" s="76"/>
      <c r="F58" s="76"/>
      <c r="G58" s="17"/>
      <c r="H58" s="17"/>
      <c r="I58" s="17"/>
      <c r="J58" s="17"/>
      <c r="K58" s="77"/>
      <c r="L58" s="77"/>
    </row>
    <row r="59" spans="1:12">
      <c r="C59" s="17"/>
      <c r="D59" s="96"/>
      <c r="E59" s="76"/>
      <c r="F59" s="76"/>
      <c r="G59" s="17"/>
      <c r="H59" s="17"/>
      <c r="I59" s="17"/>
      <c r="J59" s="17"/>
      <c r="K59" s="84"/>
      <c r="L59" s="84"/>
    </row>
    <row r="60" spans="1:12">
      <c r="C60" s="17"/>
      <c r="D60" s="96"/>
      <c r="E60" s="76"/>
      <c r="F60" s="76"/>
      <c r="G60" s="81"/>
      <c r="H60" s="17"/>
      <c r="I60" s="79"/>
      <c r="J60" s="79"/>
      <c r="K60" s="80"/>
      <c r="L60" s="80"/>
    </row>
  </sheetData>
  <mergeCells count="6">
    <mergeCell ref="A30:A36"/>
    <mergeCell ref="A1:R1"/>
    <mergeCell ref="A3:A8"/>
    <mergeCell ref="A9:A14"/>
    <mergeCell ref="A15:A23"/>
    <mergeCell ref="A24:A29"/>
  </mergeCells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H121"/>
  <sheetViews>
    <sheetView topLeftCell="A104" workbookViewId="0">
      <selection activeCell="A107" sqref="A107:E121"/>
    </sheetView>
  </sheetViews>
  <sheetFormatPr defaultRowHeight="14"/>
  <cols>
    <col min="1" max="1" width="16.453125" customWidth="1"/>
    <col min="2" max="2" width="12.36328125" customWidth="1"/>
    <col min="3" max="3" width="5.54296875" customWidth="1"/>
    <col min="4" max="4" width="7" customWidth="1"/>
    <col min="5" max="5" width="7.08984375" customWidth="1"/>
    <col min="6" max="11" width="5" customWidth="1"/>
    <col min="12" max="13" width="5.54296875" customWidth="1"/>
    <col min="14" max="21" width="5" customWidth="1"/>
    <col min="22" max="22" width="5" bestFit="1" customWidth="1"/>
    <col min="23" max="23" width="5" customWidth="1"/>
    <col min="24" max="26" width="5.54296875" bestFit="1" customWidth="1"/>
    <col min="27" max="27" width="5.54296875" style="710" customWidth="1"/>
    <col min="28" max="28" width="8.54296875" customWidth="1"/>
    <col min="31" max="31" width="15.6328125" customWidth="1"/>
    <col min="32" max="32" width="13" customWidth="1"/>
  </cols>
  <sheetData>
    <row r="1" spans="1:34">
      <c r="A1" s="1415" t="s">
        <v>1618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  <c r="L1" s="1416"/>
      <c r="M1" s="1416"/>
      <c r="N1" s="1416"/>
      <c r="O1" s="1416"/>
      <c r="P1" s="1416"/>
      <c r="Q1" s="1416"/>
      <c r="R1" s="1416"/>
      <c r="S1" s="1416"/>
      <c r="T1" s="1416"/>
      <c r="U1" s="1416"/>
      <c r="V1" s="1416"/>
      <c r="W1" s="1416"/>
      <c r="X1" s="1416"/>
      <c r="Y1" s="1416"/>
      <c r="Z1" s="1416"/>
      <c r="AA1" s="1416"/>
      <c r="AB1" s="1416"/>
      <c r="AF1" s="648"/>
      <c r="AG1" s="51"/>
      <c r="AH1" s="51"/>
    </row>
    <row r="2" spans="1:34">
      <c r="A2" s="1417" t="s">
        <v>9</v>
      </c>
      <c r="B2" s="1419" t="s">
        <v>10</v>
      </c>
      <c r="C2" s="1421" t="s">
        <v>104</v>
      </c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421"/>
      <c r="S2" s="1421"/>
      <c r="T2" s="1421"/>
      <c r="U2" s="1421"/>
      <c r="V2" s="1421"/>
      <c r="W2" s="1421"/>
      <c r="X2" s="1421"/>
      <c r="Y2" s="1421"/>
      <c r="Z2" s="1421"/>
      <c r="AA2" s="1421"/>
      <c r="AB2" s="1421"/>
      <c r="AF2" s="649"/>
      <c r="AG2" s="51"/>
      <c r="AH2" s="51"/>
    </row>
    <row r="3" spans="1:34" ht="26">
      <c r="A3" s="1418"/>
      <c r="B3" s="1420"/>
      <c r="C3" s="152">
        <v>1991</v>
      </c>
      <c r="D3" s="152">
        <v>1992</v>
      </c>
      <c r="E3" s="152">
        <v>1993</v>
      </c>
      <c r="F3" s="152">
        <v>1994</v>
      </c>
      <c r="G3" s="152">
        <v>1995</v>
      </c>
      <c r="H3" s="152">
        <v>1996</v>
      </c>
      <c r="I3" s="152">
        <v>1997</v>
      </c>
      <c r="J3" s="152">
        <v>1998</v>
      </c>
      <c r="K3" s="152">
        <v>1999</v>
      </c>
      <c r="L3" s="152">
        <v>2000</v>
      </c>
      <c r="M3" s="152">
        <v>2001</v>
      </c>
      <c r="N3" s="152">
        <v>2002</v>
      </c>
      <c r="O3" s="152">
        <v>2003</v>
      </c>
      <c r="P3" s="152">
        <v>2004</v>
      </c>
      <c r="Q3" s="152">
        <v>2005</v>
      </c>
      <c r="R3" s="152">
        <v>2006</v>
      </c>
      <c r="S3" s="152">
        <v>2007</v>
      </c>
      <c r="T3" s="152">
        <v>2008</v>
      </c>
      <c r="U3" s="152">
        <v>2009</v>
      </c>
      <c r="V3" s="152">
        <v>2010</v>
      </c>
      <c r="W3" s="152">
        <v>2011</v>
      </c>
      <c r="X3" s="152">
        <v>2012</v>
      </c>
      <c r="Y3" s="152">
        <v>2013</v>
      </c>
      <c r="Z3" s="152">
        <v>2014</v>
      </c>
      <c r="AA3" s="152">
        <v>2015</v>
      </c>
      <c r="AB3" s="12" t="s">
        <v>1080</v>
      </c>
      <c r="AC3" s="253" t="s">
        <v>1081</v>
      </c>
      <c r="AD3" s="243"/>
      <c r="AF3" s="650"/>
      <c r="AG3" s="51"/>
      <c r="AH3" s="51"/>
    </row>
    <row r="4" spans="1:34">
      <c r="A4" s="1422" t="s">
        <v>11</v>
      </c>
      <c r="B4" s="158" t="s">
        <v>106</v>
      </c>
      <c r="C4" s="98">
        <v>17.670000000000002</v>
      </c>
      <c r="D4" s="98">
        <v>26.03</v>
      </c>
      <c r="E4" s="98">
        <v>13.73</v>
      </c>
      <c r="F4" s="98">
        <v>29.68</v>
      </c>
      <c r="G4" s="98">
        <v>9.4</v>
      </c>
      <c r="H4" s="98">
        <v>17.100000000000001</v>
      </c>
      <c r="I4" s="98">
        <v>8.23</v>
      </c>
      <c r="J4" s="98">
        <v>4.9000000000000004</v>
      </c>
      <c r="K4" s="98">
        <v>6.2</v>
      </c>
      <c r="L4" s="157">
        <v>23.9</v>
      </c>
      <c r="M4" s="157">
        <v>24.6</v>
      </c>
      <c r="N4" s="157">
        <v>15.4</v>
      </c>
      <c r="O4" s="157">
        <v>14.8</v>
      </c>
      <c r="P4" s="157">
        <v>6.6</v>
      </c>
      <c r="Q4" s="157">
        <v>15.4</v>
      </c>
      <c r="R4" s="157">
        <v>9.1</v>
      </c>
      <c r="S4" s="157">
        <v>9.3000000000000007</v>
      </c>
      <c r="T4" s="157">
        <v>17.3</v>
      </c>
      <c r="U4" s="157">
        <v>12.5</v>
      </c>
      <c r="V4" s="157">
        <v>10.6</v>
      </c>
      <c r="W4" s="191">
        <v>10.8</v>
      </c>
      <c r="X4" s="191">
        <v>14.9</v>
      </c>
      <c r="Y4" s="191">
        <v>14.6</v>
      </c>
      <c r="Z4" s="191">
        <v>5</v>
      </c>
      <c r="AA4" s="191">
        <v>13.2</v>
      </c>
      <c r="AB4" s="13">
        <f>AVERAGE(C4:AA4)</f>
        <v>14.037600000000003</v>
      </c>
      <c r="AC4" s="244">
        <f>MEDIAN(C4:Y4)</f>
        <v>14.6</v>
      </c>
      <c r="AF4" s="646"/>
      <c r="AG4" s="51"/>
      <c r="AH4" s="51"/>
    </row>
    <row r="5" spans="1:34" ht="13.75" hidden="1" customHeight="1">
      <c r="A5" s="1423"/>
      <c r="B5" s="158" t="s">
        <v>107</v>
      </c>
      <c r="C5" s="98">
        <v>19.82</v>
      </c>
      <c r="D5" s="98">
        <v>15.51</v>
      </c>
      <c r="E5" s="98">
        <v>5.85</v>
      </c>
      <c r="F5" s="98">
        <v>17.02</v>
      </c>
      <c r="G5" s="98">
        <v>6.2</v>
      </c>
      <c r="H5" s="98">
        <v>10.3</v>
      </c>
      <c r="I5" s="98">
        <v>2.4300000000000002</v>
      </c>
      <c r="J5" s="98">
        <v>5.4</v>
      </c>
      <c r="K5" s="98">
        <v>5.5</v>
      </c>
      <c r="L5" s="157">
        <v>8.9</v>
      </c>
      <c r="M5" s="157">
        <v>6.3</v>
      </c>
      <c r="N5" s="157"/>
      <c r="O5" s="157"/>
      <c r="P5" s="157"/>
      <c r="Q5" s="157"/>
      <c r="R5" s="157"/>
      <c r="S5" s="157"/>
      <c r="T5" s="157"/>
      <c r="U5" s="157"/>
      <c r="V5" s="157"/>
      <c r="W5" s="191"/>
      <c r="X5" s="191"/>
      <c r="Y5" s="191"/>
      <c r="Z5" s="191"/>
      <c r="AA5" s="191"/>
      <c r="AB5" s="13">
        <f t="shared" ref="AB5:AB21" si="0">AVERAGE(C5:Y5)</f>
        <v>9.3845454545454565</v>
      </c>
      <c r="AC5" s="244">
        <f t="shared" ref="AC5:AC22" si="1">MEDIAN(C5:Y5)</f>
        <v>6.3</v>
      </c>
      <c r="AF5" s="649"/>
      <c r="AG5" s="51"/>
      <c r="AH5" s="51"/>
    </row>
    <row r="6" spans="1:34" ht="14.25" hidden="1" customHeight="1">
      <c r="A6" s="1424"/>
      <c r="B6" s="47" t="s">
        <v>105</v>
      </c>
      <c r="C6" s="159">
        <f t="shared" ref="C6:J6" si="2">AVERAGE(C4:C5)</f>
        <v>18.745000000000001</v>
      </c>
      <c r="D6" s="159">
        <f t="shared" si="2"/>
        <v>20.77</v>
      </c>
      <c r="E6" s="159">
        <f t="shared" si="2"/>
        <v>9.7899999999999991</v>
      </c>
      <c r="F6" s="159">
        <f t="shared" si="2"/>
        <v>23.35</v>
      </c>
      <c r="G6" s="159">
        <f t="shared" si="2"/>
        <v>7.8000000000000007</v>
      </c>
      <c r="H6" s="159">
        <f t="shared" si="2"/>
        <v>13.700000000000001</v>
      </c>
      <c r="I6" s="159">
        <f t="shared" si="2"/>
        <v>5.33</v>
      </c>
      <c r="J6" s="159">
        <f t="shared" si="2"/>
        <v>5.15</v>
      </c>
      <c r="K6" s="159">
        <f>AVERAGE(K4:K5)</f>
        <v>5.85</v>
      </c>
      <c r="L6" s="159">
        <f>AVERAGE(L4:L5)</f>
        <v>16.399999999999999</v>
      </c>
      <c r="M6" s="159">
        <f>AVERAGE(M4:M5)</f>
        <v>15.450000000000001</v>
      </c>
      <c r="N6" s="159">
        <f>AVERAGE(N4:N5)</f>
        <v>15.4</v>
      </c>
      <c r="O6" s="159">
        <f t="shared" ref="O6:T6" si="3">AVERAGE(O4:O5)</f>
        <v>14.8</v>
      </c>
      <c r="P6" s="159">
        <f t="shared" si="3"/>
        <v>6.6</v>
      </c>
      <c r="Q6" s="159">
        <f t="shared" si="3"/>
        <v>15.4</v>
      </c>
      <c r="R6" s="159">
        <f t="shared" si="3"/>
        <v>9.1</v>
      </c>
      <c r="S6" s="159">
        <f t="shared" si="3"/>
        <v>9.3000000000000007</v>
      </c>
      <c r="T6" s="159">
        <f t="shared" si="3"/>
        <v>17.3</v>
      </c>
      <c r="U6" s="159">
        <f t="shared" ref="U6:Z6" si="4">AVERAGE(U4:U5)</f>
        <v>12.5</v>
      </c>
      <c r="V6" s="159">
        <f t="shared" si="4"/>
        <v>10.6</v>
      </c>
      <c r="W6" s="159">
        <f t="shared" si="4"/>
        <v>10.8</v>
      </c>
      <c r="X6" s="159">
        <f t="shared" si="4"/>
        <v>14.9</v>
      </c>
      <c r="Y6" s="159">
        <f t="shared" si="4"/>
        <v>14.6</v>
      </c>
      <c r="Z6" s="159">
        <f t="shared" si="4"/>
        <v>5</v>
      </c>
      <c r="AA6" s="159"/>
      <c r="AB6" s="13">
        <f t="shared" si="0"/>
        <v>12.766739130434782</v>
      </c>
      <c r="AC6" s="244">
        <f t="shared" si="1"/>
        <v>13.700000000000001</v>
      </c>
      <c r="AF6" s="81"/>
      <c r="AG6" s="51"/>
      <c r="AH6" s="51"/>
    </row>
    <row r="7" spans="1:34" ht="14.25" customHeight="1">
      <c r="A7" s="1412" t="s">
        <v>528</v>
      </c>
      <c r="B7" s="285" t="s">
        <v>106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>
        <v>491</v>
      </c>
      <c r="Y7" s="151">
        <v>782</v>
      </c>
      <c r="Z7" s="151">
        <v>677</v>
      </c>
      <c r="AA7" s="151">
        <v>926</v>
      </c>
      <c r="AB7" s="13">
        <f t="shared" si="0"/>
        <v>636.5</v>
      </c>
      <c r="AC7" s="244">
        <f t="shared" si="1"/>
        <v>636.5</v>
      </c>
      <c r="AF7" s="81"/>
      <c r="AG7" s="51"/>
      <c r="AH7" s="51"/>
    </row>
    <row r="8" spans="1:34" ht="14.25" customHeight="1">
      <c r="A8" s="1413"/>
      <c r="B8" s="285" t="s">
        <v>268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>
        <v>516</v>
      </c>
      <c r="Y8" s="151">
        <v>721</v>
      </c>
      <c r="Z8" s="151">
        <v>728</v>
      </c>
      <c r="AA8" s="151">
        <v>929</v>
      </c>
      <c r="AB8" s="13">
        <f t="shared" si="0"/>
        <v>618.5</v>
      </c>
      <c r="AC8" s="244">
        <f t="shared" si="1"/>
        <v>618.5</v>
      </c>
      <c r="AF8" s="647"/>
      <c r="AG8" s="51"/>
      <c r="AH8" s="51"/>
    </row>
    <row r="9" spans="1:34" ht="14.25" customHeight="1">
      <c r="A9" s="1414"/>
      <c r="B9" s="285" t="s">
        <v>105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>
        <f>AVERAGE(X7:X8)</f>
        <v>503.5</v>
      </c>
      <c r="Y9" s="151">
        <f>AVERAGE(Y7:Y8)</f>
        <v>751.5</v>
      </c>
      <c r="Z9" s="151">
        <f>AVERAGE(Z7:Z8)</f>
        <v>702.5</v>
      </c>
      <c r="AA9" s="151">
        <f>AVERAGE(AA7:AA8)</f>
        <v>927.5</v>
      </c>
      <c r="AB9" s="13">
        <f t="shared" si="0"/>
        <v>627.5</v>
      </c>
      <c r="AC9" s="244">
        <f t="shared" si="1"/>
        <v>627.5</v>
      </c>
      <c r="AF9" s="647"/>
      <c r="AG9" s="51"/>
      <c r="AH9" s="51"/>
    </row>
    <row r="10" spans="1:34">
      <c r="A10" s="1425" t="s">
        <v>12</v>
      </c>
      <c r="B10" s="158" t="s">
        <v>106</v>
      </c>
      <c r="C10" s="152">
        <v>442</v>
      </c>
      <c r="D10" s="152">
        <v>289</v>
      </c>
      <c r="E10" s="152">
        <v>504</v>
      </c>
      <c r="F10" s="152">
        <v>382</v>
      </c>
      <c r="G10" s="152">
        <v>474</v>
      </c>
      <c r="H10" s="152">
        <v>578</v>
      </c>
      <c r="I10" s="152">
        <v>393</v>
      </c>
      <c r="J10" s="152">
        <v>388</v>
      </c>
      <c r="K10" s="152">
        <v>224</v>
      </c>
      <c r="L10" s="152">
        <v>431</v>
      </c>
      <c r="M10" s="152">
        <v>401</v>
      </c>
      <c r="N10" s="152">
        <v>289</v>
      </c>
      <c r="O10" s="152">
        <v>268</v>
      </c>
      <c r="P10" s="152">
        <v>268</v>
      </c>
      <c r="Q10" s="97">
        <v>193.23769230769227</v>
      </c>
      <c r="R10" s="97">
        <v>158.27857142857144</v>
      </c>
      <c r="S10" s="162">
        <v>221.96199999999999</v>
      </c>
      <c r="T10" s="162">
        <v>233</v>
      </c>
      <c r="U10" s="162">
        <v>291</v>
      </c>
      <c r="V10" s="162">
        <v>287</v>
      </c>
      <c r="W10" s="162">
        <v>158</v>
      </c>
      <c r="X10" s="162">
        <v>165</v>
      </c>
      <c r="Y10" s="162">
        <v>161</v>
      </c>
      <c r="Z10" s="162">
        <v>307</v>
      </c>
      <c r="AA10" s="162">
        <v>377</v>
      </c>
      <c r="AB10" s="13">
        <f>AVERAGE(C10:AA10)</f>
        <v>315.33913054945054</v>
      </c>
      <c r="AC10" s="244">
        <f t="shared" si="1"/>
        <v>289</v>
      </c>
      <c r="AF10" s="349"/>
      <c r="AG10" s="51"/>
      <c r="AH10" s="51"/>
    </row>
    <row r="11" spans="1:34" ht="13.75" hidden="1" customHeight="1">
      <c r="A11" s="1426"/>
      <c r="B11" s="158" t="s">
        <v>107</v>
      </c>
      <c r="C11" s="152">
        <v>381</v>
      </c>
      <c r="D11" s="152">
        <v>282</v>
      </c>
      <c r="E11" s="152">
        <v>451</v>
      </c>
      <c r="F11" s="152">
        <v>356</v>
      </c>
      <c r="G11" s="152">
        <v>502</v>
      </c>
      <c r="H11" s="152">
        <v>589</v>
      </c>
      <c r="I11" s="152">
        <v>365</v>
      </c>
      <c r="J11" s="152">
        <v>372</v>
      </c>
      <c r="K11" s="152">
        <v>220</v>
      </c>
      <c r="L11" s="152">
        <v>443</v>
      </c>
      <c r="M11" s="152">
        <v>395</v>
      </c>
      <c r="N11" s="152">
        <v>288</v>
      </c>
      <c r="O11" s="152">
        <v>271</v>
      </c>
      <c r="P11" s="152">
        <v>249</v>
      </c>
      <c r="Q11" s="97">
        <v>206.98615384615383</v>
      </c>
      <c r="R11" s="97">
        <v>149.7446153846154</v>
      </c>
      <c r="S11" s="162">
        <v>233.56642857142859</v>
      </c>
      <c r="T11" s="162"/>
      <c r="U11" s="162"/>
      <c r="V11" s="162"/>
      <c r="W11" s="162"/>
      <c r="X11" s="162"/>
      <c r="Y11" s="162"/>
      <c r="Z11" s="162"/>
      <c r="AA11" s="162"/>
      <c r="AB11" s="13">
        <f t="shared" si="0"/>
        <v>338.48807045895279</v>
      </c>
      <c r="AC11" s="244">
        <f t="shared" si="1"/>
        <v>356</v>
      </c>
      <c r="AF11" s="649"/>
      <c r="AG11" s="51"/>
      <c r="AH11" s="51"/>
    </row>
    <row r="12" spans="1:34">
      <c r="A12" s="1426"/>
      <c r="B12" s="158" t="s">
        <v>268</v>
      </c>
      <c r="C12" s="152">
        <v>341</v>
      </c>
      <c r="D12" s="152">
        <v>228</v>
      </c>
      <c r="E12" s="152">
        <v>333</v>
      </c>
      <c r="F12" s="152">
        <v>308</v>
      </c>
      <c r="G12" s="152">
        <v>503</v>
      </c>
      <c r="H12" s="152">
        <v>561</v>
      </c>
      <c r="I12" s="152">
        <v>341</v>
      </c>
      <c r="J12" s="152">
        <v>342</v>
      </c>
      <c r="K12" s="152">
        <v>231</v>
      </c>
      <c r="L12" s="152">
        <v>483</v>
      </c>
      <c r="M12" s="152">
        <v>390</v>
      </c>
      <c r="N12" s="152">
        <v>268</v>
      </c>
      <c r="O12" s="152">
        <v>259</v>
      </c>
      <c r="P12" s="152">
        <v>224</v>
      </c>
      <c r="Q12" s="97">
        <v>220.75615384615381</v>
      </c>
      <c r="R12" s="97">
        <v>151.27000000000001</v>
      </c>
      <c r="S12" s="162">
        <v>232.79071428571427</v>
      </c>
      <c r="T12" s="162">
        <v>230</v>
      </c>
      <c r="U12" s="162">
        <v>244</v>
      </c>
      <c r="V12" s="162">
        <v>222</v>
      </c>
      <c r="W12" s="162">
        <v>186</v>
      </c>
      <c r="X12" s="162">
        <v>102</v>
      </c>
      <c r="Y12" s="162">
        <v>144</v>
      </c>
      <c r="Z12" s="162">
        <v>274</v>
      </c>
      <c r="AA12" s="162">
        <v>352</v>
      </c>
      <c r="AB12" s="13">
        <f>AVERAGE(C12:AA12)</f>
        <v>286.83267472527473</v>
      </c>
      <c r="AC12" s="244">
        <f t="shared" si="1"/>
        <v>244</v>
      </c>
      <c r="AF12" s="650"/>
      <c r="AG12" s="51"/>
      <c r="AH12" s="51"/>
    </row>
    <row r="13" spans="1:34">
      <c r="A13" s="1427"/>
      <c r="B13" s="47" t="s">
        <v>105</v>
      </c>
      <c r="C13" s="160">
        <f t="shared" ref="C13:J13" si="5">AVERAGE(C10:C12)</f>
        <v>388</v>
      </c>
      <c r="D13" s="160">
        <f t="shared" si="5"/>
        <v>266.33333333333331</v>
      </c>
      <c r="E13" s="160">
        <f t="shared" si="5"/>
        <v>429.33333333333331</v>
      </c>
      <c r="F13" s="160">
        <f t="shared" si="5"/>
        <v>348.66666666666669</v>
      </c>
      <c r="G13" s="160">
        <f t="shared" si="5"/>
        <v>493</v>
      </c>
      <c r="H13" s="160">
        <f t="shared" si="5"/>
        <v>576</v>
      </c>
      <c r="I13" s="160">
        <f t="shared" si="5"/>
        <v>366.33333333333331</v>
      </c>
      <c r="J13" s="160">
        <f t="shared" si="5"/>
        <v>367.33333333333331</v>
      </c>
      <c r="K13" s="160">
        <f>AVERAGE(K10:K12)</f>
        <v>225</v>
      </c>
      <c r="L13" s="161">
        <v>441</v>
      </c>
      <c r="M13" s="161">
        <v>387</v>
      </c>
      <c r="N13" s="160">
        <f t="shared" ref="N13:AA13" si="6">AVERAGE(N10:N12)</f>
        <v>281.66666666666669</v>
      </c>
      <c r="O13" s="160">
        <f t="shared" si="6"/>
        <v>266</v>
      </c>
      <c r="P13" s="160">
        <f t="shared" si="6"/>
        <v>247</v>
      </c>
      <c r="Q13" s="160">
        <f t="shared" si="6"/>
        <v>206.99333333333331</v>
      </c>
      <c r="R13" s="160">
        <f t="shared" si="6"/>
        <v>153.09772893772893</v>
      </c>
      <c r="S13" s="160">
        <f t="shared" si="6"/>
        <v>229.4397142857143</v>
      </c>
      <c r="T13" s="160">
        <f t="shared" si="6"/>
        <v>231.5</v>
      </c>
      <c r="U13" s="160">
        <f t="shared" si="6"/>
        <v>267.5</v>
      </c>
      <c r="V13" s="160">
        <f t="shared" si="6"/>
        <v>254.5</v>
      </c>
      <c r="W13" s="160">
        <f t="shared" si="6"/>
        <v>172</v>
      </c>
      <c r="X13" s="160">
        <f t="shared" si="6"/>
        <v>133.5</v>
      </c>
      <c r="Y13" s="160">
        <f t="shared" si="6"/>
        <v>152.5</v>
      </c>
      <c r="Z13" s="160">
        <f t="shared" si="6"/>
        <v>290.5</v>
      </c>
      <c r="AA13" s="160">
        <f t="shared" si="6"/>
        <v>364.5</v>
      </c>
      <c r="AB13" s="13">
        <f t="shared" si="0"/>
        <v>299.29119318362797</v>
      </c>
      <c r="AC13" s="244">
        <f t="shared" si="1"/>
        <v>266.33333333333331</v>
      </c>
      <c r="AF13" s="646"/>
      <c r="AG13" s="51"/>
      <c r="AH13" s="51"/>
    </row>
    <row r="14" spans="1:34" ht="13.75" customHeight="1">
      <c r="A14" s="1422" t="s">
        <v>13</v>
      </c>
      <c r="B14" s="158" t="s">
        <v>106</v>
      </c>
      <c r="C14" s="157">
        <v>144</v>
      </c>
      <c r="D14" s="157">
        <v>146</v>
      </c>
      <c r="E14" s="157">
        <v>175</v>
      </c>
      <c r="F14" s="157">
        <v>83</v>
      </c>
      <c r="G14" s="157">
        <v>34</v>
      </c>
      <c r="H14" s="157">
        <v>29</v>
      </c>
      <c r="I14" s="157">
        <v>38</v>
      </c>
      <c r="J14" s="157">
        <v>33</v>
      </c>
      <c r="K14" s="157">
        <v>34</v>
      </c>
      <c r="L14" s="157">
        <v>59</v>
      </c>
      <c r="M14" s="157">
        <v>42</v>
      </c>
      <c r="N14" s="157">
        <v>46</v>
      </c>
      <c r="O14" s="157">
        <v>79</v>
      </c>
      <c r="P14" s="157">
        <v>24</v>
      </c>
      <c r="Q14" s="97">
        <v>33.021419788316948</v>
      </c>
      <c r="R14" s="162">
        <f>AVERAGE(A14:Q14)</f>
        <v>66.601427985887796</v>
      </c>
      <c r="S14" s="163">
        <v>29.742840573556929</v>
      </c>
      <c r="T14" s="163">
        <v>39.799999999999997</v>
      </c>
      <c r="U14" s="163">
        <v>34.200000000000003</v>
      </c>
      <c r="V14" s="163">
        <v>28.3</v>
      </c>
      <c r="W14" s="163">
        <v>33.700000000000003</v>
      </c>
      <c r="X14" s="163">
        <v>53.4</v>
      </c>
      <c r="Y14" s="163">
        <v>71.400000000000006</v>
      </c>
      <c r="Z14" s="163">
        <v>25</v>
      </c>
      <c r="AA14" s="163">
        <v>112</v>
      </c>
      <c r="AB14" s="13">
        <f>AVERAGE(C14:AA14)</f>
        <v>59.726627533910481</v>
      </c>
      <c r="AC14" s="244">
        <f t="shared" si="1"/>
        <v>39.799999999999997</v>
      </c>
      <c r="AF14" s="649"/>
      <c r="AG14" s="51"/>
      <c r="AH14" s="51"/>
    </row>
    <row r="15" spans="1:34" ht="13.75" hidden="1" customHeight="1">
      <c r="A15" s="1423"/>
      <c r="B15" s="158" t="s">
        <v>107</v>
      </c>
      <c r="C15" s="157">
        <v>138</v>
      </c>
      <c r="D15" s="157">
        <v>140</v>
      </c>
      <c r="E15" s="157">
        <v>164</v>
      </c>
      <c r="F15" s="157">
        <v>79</v>
      </c>
      <c r="G15" s="157">
        <v>37</v>
      </c>
      <c r="H15" s="157">
        <v>33</v>
      </c>
      <c r="I15" s="157">
        <v>45</v>
      </c>
      <c r="J15" s="157">
        <v>40</v>
      </c>
      <c r="K15" s="157">
        <v>37</v>
      </c>
      <c r="L15" s="157">
        <v>57</v>
      </c>
      <c r="M15" s="157">
        <v>42</v>
      </c>
      <c r="N15" s="157">
        <v>49</v>
      </c>
      <c r="O15" s="157">
        <v>63</v>
      </c>
      <c r="P15" s="157">
        <v>27</v>
      </c>
      <c r="Q15" s="97">
        <v>34.148239344480501</v>
      </c>
      <c r="R15" s="162">
        <f>AVERAGE(A15:Q15)</f>
        <v>65.676549289632035</v>
      </c>
      <c r="S15" s="163">
        <v>31.47923603241675</v>
      </c>
      <c r="T15" s="163"/>
      <c r="U15" s="163"/>
      <c r="V15" s="163"/>
      <c r="W15" s="163"/>
      <c r="X15" s="163"/>
      <c r="Y15" s="163"/>
      <c r="Z15" s="163"/>
      <c r="AA15" s="163"/>
      <c r="AB15" s="13">
        <f t="shared" si="0"/>
        <v>63.664942627442905</v>
      </c>
      <c r="AC15" s="244">
        <f t="shared" si="1"/>
        <v>45</v>
      </c>
      <c r="AF15" s="81"/>
      <c r="AG15" s="51"/>
      <c r="AH15" s="51"/>
    </row>
    <row r="16" spans="1:34">
      <c r="A16" s="1423"/>
      <c r="B16" s="158" t="s">
        <v>268</v>
      </c>
      <c r="C16" s="157">
        <v>270</v>
      </c>
      <c r="D16" s="157">
        <v>201</v>
      </c>
      <c r="E16" s="157">
        <v>240</v>
      </c>
      <c r="F16" s="157">
        <v>99</v>
      </c>
      <c r="G16" s="157">
        <v>52</v>
      </c>
      <c r="H16" s="157">
        <v>66</v>
      </c>
      <c r="I16" s="157">
        <v>86</v>
      </c>
      <c r="J16" s="157">
        <v>69</v>
      </c>
      <c r="K16" s="157">
        <v>54</v>
      </c>
      <c r="L16" s="157">
        <v>56</v>
      </c>
      <c r="M16" s="157">
        <v>64</v>
      </c>
      <c r="N16" s="157">
        <v>56</v>
      </c>
      <c r="O16" s="157">
        <v>56</v>
      </c>
      <c r="P16" s="157">
        <v>44</v>
      </c>
      <c r="Q16" s="97">
        <v>47.091899981300472</v>
      </c>
      <c r="R16" s="162">
        <f>AVERAGE(A16:Q16)</f>
        <v>97.33945999875337</v>
      </c>
      <c r="S16" s="163">
        <v>30.821478699787626</v>
      </c>
      <c r="T16" s="163">
        <v>62.2</v>
      </c>
      <c r="U16" s="163">
        <v>35.299999999999997</v>
      </c>
      <c r="V16" s="163">
        <v>38.9</v>
      </c>
      <c r="W16" s="163">
        <v>47.9</v>
      </c>
      <c r="X16" s="163">
        <v>69.8</v>
      </c>
      <c r="Y16" s="163">
        <v>59.8</v>
      </c>
      <c r="Z16" s="163">
        <v>36</v>
      </c>
      <c r="AA16" s="163">
        <v>191</v>
      </c>
      <c r="AB16" s="13">
        <f>AVERAGE(C16:AA16)</f>
        <v>85.166113547193675</v>
      </c>
      <c r="AC16" s="244">
        <f t="shared" si="1"/>
        <v>59.8</v>
      </c>
      <c r="AF16" s="81"/>
      <c r="AG16" s="51"/>
      <c r="AH16" s="51"/>
    </row>
    <row r="17" spans="1:29">
      <c r="A17" s="1424"/>
      <c r="B17" s="47" t="s">
        <v>105</v>
      </c>
      <c r="C17" s="160">
        <f t="shared" ref="C17:J17" si="7">AVERAGE(C14:C16)</f>
        <v>184</v>
      </c>
      <c r="D17" s="160">
        <f t="shared" si="7"/>
        <v>162.33333333333334</v>
      </c>
      <c r="E17" s="160">
        <f t="shared" si="7"/>
        <v>193</v>
      </c>
      <c r="F17" s="160">
        <f t="shared" si="7"/>
        <v>87</v>
      </c>
      <c r="G17" s="160">
        <f t="shared" si="7"/>
        <v>41</v>
      </c>
      <c r="H17" s="160">
        <f t="shared" si="7"/>
        <v>42.666666666666664</v>
      </c>
      <c r="I17" s="160">
        <f t="shared" si="7"/>
        <v>56.333333333333336</v>
      </c>
      <c r="J17" s="160">
        <f t="shared" si="7"/>
        <v>47.333333333333336</v>
      </c>
      <c r="K17" s="160">
        <f>AVERAGE(K14:K16)</f>
        <v>41.666666666666664</v>
      </c>
      <c r="L17" s="161">
        <v>60</v>
      </c>
      <c r="M17" s="161">
        <v>50</v>
      </c>
      <c r="N17" s="160">
        <f t="shared" ref="N17:AA17" si="8">AVERAGE(N14:N16)</f>
        <v>50.333333333333336</v>
      </c>
      <c r="O17" s="160">
        <f t="shared" si="8"/>
        <v>66</v>
      </c>
      <c r="P17" s="160">
        <f t="shared" si="8"/>
        <v>31.666666666666668</v>
      </c>
      <c r="Q17" s="160">
        <f t="shared" si="8"/>
        <v>38.087186371365974</v>
      </c>
      <c r="R17" s="160">
        <f t="shared" si="8"/>
        <v>76.539145758091067</v>
      </c>
      <c r="S17" s="160">
        <f t="shared" si="8"/>
        <v>30.681185101920438</v>
      </c>
      <c r="T17" s="160">
        <f t="shared" si="8"/>
        <v>51</v>
      </c>
      <c r="U17" s="160">
        <f t="shared" si="8"/>
        <v>34.75</v>
      </c>
      <c r="V17" s="160">
        <f t="shared" si="8"/>
        <v>33.6</v>
      </c>
      <c r="W17" s="160">
        <f t="shared" si="8"/>
        <v>40.799999999999997</v>
      </c>
      <c r="X17" s="160">
        <f t="shared" si="8"/>
        <v>61.599999999999994</v>
      </c>
      <c r="Y17" s="160">
        <f t="shared" si="8"/>
        <v>65.599999999999994</v>
      </c>
      <c r="Z17" s="160">
        <f t="shared" si="8"/>
        <v>30.5</v>
      </c>
      <c r="AA17" s="160">
        <f t="shared" si="8"/>
        <v>151.5</v>
      </c>
      <c r="AB17" s="13">
        <f t="shared" si="0"/>
        <v>67.216993502813509</v>
      </c>
      <c r="AC17" s="244">
        <f t="shared" si="1"/>
        <v>50.333333333333336</v>
      </c>
    </row>
    <row r="18" spans="1:29">
      <c r="A18" s="1422" t="s">
        <v>14</v>
      </c>
      <c r="B18" s="158" t="s">
        <v>106</v>
      </c>
      <c r="C18" s="157">
        <v>6</v>
      </c>
      <c r="D18" s="157">
        <v>7</v>
      </c>
      <c r="E18" s="157">
        <v>4</v>
      </c>
      <c r="F18" s="157">
        <v>9</v>
      </c>
      <c r="G18" s="157">
        <v>6</v>
      </c>
      <c r="H18" s="157">
        <v>4</v>
      </c>
      <c r="I18" s="157">
        <v>12</v>
      </c>
      <c r="J18" s="157">
        <v>6</v>
      </c>
      <c r="K18" s="157">
        <v>7</v>
      </c>
      <c r="L18" s="157">
        <v>6</v>
      </c>
      <c r="M18" s="157">
        <v>7</v>
      </c>
      <c r="N18" s="157">
        <v>5</v>
      </c>
      <c r="O18" s="157">
        <v>7</v>
      </c>
      <c r="P18" s="157">
        <v>3</v>
      </c>
      <c r="Q18" s="48">
        <v>5.4026666666666667</v>
      </c>
      <c r="R18" s="163">
        <f>AVERAGE(A18:Q18)</f>
        <v>6.2935111111111111</v>
      </c>
      <c r="S18" s="163">
        <v>5.7373968253968224</v>
      </c>
      <c r="T18" s="163">
        <v>11.2</v>
      </c>
      <c r="U18" s="163">
        <v>6.9</v>
      </c>
      <c r="V18" s="163">
        <v>7.3</v>
      </c>
      <c r="W18" s="163">
        <v>6.2</v>
      </c>
      <c r="X18" s="163">
        <v>6.4</v>
      </c>
      <c r="Y18" s="163">
        <v>7.1</v>
      </c>
      <c r="Z18" s="163">
        <v>5</v>
      </c>
      <c r="AA18" s="163">
        <v>8</v>
      </c>
      <c r="AB18" s="13">
        <f>AVERAGE(C18:AA18)</f>
        <v>6.5813429841269837</v>
      </c>
      <c r="AC18" s="244">
        <f t="shared" si="1"/>
        <v>6.2935111111111111</v>
      </c>
    </row>
    <row r="19" spans="1:29" hidden="1">
      <c r="A19" s="1423"/>
      <c r="B19" s="158" t="s">
        <v>107</v>
      </c>
      <c r="C19" s="157">
        <v>8</v>
      </c>
      <c r="D19" s="157">
        <v>6</v>
      </c>
      <c r="E19" s="157">
        <v>6</v>
      </c>
      <c r="F19" s="157">
        <v>8</v>
      </c>
      <c r="G19" s="157">
        <v>7</v>
      </c>
      <c r="H19" s="157">
        <v>4</v>
      </c>
      <c r="I19" s="157">
        <v>15</v>
      </c>
      <c r="J19" s="157">
        <v>8</v>
      </c>
      <c r="K19" s="157">
        <v>9</v>
      </c>
      <c r="L19" s="157">
        <v>5</v>
      </c>
      <c r="M19" s="157">
        <v>7</v>
      </c>
      <c r="N19" s="157">
        <v>5</v>
      </c>
      <c r="O19" s="157">
        <v>6</v>
      </c>
      <c r="P19" s="157">
        <v>5</v>
      </c>
      <c r="Q19" s="48">
        <v>6.2253333333333343</v>
      </c>
      <c r="R19" s="163">
        <f>AVERAGE(A19:Q19)</f>
        <v>7.0150222222222229</v>
      </c>
      <c r="S19" s="163">
        <v>5.7020506912442395</v>
      </c>
      <c r="T19" s="163"/>
      <c r="U19" s="163"/>
      <c r="V19" s="163"/>
      <c r="W19" s="163"/>
      <c r="X19" s="163"/>
      <c r="Y19" s="163"/>
      <c r="Z19" s="163"/>
      <c r="AA19" s="163"/>
      <c r="AB19" s="13">
        <f t="shared" si="0"/>
        <v>6.9377886027529296</v>
      </c>
      <c r="AC19" s="244">
        <f t="shared" si="1"/>
        <v>6.2253333333333343</v>
      </c>
    </row>
    <row r="20" spans="1:29">
      <c r="A20" s="1423"/>
      <c r="B20" s="158" t="s">
        <v>268</v>
      </c>
      <c r="C20" s="157">
        <v>19</v>
      </c>
      <c r="D20" s="157">
        <v>8</v>
      </c>
      <c r="E20" s="157">
        <v>5</v>
      </c>
      <c r="F20" s="157">
        <v>9</v>
      </c>
      <c r="G20" s="157">
        <v>13</v>
      </c>
      <c r="H20" s="157">
        <v>7</v>
      </c>
      <c r="I20" s="157">
        <v>22</v>
      </c>
      <c r="J20" s="157">
        <v>12</v>
      </c>
      <c r="K20" s="157">
        <v>12</v>
      </c>
      <c r="L20" s="157">
        <v>8</v>
      </c>
      <c r="M20" s="157">
        <v>10</v>
      </c>
      <c r="N20" s="157">
        <v>5</v>
      </c>
      <c r="O20" s="157">
        <v>8</v>
      </c>
      <c r="P20" s="157">
        <v>9</v>
      </c>
      <c r="Q20" s="48">
        <v>7.4459215686274529</v>
      </c>
      <c r="R20" s="163">
        <f>AVERAGE(A20:Q20)</f>
        <v>10.296394771241831</v>
      </c>
      <c r="S20" s="163">
        <v>6.033309794757165</v>
      </c>
      <c r="T20" s="163">
        <v>20.9</v>
      </c>
      <c r="U20" s="163">
        <v>10</v>
      </c>
      <c r="V20" s="163">
        <v>8.9</v>
      </c>
      <c r="W20" s="163">
        <v>10.5</v>
      </c>
      <c r="X20" s="163">
        <v>13.4</v>
      </c>
      <c r="Y20" s="163">
        <v>10.7</v>
      </c>
      <c r="Z20" s="163">
        <v>10</v>
      </c>
      <c r="AA20" s="163">
        <v>17</v>
      </c>
      <c r="AB20" s="13">
        <f>AVERAGE(C20:AA20)</f>
        <v>10.887025045385057</v>
      </c>
      <c r="AC20" s="244">
        <f t="shared" si="1"/>
        <v>10</v>
      </c>
    </row>
    <row r="21" spans="1:29">
      <c r="A21" s="1424"/>
      <c r="B21" s="47" t="s">
        <v>105</v>
      </c>
      <c r="C21" s="160">
        <f t="shared" ref="C21:J21" si="9">AVERAGE(C18:C20)</f>
        <v>11</v>
      </c>
      <c r="D21" s="160">
        <f t="shared" si="9"/>
        <v>7</v>
      </c>
      <c r="E21" s="160">
        <f t="shared" si="9"/>
        <v>5</v>
      </c>
      <c r="F21" s="160">
        <f t="shared" si="9"/>
        <v>8.6666666666666661</v>
      </c>
      <c r="G21" s="160">
        <f t="shared" si="9"/>
        <v>8.6666666666666661</v>
      </c>
      <c r="H21" s="160">
        <f t="shared" si="9"/>
        <v>5</v>
      </c>
      <c r="I21" s="160">
        <f t="shared" si="9"/>
        <v>16.333333333333332</v>
      </c>
      <c r="J21" s="160">
        <f t="shared" si="9"/>
        <v>8.6666666666666661</v>
      </c>
      <c r="K21" s="160">
        <f>AVERAGE(K18:K20)</f>
        <v>9.3333333333333339</v>
      </c>
      <c r="L21" s="161">
        <v>6.4</v>
      </c>
      <c r="M21" s="161">
        <v>8</v>
      </c>
      <c r="N21" s="161">
        <f t="shared" ref="N21:AA21" si="10">AVERAGE(N18:N20)</f>
        <v>5</v>
      </c>
      <c r="O21" s="161">
        <f t="shared" si="10"/>
        <v>7</v>
      </c>
      <c r="P21" s="160">
        <f t="shared" si="10"/>
        <v>5.666666666666667</v>
      </c>
      <c r="Q21" s="160">
        <f t="shared" si="10"/>
        <v>6.3579738562091519</v>
      </c>
      <c r="R21" s="160">
        <f t="shared" si="10"/>
        <v>7.8683093681917216</v>
      </c>
      <c r="S21" s="160">
        <f t="shared" si="10"/>
        <v>5.824252437132742</v>
      </c>
      <c r="T21" s="160">
        <f t="shared" si="10"/>
        <v>16.049999999999997</v>
      </c>
      <c r="U21" s="160">
        <f t="shared" si="10"/>
        <v>8.4499999999999993</v>
      </c>
      <c r="V21" s="160">
        <f t="shared" si="10"/>
        <v>8.1</v>
      </c>
      <c r="W21" s="160">
        <f t="shared" si="10"/>
        <v>8.35</v>
      </c>
      <c r="X21" s="160">
        <f t="shared" si="10"/>
        <v>9.9</v>
      </c>
      <c r="Y21" s="160">
        <f t="shared" si="10"/>
        <v>8.8999999999999986</v>
      </c>
      <c r="Z21" s="160">
        <f t="shared" si="10"/>
        <v>7.5</v>
      </c>
      <c r="AA21" s="160">
        <f t="shared" si="10"/>
        <v>12.5</v>
      </c>
      <c r="AB21" s="13">
        <f t="shared" si="0"/>
        <v>8.3275595215159548</v>
      </c>
      <c r="AC21" s="244">
        <f t="shared" si="1"/>
        <v>8.1</v>
      </c>
    </row>
    <row r="22" spans="1:29" ht="15">
      <c r="A22" s="14" t="s">
        <v>15</v>
      </c>
      <c r="B22" s="158" t="s">
        <v>106</v>
      </c>
      <c r="C22" s="157">
        <v>2.17</v>
      </c>
      <c r="D22" s="157">
        <v>2.1</v>
      </c>
      <c r="E22" s="157">
        <v>2.84</v>
      </c>
      <c r="F22" s="157">
        <v>1.79</v>
      </c>
      <c r="G22" s="157">
        <v>2.14</v>
      </c>
      <c r="H22" s="157">
        <v>2.5099999999999998</v>
      </c>
      <c r="I22" s="157">
        <v>1.7</v>
      </c>
      <c r="J22" s="157">
        <v>1.8</v>
      </c>
      <c r="K22" s="157">
        <v>1.8</v>
      </c>
      <c r="L22" s="157">
        <v>2.4</v>
      </c>
      <c r="M22" s="157">
        <v>2.2999999999999998</v>
      </c>
      <c r="N22" s="157">
        <v>3</v>
      </c>
      <c r="O22" s="157">
        <v>1.7</v>
      </c>
      <c r="P22" s="157">
        <v>2.6</v>
      </c>
      <c r="Q22" s="98">
        <v>2.0656249999999998</v>
      </c>
      <c r="R22" s="98">
        <v>2.4</v>
      </c>
      <c r="S22" s="98">
        <v>1.7</v>
      </c>
      <c r="T22" s="98">
        <v>2.4</v>
      </c>
      <c r="U22" s="98">
        <v>2.7</v>
      </c>
      <c r="V22" s="98">
        <v>1.7</v>
      </c>
      <c r="W22" s="98">
        <v>2.2000000000000002</v>
      </c>
      <c r="X22" s="98">
        <v>2.1800000000000002</v>
      </c>
      <c r="Y22" s="98">
        <v>1.86</v>
      </c>
      <c r="Z22" s="98">
        <v>1.98</v>
      </c>
      <c r="AA22" s="98">
        <v>1.17</v>
      </c>
      <c r="AB22" s="13">
        <f>AVERAGE(C22:AA22)</f>
        <v>2.128225</v>
      </c>
      <c r="AC22" s="244">
        <f t="shared" si="1"/>
        <v>2.17</v>
      </c>
    </row>
    <row r="34" ht="13.75" customHeight="1"/>
    <row r="75" spans="1:5" ht="26">
      <c r="A75" s="326" t="s">
        <v>9</v>
      </c>
      <c r="B75" s="325"/>
      <c r="C75" s="458">
        <v>2013</v>
      </c>
      <c r="D75" s="12" t="s">
        <v>877</v>
      </c>
      <c r="E75" s="253" t="s">
        <v>878</v>
      </c>
    </row>
    <row r="76" spans="1:5" ht="29.25" customHeight="1">
      <c r="A76" s="324" t="s">
        <v>11</v>
      </c>
      <c r="B76" s="468" t="s">
        <v>106</v>
      </c>
      <c r="C76" s="247">
        <v>14.6</v>
      </c>
      <c r="D76" s="472">
        <v>14.466956521739133</v>
      </c>
      <c r="E76" s="247">
        <v>14.6</v>
      </c>
    </row>
    <row r="77" spans="1:5" ht="13.75" customHeight="1">
      <c r="A77" s="1412" t="s">
        <v>528</v>
      </c>
      <c r="B77" s="285" t="s">
        <v>106</v>
      </c>
      <c r="C77" s="247">
        <v>782</v>
      </c>
      <c r="D77" s="472">
        <v>636.5</v>
      </c>
      <c r="E77" s="247">
        <v>636.5</v>
      </c>
    </row>
    <row r="78" spans="1:5">
      <c r="A78" s="1413"/>
      <c r="B78" s="285" t="s">
        <v>268</v>
      </c>
      <c r="C78" s="247">
        <v>721</v>
      </c>
      <c r="D78" s="472">
        <v>618.5</v>
      </c>
      <c r="E78" s="247">
        <v>618.5</v>
      </c>
    </row>
    <row r="79" spans="1:5">
      <c r="A79" s="1414"/>
      <c r="B79" s="285" t="s">
        <v>105</v>
      </c>
      <c r="C79" s="247">
        <v>751.5</v>
      </c>
      <c r="D79" s="472">
        <v>627.5</v>
      </c>
      <c r="E79" s="247">
        <v>627.5</v>
      </c>
    </row>
    <row r="80" spans="1:5" ht="13.75" customHeight="1">
      <c r="A80" s="1425" t="s">
        <v>12</v>
      </c>
      <c r="B80" s="468" t="s">
        <v>106</v>
      </c>
      <c r="C80" s="162">
        <v>161</v>
      </c>
      <c r="D80" s="472">
        <v>313.02079407548973</v>
      </c>
      <c r="E80" s="247">
        <v>289</v>
      </c>
    </row>
    <row r="81" spans="1:12">
      <c r="A81" s="1426"/>
      <c r="B81" s="468" t="s">
        <v>268</v>
      </c>
      <c r="C81" s="162">
        <v>144</v>
      </c>
      <c r="D81" s="472">
        <v>284.55725513616818</v>
      </c>
      <c r="E81" s="247">
        <v>244</v>
      </c>
    </row>
    <row r="82" spans="1:12">
      <c r="A82" s="1427"/>
      <c r="B82" s="285" t="s">
        <v>105</v>
      </c>
      <c r="C82" s="247">
        <v>152.5</v>
      </c>
      <c r="D82" s="472">
        <v>299.29119318362797</v>
      </c>
      <c r="E82" s="247">
        <v>266.33333333333331</v>
      </c>
    </row>
    <row r="83" spans="1:12" ht="13.75" customHeight="1">
      <c r="A83" s="1422" t="s">
        <v>13</v>
      </c>
      <c r="B83" s="468" t="s">
        <v>106</v>
      </c>
      <c r="C83" s="162">
        <v>71.400000000000006</v>
      </c>
      <c r="D83" s="472">
        <v>58.963725580337474</v>
      </c>
      <c r="E83" s="247">
        <v>39.799999999999997</v>
      </c>
    </row>
    <row r="84" spans="1:12">
      <c r="A84" s="1423"/>
      <c r="B84" s="468" t="s">
        <v>268</v>
      </c>
      <c r="C84" s="162">
        <v>59.8</v>
      </c>
      <c r="D84" s="472">
        <v>82.702297333906159</v>
      </c>
      <c r="E84" s="247">
        <v>59.8</v>
      </c>
    </row>
    <row r="85" spans="1:12">
      <c r="A85" s="1424"/>
      <c r="B85" s="285" t="s">
        <v>105</v>
      </c>
      <c r="C85" s="247">
        <v>65.599999999999994</v>
      </c>
      <c r="D85" s="472">
        <v>67.216993502813509</v>
      </c>
      <c r="E85" s="247">
        <v>50.333333333333336</v>
      </c>
    </row>
    <row r="86" spans="1:12" ht="13.75" customHeight="1">
      <c r="A86" s="1422" t="s">
        <v>14</v>
      </c>
      <c r="B86" s="468" t="s">
        <v>106</v>
      </c>
      <c r="C86" s="162">
        <v>7.1</v>
      </c>
      <c r="D86" s="472">
        <v>6.5884162870945477</v>
      </c>
      <c r="E86" s="247">
        <v>6.2935111111111111</v>
      </c>
    </row>
    <row r="87" spans="1:12">
      <c r="A87" s="1423"/>
      <c r="B87" s="468" t="s">
        <v>268</v>
      </c>
      <c r="C87" s="162">
        <v>10.7</v>
      </c>
      <c r="D87" s="472">
        <v>10.659809831940281</v>
      </c>
      <c r="E87" s="247">
        <v>10</v>
      </c>
    </row>
    <row r="88" spans="1:12">
      <c r="A88" s="1424"/>
      <c r="B88" s="285" t="s">
        <v>105</v>
      </c>
      <c r="C88" s="247">
        <v>8.8999999999999986</v>
      </c>
      <c r="D88" s="472">
        <v>8.3275595215159548</v>
      </c>
      <c r="E88" s="247">
        <v>8.1</v>
      </c>
    </row>
    <row r="89" spans="1:12">
      <c r="A89" s="14" t="s">
        <v>15</v>
      </c>
      <c r="B89" s="468" t="s">
        <v>106</v>
      </c>
      <c r="C89" s="247">
        <v>1.86</v>
      </c>
      <c r="D89" s="472">
        <v>2.1763315217391308</v>
      </c>
      <c r="E89" s="247">
        <v>2.17</v>
      </c>
    </row>
    <row r="90" spans="1:12">
      <c r="B90" s="10"/>
      <c r="C90" s="469"/>
      <c r="D90" s="470"/>
      <c r="E90" s="471"/>
    </row>
    <row r="91" spans="1:12" ht="23">
      <c r="A91" s="739" t="s">
        <v>9</v>
      </c>
      <c r="B91" s="740"/>
      <c r="C91" s="738">
        <v>2014</v>
      </c>
      <c r="D91" s="739" t="s">
        <v>1070</v>
      </c>
      <c r="E91" s="741" t="s">
        <v>1071</v>
      </c>
      <c r="H91" s="51"/>
      <c r="I91" s="51"/>
      <c r="J91" s="51"/>
      <c r="K91" s="737"/>
      <c r="L91" s="735"/>
    </row>
    <row r="92" spans="1:12">
      <c r="A92" s="709" t="s">
        <v>11</v>
      </c>
      <c r="B92" s="468" t="s">
        <v>106</v>
      </c>
      <c r="C92" s="50">
        <v>5</v>
      </c>
      <c r="D92" s="50">
        <v>14.072500000000003</v>
      </c>
      <c r="E92" s="50">
        <v>14.6</v>
      </c>
      <c r="H92" s="51"/>
      <c r="I92" s="51"/>
      <c r="J92" s="51"/>
      <c r="K92" s="737"/>
      <c r="L92" s="735"/>
    </row>
    <row r="93" spans="1:12">
      <c r="A93" s="1412" t="s">
        <v>528</v>
      </c>
      <c r="B93" s="285" t="s">
        <v>106</v>
      </c>
      <c r="C93" s="50">
        <v>677</v>
      </c>
      <c r="D93" s="50">
        <v>636.5</v>
      </c>
      <c r="E93" s="50">
        <v>636.5</v>
      </c>
      <c r="H93" s="51"/>
      <c r="I93" s="51"/>
      <c r="J93" s="51"/>
      <c r="K93" s="737"/>
      <c r="L93" s="734"/>
    </row>
    <row r="94" spans="1:12">
      <c r="A94" s="1413"/>
      <c r="B94" s="285" t="s">
        <v>268</v>
      </c>
      <c r="C94" s="50">
        <v>728</v>
      </c>
      <c r="D94" s="50">
        <v>618.5</v>
      </c>
      <c r="E94" s="50">
        <v>618.5</v>
      </c>
      <c r="H94" s="51"/>
      <c r="I94" s="51"/>
      <c r="J94" s="51"/>
      <c r="K94" s="737"/>
      <c r="L94" s="734"/>
    </row>
    <row r="95" spans="1:12">
      <c r="A95" s="1414"/>
      <c r="B95" s="285" t="s">
        <v>105</v>
      </c>
      <c r="C95" s="50">
        <v>702.5</v>
      </c>
      <c r="D95" s="50">
        <v>627.5</v>
      </c>
      <c r="E95" s="50">
        <v>627.5</v>
      </c>
      <c r="H95" s="51"/>
      <c r="I95" s="51"/>
      <c r="J95" s="51"/>
      <c r="K95" s="737"/>
      <c r="L95" s="734"/>
    </row>
    <row r="96" spans="1:12">
      <c r="A96" s="1425" t="s">
        <v>12</v>
      </c>
      <c r="B96" s="468" t="s">
        <v>106</v>
      </c>
      <c r="C96" s="50">
        <v>307</v>
      </c>
      <c r="D96" s="50">
        <v>312.76992765567769</v>
      </c>
      <c r="E96" s="50">
        <v>289</v>
      </c>
      <c r="H96" s="51"/>
      <c r="I96" s="51"/>
      <c r="J96" s="51"/>
      <c r="K96" s="737"/>
      <c r="L96" s="734"/>
    </row>
    <row r="97" spans="1:12">
      <c r="A97" s="1426"/>
      <c r="B97" s="468" t="s">
        <v>268</v>
      </c>
      <c r="C97" s="50">
        <v>274</v>
      </c>
      <c r="D97" s="50">
        <v>284.11736950549454</v>
      </c>
      <c r="E97" s="50">
        <v>244</v>
      </c>
      <c r="H97" s="51"/>
      <c r="I97" s="51"/>
      <c r="J97" s="51"/>
      <c r="K97" s="737"/>
      <c r="L97" s="735"/>
    </row>
    <row r="98" spans="1:12">
      <c r="A98" s="1427"/>
      <c r="B98" s="285" t="s">
        <v>105</v>
      </c>
      <c r="C98" s="50">
        <v>290.5</v>
      </c>
      <c r="D98" s="50">
        <v>299.29119318362797</v>
      </c>
      <c r="E98" s="50">
        <v>266.33333333333331</v>
      </c>
      <c r="H98" s="51"/>
      <c r="I98" s="51"/>
      <c r="J98" s="51"/>
      <c r="K98" s="737"/>
      <c r="L98" s="735"/>
    </row>
    <row r="99" spans="1:12">
      <c r="A99" s="1422" t="s">
        <v>13</v>
      </c>
      <c r="B99" s="468" t="s">
        <v>106</v>
      </c>
      <c r="C99" s="50">
        <v>25</v>
      </c>
      <c r="D99" s="50">
        <v>57.548570347823414</v>
      </c>
      <c r="E99" s="50">
        <v>39.799999999999997</v>
      </c>
      <c r="H99" s="51"/>
      <c r="I99" s="51"/>
      <c r="J99" s="51"/>
      <c r="K99" s="737"/>
      <c r="L99" s="735"/>
    </row>
    <row r="100" spans="1:12">
      <c r="A100" s="1423"/>
      <c r="B100" s="468" t="s">
        <v>268</v>
      </c>
      <c r="C100" s="50">
        <v>36</v>
      </c>
      <c r="D100" s="50">
        <v>80.756368278326732</v>
      </c>
      <c r="E100" s="50">
        <v>59.8</v>
      </c>
      <c r="H100" s="51"/>
      <c r="I100" s="51"/>
      <c r="J100" s="51"/>
      <c r="K100" s="737"/>
      <c r="L100" s="734"/>
    </row>
    <row r="101" spans="1:12">
      <c r="A101" s="1424"/>
      <c r="B101" s="285" t="s">
        <v>105</v>
      </c>
      <c r="C101" s="50">
        <v>30.5</v>
      </c>
      <c r="D101" s="50">
        <v>67.216993502813509</v>
      </c>
      <c r="E101" s="50">
        <v>50.333333333333336</v>
      </c>
      <c r="H101" s="51"/>
      <c r="I101" s="51"/>
      <c r="J101" s="51"/>
      <c r="K101" s="737"/>
      <c r="L101" s="735"/>
    </row>
    <row r="102" spans="1:12">
      <c r="A102" s="1422" t="s">
        <v>14</v>
      </c>
      <c r="B102" s="468" t="s">
        <v>106</v>
      </c>
      <c r="C102" s="50">
        <v>5</v>
      </c>
      <c r="D102" s="50">
        <v>6.522232275132275</v>
      </c>
      <c r="E102" s="50">
        <v>6.2935111111111111</v>
      </c>
      <c r="H102" s="51"/>
      <c r="I102" s="51"/>
      <c r="J102" s="51"/>
      <c r="K102" s="737"/>
      <c r="L102" s="735"/>
    </row>
    <row r="103" spans="1:12">
      <c r="A103" s="1423"/>
      <c r="B103" s="468" t="s">
        <v>268</v>
      </c>
      <c r="C103" s="50">
        <v>10</v>
      </c>
      <c r="D103" s="50">
        <v>10.632317755609437</v>
      </c>
      <c r="E103" s="50">
        <v>10</v>
      </c>
      <c r="H103" s="51"/>
      <c r="I103" s="51"/>
      <c r="J103" s="51"/>
      <c r="K103" s="737"/>
      <c r="L103" s="735"/>
    </row>
    <row r="104" spans="1:12">
      <c r="A104" s="1424"/>
      <c r="B104" s="285" t="s">
        <v>105</v>
      </c>
      <c r="C104" s="50">
        <v>7.5</v>
      </c>
      <c r="D104" s="50">
        <v>8.3275595215159548</v>
      </c>
      <c r="E104" s="50">
        <v>8.1</v>
      </c>
      <c r="H104" s="51"/>
      <c r="I104" s="51"/>
      <c r="J104" s="51"/>
      <c r="K104" s="737"/>
      <c r="L104" s="734"/>
    </row>
    <row r="105" spans="1:12">
      <c r="A105" s="14" t="s">
        <v>15</v>
      </c>
      <c r="B105" s="468" t="s">
        <v>106</v>
      </c>
      <c r="C105" s="50">
        <v>2</v>
      </c>
      <c r="D105" s="572">
        <v>2.1763315217391308</v>
      </c>
      <c r="E105" s="572">
        <v>2.17</v>
      </c>
      <c r="H105" s="51"/>
      <c r="I105" s="51"/>
      <c r="J105" s="51"/>
      <c r="K105" s="737"/>
      <c r="L105" s="735"/>
    </row>
    <row r="106" spans="1:12">
      <c r="H106" s="51"/>
      <c r="I106" s="51"/>
      <c r="J106" s="51"/>
      <c r="K106" s="737"/>
      <c r="L106" s="735"/>
    </row>
    <row r="107" spans="1:12" ht="23">
      <c r="A107" s="1120" t="s">
        <v>9</v>
      </c>
      <c r="B107" s="1121"/>
      <c r="C107" s="1122">
        <v>2015</v>
      </c>
      <c r="D107" s="1123" t="s">
        <v>1080</v>
      </c>
      <c r="E107" s="1123" t="s">
        <v>1081</v>
      </c>
      <c r="H107" s="51"/>
      <c r="I107" s="51"/>
      <c r="J107" s="51"/>
      <c r="K107" s="737"/>
      <c r="L107" s="735"/>
    </row>
    <row r="108" spans="1:12" ht="18.649999999999999" customHeight="1">
      <c r="A108" s="1072" t="s">
        <v>11</v>
      </c>
      <c r="B108" s="1124" t="s">
        <v>106</v>
      </c>
      <c r="C108" s="612">
        <v>13.2</v>
      </c>
      <c r="D108" s="612">
        <v>14.037600000000003</v>
      </c>
      <c r="E108" s="612">
        <v>14.6</v>
      </c>
      <c r="H108" s="51"/>
      <c r="I108" s="51"/>
      <c r="J108" s="51"/>
      <c r="K108" s="737"/>
      <c r="L108" s="734"/>
    </row>
    <row r="109" spans="1:12">
      <c r="A109" s="1412" t="s">
        <v>528</v>
      </c>
      <c r="B109" s="1125" t="s">
        <v>106</v>
      </c>
      <c r="C109" s="1211">
        <v>926</v>
      </c>
      <c r="D109" s="1211">
        <v>636.5</v>
      </c>
      <c r="E109" s="1211">
        <v>636.5</v>
      </c>
      <c r="H109" s="51"/>
      <c r="I109" s="51"/>
      <c r="J109" s="51"/>
      <c r="K109" s="736"/>
      <c r="L109" s="735"/>
    </row>
    <row r="110" spans="1:12">
      <c r="A110" s="1413"/>
      <c r="B110" s="1125" t="s">
        <v>268</v>
      </c>
      <c r="C110" s="1211">
        <v>929</v>
      </c>
      <c r="D110" s="1211">
        <v>618.5</v>
      </c>
      <c r="E110" s="1211">
        <v>618.5</v>
      </c>
    </row>
    <row r="111" spans="1:12">
      <c r="A111" s="1414"/>
      <c r="B111" s="1125" t="s">
        <v>105</v>
      </c>
      <c r="C111" s="1211">
        <v>927.5</v>
      </c>
      <c r="D111" s="1211">
        <v>627.5</v>
      </c>
      <c r="E111" s="1211">
        <v>627.5</v>
      </c>
    </row>
    <row r="112" spans="1:12">
      <c r="A112" s="1425" t="s">
        <v>12</v>
      </c>
      <c r="B112" s="1124" t="s">
        <v>106</v>
      </c>
      <c r="C112" s="1211">
        <v>377</v>
      </c>
      <c r="D112" s="1211">
        <v>315.33913054945054</v>
      </c>
      <c r="E112" s="1211">
        <v>289</v>
      </c>
    </row>
    <row r="113" spans="1:5">
      <c r="A113" s="1426"/>
      <c r="B113" s="1124" t="s">
        <v>268</v>
      </c>
      <c r="C113" s="1211">
        <v>352</v>
      </c>
      <c r="D113" s="1211">
        <v>286.83267472527473</v>
      </c>
      <c r="E113" s="1211">
        <v>244</v>
      </c>
    </row>
    <row r="114" spans="1:5">
      <c r="A114" s="1427"/>
      <c r="B114" s="1125" t="s">
        <v>105</v>
      </c>
      <c r="C114" s="1211">
        <v>364.5</v>
      </c>
      <c r="D114" s="1211">
        <v>299.29119318362797</v>
      </c>
      <c r="E114" s="1211">
        <v>266.33333333333331</v>
      </c>
    </row>
    <row r="115" spans="1:5">
      <c r="A115" s="1422" t="s">
        <v>13</v>
      </c>
      <c r="B115" s="1124" t="s">
        <v>106</v>
      </c>
      <c r="C115" s="1211">
        <v>112</v>
      </c>
      <c r="D115" s="1211">
        <v>59.726627533910481</v>
      </c>
      <c r="E115" s="1211">
        <v>39.799999999999997</v>
      </c>
    </row>
    <row r="116" spans="1:5">
      <c r="A116" s="1423"/>
      <c r="B116" s="1124" t="s">
        <v>268</v>
      </c>
      <c r="C116" s="1211">
        <v>191</v>
      </c>
      <c r="D116" s="1211">
        <v>85.166113547193675</v>
      </c>
      <c r="E116" s="1211">
        <v>59.8</v>
      </c>
    </row>
    <row r="117" spans="1:5">
      <c r="A117" s="1424"/>
      <c r="B117" s="1125" t="s">
        <v>105</v>
      </c>
      <c r="C117" s="1211">
        <v>151.5</v>
      </c>
      <c r="D117" s="1211">
        <v>67.216993502813509</v>
      </c>
      <c r="E117" s="1211">
        <v>50.333333333333336</v>
      </c>
    </row>
    <row r="118" spans="1:5">
      <c r="A118" s="1422" t="s">
        <v>14</v>
      </c>
      <c r="B118" s="1124" t="s">
        <v>106</v>
      </c>
      <c r="C118" s="1211">
        <v>8</v>
      </c>
      <c r="D118" s="1211">
        <v>6.5813429841269837</v>
      </c>
      <c r="E118" s="1211">
        <v>6.2935111111111111</v>
      </c>
    </row>
    <row r="119" spans="1:5">
      <c r="A119" s="1423"/>
      <c r="B119" s="1124" t="s">
        <v>268</v>
      </c>
      <c r="C119" s="1211">
        <v>17</v>
      </c>
      <c r="D119" s="1211">
        <v>10.887025045385057</v>
      </c>
      <c r="E119" s="1211">
        <v>10</v>
      </c>
    </row>
    <row r="120" spans="1:5">
      <c r="A120" s="1424"/>
      <c r="B120" s="1125" t="s">
        <v>105</v>
      </c>
      <c r="C120" s="1211">
        <v>12.5</v>
      </c>
      <c r="D120" s="1211">
        <v>8.3275595215159548</v>
      </c>
      <c r="E120" s="1211">
        <v>8.1</v>
      </c>
    </row>
    <row r="121" spans="1:5">
      <c r="A121" s="14" t="s">
        <v>15</v>
      </c>
      <c r="B121" s="1124" t="s">
        <v>106</v>
      </c>
      <c r="C121" s="612">
        <v>1.17</v>
      </c>
      <c r="D121" s="612">
        <v>2.128225</v>
      </c>
      <c r="E121" s="612">
        <v>2.17</v>
      </c>
    </row>
  </sheetData>
  <mergeCells count="21">
    <mergeCell ref="A109:A111"/>
    <mergeCell ref="A112:A114"/>
    <mergeCell ref="A115:A117"/>
    <mergeCell ref="A118:A120"/>
    <mergeCell ref="A96:A98"/>
    <mergeCell ref="A99:A101"/>
    <mergeCell ref="A102:A104"/>
    <mergeCell ref="A93:A95"/>
    <mergeCell ref="A10:A13"/>
    <mergeCell ref="A83:A85"/>
    <mergeCell ref="A86:A88"/>
    <mergeCell ref="A77:A79"/>
    <mergeCell ref="A80:A82"/>
    <mergeCell ref="A14:A17"/>
    <mergeCell ref="A18:A21"/>
    <mergeCell ref="A7:A9"/>
    <mergeCell ref="A1:AB1"/>
    <mergeCell ref="A2:A3"/>
    <mergeCell ref="B2:B3"/>
    <mergeCell ref="C2:AB2"/>
    <mergeCell ref="A4:A6"/>
  </mergeCells>
  <phoneticPr fontId="7" type="noConversion"/>
  <pageMargins left="0.75" right="0.75" top="1" bottom="1" header="0.5" footer="0.5"/>
  <pageSetup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N51"/>
  <sheetViews>
    <sheetView topLeftCell="A4" workbookViewId="0">
      <selection activeCell="Q36" sqref="Q36"/>
    </sheetView>
  </sheetViews>
  <sheetFormatPr defaultRowHeight="14"/>
  <cols>
    <col min="1" max="2" width="9.36328125" bestFit="1" customWidth="1"/>
    <col min="3" max="3" width="14.6328125" bestFit="1" customWidth="1"/>
    <col min="4" max="4" width="14" bestFit="1" customWidth="1"/>
    <col min="5" max="5" width="24.45312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</cols>
  <sheetData>
    <row r="1" spans="1:14">
      <c r="A1" s="966" t="s">
        <v>1097</v>
      </c>
      <c r="B1" s="966" t="s">
        <v>1098</v>
      </c>
      <c r="C1" s="443" t="s">
        <v>1099</v>
      </c>
      <c r="D1" s="443" t="s">
        <v>1100</v>
      </c>
      <c r="E1" s="966" t="s">
        <v>1101</v>
      </c>
      <c r="F1" s="966" t="s">
        <v>1102</v>
      </c>
      <c r="G1" s="966" t="s">
        <v>1103</v>
      </c>
      <c r="H1" s="966" t="s">
        <v>1104</v>
      </c>
      <c r="I1" s="967" t="s">
        <v>1104</v>
      </c>
      <c r="J1" s="966" t="s">
        <v>1105</v>
      </c>
      <c r="K1" s="966" t="s">
        <v>1106</v>
      </c>
      <c r="L1" s="444" t="s">
        <v>1107</v>
      </c>
      <c r="M1" s="444" t="s">
        <v>652</v>
      </c>
      <c r="N1" s="443" t="s">
        <v>975</v>
      </c>
    </row>
    <row r="2" spans="1:14">
      <c r="A2" s="562" t="s">
        <v>1349</v>
      </c>
      <c r="B2" s="560" t="s">
        <v>1350</v>
      </c>
      <c r="C2" s="193">
        <v>42052</v>
      </c>
      <c r="D2" s="193">
        <v>42052</v>
      </c>
      <c r="E2" s="561" t="s">
        <v>195</v>
      </c>
      <c r="F2" s="562" t="s">
        <v>1110</v>
      </c>
      <c r="G2" s="563" t="s">
        <v>1111</v>
      </c>
      <c r="H2" s="562">
        <v>1677</v>
      </c>
      <c r="I2" s="560">
        <v>1677</v>
      </c>
      <c r="J2" s="562"/>
      <c r="K2" s="377" t="s">
        <v>1112</v>
      </c>
      <c r="L2" s="447">
        <v>6</v>
      </c>
      <c r="M2" s="447">
        <v>42</v>
      </c>
      <c r="N2" s="448">
        <v>42054</v>
      </c>
    </row>
    <row r="3" spans="1:14">
      <c r="A3" s="562" t="s">
        <v>1349</v>
      </c>
      <c r="B3" s="560" t="s">
        <v>1350</v>
      </c>
      <c r="C3" s="193">
        <v>42052</v>
      </c>
      <c r="D3" s="193">
        <v>42052</v>
      </c>
      <c r="E3" s="562" t="s">
        <v>177</v>
      </c>
      <c r="F3" s="562" t="s">
        <v>1110</v>
      </c>
      <c r="G3" s="562" t="s">
        <v>1113</v>
      </c>
      <c r="H3" s="562">
        <v>1108</v>
      </c>
      <c r="I3" s="560">
        <v>1108</v>
      </c>
      <c r="J3" s="562"/>
      <c r="K3" s="562" t="s">
        <v>1112</v>
      </c>
      <c r="L3" s="447">
        <v>2</v>
      </c>
      <c r="M3" s="447">
        <v>8</v>
      </c>
      <c r="N3" s="448">
        <v>42052</v>
      </c>
    </row>
    <row r="4" spans="1:14">
      <c r="A4" s="562" t="s">
        <v>1349</v>
      </c>
      <c r="B4" s="560" t="s">
        <v>1350</v>
      </c>
      <c r="C4" s="193">
        <v>42052</v>
      </c>
      <c r="D4" s="193">
        <v>42052</v>
      </c>
      <c r="E4" s="562" t="s">
        <v>223</v>
      </c>
      <c r="F4" s="562" t="s">
        <v>1110</v>
      </c>
      <c r="G4" s="562" t="s">
        <v>1114</v>
      </c>
      <c r="H4" s="562">
        <v>43</v>
      </c>
      <c r="I4" s="560">
        <v>43</v>
      </c>
      <c r="J4" s="562"/>
      <c r="K4" s="377" t="s">
        <v>1112</v>
      </c>
      <c r="L4" s="449">
        <v>5</v>
      </c>
      <c r="M4" s="449">
        <v>35</v>
      </c>
      <c r="N4" s="448">
        <v>42054</v>
      </c>
    </row>
    <row r="5" spans="1:14">
      <c r="A5" s="562" t="s">
        <v>1349</v>
      </c>
      <c r="B5" s="560" t="s">
        <v>1350</v>
      </c>
      <c r="C5" s="193">
        <v>42052</v>
      </c>
      <c r="D5" s="193">
        <v>42052</v>
      </c>
      <c r="E5" s="562" t="s">
        <v>171</v>
      </c>
      <c r="F5" s="562" t="s">
        <v>1110</v>
      </c>
      <c r="G5" s="563" t="s">
        <v>1116</v>
      </c>
      <c r="H5" s="562">
        <v>24</v>
      </c>
      <c r="I5" s="560">
        <v>24</v>
      </c>
      <c r="J5" s="562"/>
      <c r="K5" s="562" t="s">
        <v>1112</v>
      </c>
      <c r="L5" s="447">
        <v>2</v>
      </c>
      <c r="M5" s="447">
        <v>8</v>
      </c>
      <c r="N5" s="448">
        <v>42054</v>
      </c>
    </row>
    <row r="6" spans="1:14">
      <c r="A6" s="562" t="s">
        <v>1351</v>
      </c>
      <c r="B6" s="560" t="s">
        <v>1352</v>
      </c>
      <c r="C6" s="193">
        <v>42052</v>
      </c>
      <c r="D6" s="193">
        <v>42052</v>
      </c>
      <c r="E6" s="561" t="s">
        <v>195</v>
      </c>
      <c r="F6" s="562" t="s">
        <v>1110</v>
      </c>
      <c r="G6" s="563" t="s">
        <v>1111</v>
      </c>
      <c r="H6" s="562">
        <v>1655</v>
      </c>
      <c r="I6" s="560">
        <v>1655</v>
      </c>
      <c r="J6" s="562"/>
      <c r="K6" s="377" t="s">
        <v>1112</v>
      </c>
      <c r="L6" s="447">
        <v>6</v>
      </c>
      <c r="M6" s="447">
        <v>42</v>
      </c>
      <c r="N6" s="448">
        <v>42054</v>
      </c>
    </row>
    <row r="7" spans="1:14">
      <c r="A7" s="562" t="s">
        <v>1351</v>
      </c>
      <c r="B7" s="560" t="s">
        <v>1352</v>
      </c>
      <c r="C7" s="193">
        <v>42052</v>
      </c>
      <c r="D7" s="193">
        <v>42052</v>
      </c>
      <c r="E7" s="562" t="s">
        <v>177</v>
      </c>
      <c r="F7" s="562" t="s">
        <v>1110</v>
      </c>
      <c r="G7" s="562" t="s">
        <v>1113</v>
      </c>
      <c r="H7" s="562">
        <v>1102</v>
      </c>
      <c r="I7" s="560">
        <v>1102</v>
      </c>
      <c r="J7" s="562"/>
      <c r="K7" s="562" t="s">
        <v>1112</v>
      </c>
      <c r="L7" s="447">
        <v>2</v>
      </c>
      <c r="M7" s="447">
        <v>8</v>
      </c>
      <c r="N7" s="448">
        <v>42052</v>
      </c>
    </row>
    <row r="8" spans="1:14">
      <c r="A8" s="562" t="s">
        <v>1351</v>
      </c>
      <c r="B8" s="560" t="s">
        <v>1352</v>
      </c>
      <c r="C8" s="193">
        <v>42052</v>
      </c>
      <c r="D8" s="193">
        <v>42052</v>
      </c>
      <c r="E8" s="562" t="s">
        <v>223</v>
      </c>
      <c r="F8" s="562" t="s">
        <v>1110</v>
      </c>
      <c r="G8" s="562" t="s">
        <v>1114</v>
      </c>
      <c r="H8" s="562">
        <v>37</v>
      </c>
      <c r="I8" s="560">
        <v>37</v>
      </c>
      <c r="J8" s="562"/>
      <c r="K8" s="377" t="s">
        <v>1112</v>
      </c>
      <c r="L8" s="449">
        <v>5</v>
      </c>
      <c r="M8" s="449">
        <v>35</v>
      </c>
      <c r="N8" s="448">
        <v>42054</v>
      </c>
    </row>
    <row r="9" spans="1:14">
      <c r="A9" s="562" t="s">
        <v>1351</v>
      </c>
      <c r="B9" s="560" t="s">
        <v>1352</v>
      </c>
      <c r="C9" s="193">
        <v>42052</v>
      </c>
      <c r="D9" s="193">
        <v>42052</v>
      </c>
      <c r="E9" s="562" t="s">
        <v>171</v>
      </c>
      <c r="F9" s="562" t="s">
        <v>1110</v>
      </c>
      <c r="G9" s="563" t="s">
        <v>1116</v>
      </c>
      <c r="H9" s="562">
        <v>25</v>
      </c>
      <c r="I9" s="560">
        <v>25</v>
      </c>
      <c r="J9" s="562"/>
      <c r="K9" s="562" t="s">
        <v>1112</v>
      </c>
      <c r="L9" s="447">
        <v>2</v>
      </c>
      <c r="M9" s="447">
        <v>8</v>
      </c>
      <c r="N9" s="448">
        <v>42054</v>
      </c>
    </row>
    <row r="10" spans="1:14">
      <c r="A10" s="562" t="s">
        <v>1371</v>
      </c>
      <c r="B10" s="560" t="s">
        <v>1350</v>
      </c>
      <c r="C10" s="193">
        <v>42114</v>
      </c>
      <c r="D10" s="193">
        <v>42114</v>
      </c>
      <c r="E10" s="562" t="s">
        <v>177</v>
      </c>
      <c r="F10" s="562" t="s">
        <v>1110</v>
      </c>
      <c r="G10" s="562" t="s">
        <v>1113</v>
      </c>
      <c r="H10" s="562">
        <v>1487</v>
      </c>
      <c r="I10" s="560">
        <v>1487</v>
      </c>
      <c r="J10" s="562"/>
      <c r="K10" s="562" t="s">
        <v>1112</v>
      </c>
      <c r="L10" s="447">
        <v>2</v>
      </c>
      <c r="M10" s="447">
        <v>8</v>
      </c>
      <c r="N10" s="448">
        <v>42115</v>
      </c>
    </row>
    <row r="11" spans="1:14">
      <c r="A11" s="562" t="s">
        <v>1371</v>
      </c>
      <c r="B11" s="560" t="s">
        <v>1350</v>
      </c>
      <c r="C11" s="193">
        <v>42114</v>
      </c>
      <c r="D11" s="193">
        <v>42114</v>
      </c>
      <c r="E11" s="561" t="s">
        <v>195</v>
      </c>
      <c r="F11" s="562" t="s">
        <v>1110</v>
      </c>
      <c r="G11" s="563" t="s">
        <v>1111</v>
      </c>
      <c r="H11" s="562">
        <v>2005</v>
      </c>
      <c r="I11" s="560">
        <v>2005</v>
      </c>
      <c r="J11" s="562"/>
      <c r="K11" s="377" t="s">
        <v>1112</v>
      </c>
      <c r="L11" s="447">
        <v>6</v>
      </c>
      <c r="M11" s="447">
        <v>42</v>
      </c>
      <c r="N11" s="448">
        <v>42123</v>
      </c>
    </row>
    <row r="12" spans="1:14">
      <c r="A12" s="577" t="s">
        <v>1371</v>
      </c>
      <c r="B12" s="560" t="s">
        <v>1350</v>
      </c>
      <c r="C12" s="193">
        <v>42114</v>
      </c>
      <c r="D12" s="193">
        <v>42114</v>
      </c>
      <c r="E12" s="562" t="s">
        <v>223</v>
      </c>
      <c r="F12" s="562" t="s">
        <v>1110</v>
      </c>
      <c r="G12" s="562" t="s">
        <v>1114</v>
      </c>
      <c r="H12" s="562">
        <v>20</v>
      </c>
      <c r="I12" s="560">
        <v>20</v>
      </c>
      <c r="J12" s="562" t="s">
        <v>1115</v>
      </c>
      <c r="K12" s="377" t="s">
        <v>1112</v>
      </c>
      <c r="L12" s="449">
        <v>5</v>
      </c>
      <c r="M12" s="449">
        <v>35</v>
      </c>
      <c r="N12" s="448">
        <v>42117</v>
      </c>
    </row>
    <row r="13" spans="1:14">
      <c r="A13" s="562" t="s">
        <v>1371</v>
      </c>
      <c r="B13" s="560" t="s">
        <v>1350</v>
      </c>
      <c r="C13" s="193">
        <v>42114</v>
      </c>
      <c r="D13" s="193">
        <v>42114</v>
      </c>
      <c r="E13" s="562" t="s">
        <v>171</v>
      </c>
      <c r="F13" s="562" t="s">
        <v>1110</v>
      </c>
      <c r="G13" s="563" t="s">
        <v>1116</v>
      </c>
      <c r="H13" s="562">
        <v>67</v>
      </c>
      <c r="I13" s="560">
        <v>67</v>
      </c>
      <c r="J13" s="562"/>
      <c r="K13" s="562" t="s">
        <v>1112</v>
      </c>
      <c r="L13" s="447">
        <v>2</v>
      </c>
      <c r="M13" s="447">
        <v>8</v>
      </c>
      <c r="N13" s="448">
        <v>42123</v>
      </c>
    </row>
    <row r="14" spans="1:14">
      <c r="A14" s="562" t="s">
        <v>1372</v>
      </c>
      <c r="B14" s="560" t="s">
        <v>1352</v>
      </c>
      <c r="C14" s="193">
        <v>42114</v>
      </c>
      <c r="D14" s="193">
        <v>42114</v>
      </c>
      <c r="E14" s="562" t="s">
        <v>177</v>
      </c>
      <c r="F14" s="562" t="s">
        <v>1110</v>
      </c>
      <c r="G14" s="562" t="s">
        <v>1113</v>
      </c>
      <c r="H14" s="562">
        <v>1448</v>
      </c>
      <c r="I14" s="560">
        <v>1448</v>
      </c>
      <c r="J14" s="562"/>
      <c r="K14" s="562" t="s">
        <v>1112</v>
      </c>
      <c r="L14" s="447">
        <v>2</v>
      </c>
      <c r="M14" s="447">
        <v>8</v>
      </c>
      <c r="N14" s="448">
        <v>42115</v>
      </c>
    </row>
    <row r="15" spans="1:14">
      <c r="A15" s="562" t="s">
        <v>1372</v>
      </c>
      <c r="B15" s="560" t="s">
        <v>1352</v>
      </c>
      <c r="C15" s="193">
        <v>42114</v>
      </c>
      <c r="D15" s="193">
        <v>42114</v>
      </c>
      <c r="E15" s="561" t="s">
        <v>195</v>
      </c>
      <c r="F15" s="562" t="s">
        <v>1110</v>
      </c>
      <c r="G15" s="563" t="s">
        <v>1111</v>
      </c>
      <c r="H15" s="562">
        <v>2093</v>
      </c>
      <c r="I15" s="560">
        <v>2093</v>
      </c>
      <c r="J15" s="562"/>
      <c r="K15" s="377" t="s">
        <v>1112</v>
      </c>
      <c r="L15" s="447">
        <v>6</v>
      </c>
      <c r="M15" s="447">
        <v>42</v>
      </c>
      <c r="N15" s="448">
        <v>42123</v>
      </c>
    </row>
    <row r="16" spans="1:14">
      <c r="A16" s="577" t="s">
        <v>1372</v>
      </c>
      <c r="B16" s="560" t="s">
        <v>1352</v>
      </c>
      <c r="C16" s="193">
        <v>42114</v>
      </c>
      <c r="D16" s="193">
        <v>42114</v>
      </c>
      <c r="E16" s="562" t="s">
        <v>223</v>
      </c>
      <c r="F16" s="562" t="s">
        <v>1110</v>
      </c>
      <c r="G16" s="562" t="s">
        <v>1114</v>
      </c>
      <c r="H16" s="562">
        <v>23</v>
      </c>
      <c r="I16" s="560">
        <v>23</v>
      </c>
      <c r="J16" s="562" t="s">
        <v>1115</v>
      </c>
      <c r="K16" s="377" t="s">
        <v>1112</v>
      </c>
      <c r="L16" s="449">
        <v>5</v>
      </c>
      <c r="M16" s="449">
        <v>35</v>
      </c>
      <c r="N16" s="448">
        <v>42117</v>
      </c>
    </row>
    <row r="17" spans="1:14">
      <c r="A17" s="562" t="s">
        <v>1372</v>
      </c>
      <c r="B17" s="560" t="s">
        <v>1352</v>
      </c>
      <c r="C17" s="193">
        <v>42114</v>
      </c>
      <c r="D17" s="193">
        <v>42114</v>
      </c>
      <c r="E17" s="562" t="s">
        <v>171</v>
      </c>
      <c r="F17" s="562" t="s">
        <v>1110</v>
      </c>
      <c r="G17" s="563" t="s">
        <v>1116</v>
      </c>
      <c r="H17" s="562">
        <v>97</v>
      </c>
      <c r="I17" s="560">
        <v>97</v>
      </c>
      <c r="J17" s="562"/>
      <c r="K17" s="562" t="s">
        <v>1112</v>
      </c>
      <c r="L17" s="447">
        <v>2</v>
      </c>
      <c r="M17" s="447">
        <v>8</v>
      </c>
      <c r="N17" s="448">
        <v>42123</v>
      </c>
    </row>
    <row r="18" spans="1:14">
      <c r="A18" s="577" t="s">
        <v>1387</v>
      </c>
      <c r="B18" s="560" t="s">
        <v>1350</v>
      </c>
      <c r="C18" s="193">
        <v>42170</v>
      </c>
      <c r="D18" s="193">
        <v>42170</v>
      </c>
      <c r="E18" s="561" t="s">
        <v>195</v>
      </c>
      <c r="F18" s="562" t="s">
        <v>1110</v>
      </c>
      <c r="G18" s="563" t="s">
        <v>1111</v>
      </c>
      <c r="H18" s="562">
        <v>2668</v>
      </c>
      <c r="I18" s="560">
        <v>2668</v>
      </c>
      <c r="J18" s="562"/>
      <c r="K18" s="377" t="s">
        <v>1112</v>
      </c>
      <c r="L18" s="447">
        <v>6</v>
      </c>
      <c r="M18" s="447">
        <v>42</v>
      </c>
      <c r="N18" s="448">
        <v>42181</v>
      </c>
    </row>
    <row r="19" spans="1:14">
      <c r="A19" s="577" t="s">
        <v>1387</v>
      </c>
      <c r="B19" s="560" t="s">
        <v>1350</v>
      </c>
      <c r="C19" s="193">
        <v>42170</v>
      </c>
      <c r="D19" s="193">
        <v>42170</v>
      </c>
      <c r="E19" s="562" t="s">
        <v>177</v>
      </c>
      <c r="F19" s="562" t="s">
        <v>1110</v>
      </c>
      <c r="G19" s="562" t="s">
        <v>1113</v>
      </c>
      <c r="H19" s="562">
        <v>1612</v>
      </c>
      <c r="I19" s="560">
        <v>1612</v>
      </c>
      <c r="J19" s="562"/>
      <c r="K19" s="562" t="s">
        <v>1112</v>
      </c>
      <c r="L19" s="447">
        <v>2</v>
      </c>
      <c r="M19" s="447">
        <v>8</v>
      </c>
      <c r="N19" s="448">
        <v>42171</v>
      </c>
    </row>
    <row r="20" spans="1:14">
      <c r="A20" s="577" t="s">
        <v>1387</v>
      </c>
      <c r="B20" s="560" t="s">
        <v>1350</v>
      </c>
      <c r="C20" s="193">
        <v>42170</v>
      </c>
      <c r="D20" s="193">
        <v>42170</v>
      </c>
      <c r="E20" s="562" t="s">
        <v>223</v>
      </c>
      <c r="F20" s="562" t="s">
        <v>1110</v>
      </c>
      <c r="G20" s="562" t="s">
        <v>1114</v>
      </c>
      <c r="H20" s="562">
        <v>47</v>
      </c>
      <c r="I20" s="560">
        <v>47</v>
      </c>
      <c r="J20" s="562"/>
      <c r="K20" s="377" t="s">
        <v>1112</v>
      </c>
      <c r="L20" s="449">
        <v>5</v>
      </c>
      <c r="M20" s="449">
        <v>35</v>
      </c>
      <c r="N20" s="448">
        <v>42173</v>
      </c>
    </row>
    <row r="21" spans="1:14">
      <c r="A21" s="577" t="s">
        <v>1387</v>
      </c>
      <c r="B21" s="560" t="s">
        <v>1350</v>
      </c>
      <c r="C21" s="193">
        <v>42170</v>
      </c>
      <c r="D21" s="193">
        <v>42170</v>
      </c>
      <c r="E21" s="562" t="s">
        <v>171</v>
      </c>
      <c r="F21" s="562" t="s">
        <v>1110</v>
      </c>
      <c r="G21" s="563" t="s">
        <v>1116</v>
      </c>
      <c r="H21" s="562">
        <v>119</v>
      </c>
      <c r="I21" s="560">
        <v>119</v>
      </c>
      <c r="J21" s="562"/>
      <c r="K21" s="562" t="s">
        <v>1112</v>
      </c>
      <c r="L21" s="447">
        <v>2</v>
      </c>
      <c r="M21" s="447">
        <v>8</v>
      </c>
      <c r="N21" s="448">
        <v>42181</v>
      </c>
    </row>
    <row r="22" spans="1:14">
      <c r="A22" s="559" t="s">
        <v>1411</v>
      </c>
      <c r="B22" s="560" t="s">
        <v>1350</v>
      </c>
      <c r="C22" s="193">
        <v>42227</v>
      </c>
      <c r="D22" s="193">
        <v>42227</v>
      </c>
      <c r="E22" s="561" t="s">
        <v>195</v>
      </c>
      <c r="F22" s="562" t="s">
        <v>1110</v>
      </c>
      <c r="G22" s="563" t="s">
        <v>1111</v>
      </c>
      <c r="H22" s="562">
        <v>1505</v>
      </c>
      <c r="I22" s="560">
        <v>1505</v>
      </c>
      <c r="J22" s="562"/>
      <c r="K22" s="377" t="s">
        <v>1112</v>
      </c>
      <c r="L22" s="447">
        <v>6</v>
      </c>
      <c r="M22" s="447">
        <v>42</v>
      </c>
      <c r="N22" s="448">
        <v>42230</v>
      </c>
    </row>
    <row r="23" spans="1:14">
      <c r="A23" s="559" t="s">
        <v>1411</v>
      </c>
      <c r="B23" s="560" t="s">
        <v>1350</v>
      </c>
      <c r="C23" s="193">
        <v>42227</v>
      </c>
      <c r="D23" s="193">
        <v>42227</v>
      </c>
      <c r="E23" s="562" t="s">
        <v>177</v>
      </c>
      <c r="F23" s="562" t="s">
        <v>1110</v>
      </c>
      <c r="G23" s="562" t="s">
        <v>1113</v>
      </c>
      <c r="H23" s="562">
        <v>953</v>
      </c>
      <c r="I23" s="560">
        <v>953</v>
      </c>
      <c r="J23" s="562"/>
      <c r="K23" s="562" t="s">
        <v>1112</v>
      </c>
      <c r="L23" s="447">
        <v>2</v>
      </c>
      <c r="M23" s="447">
        <v>8</v>
      </c>
      <c r="N23" s="448">
        <v>42228</v>
      </c>
    </row>
    <row r="24" spans="1:14">
      <c r="A24" s="559" t="s">
        <v>1411</v>
      </c>
      <c r="B24" s="560" t="s">
        <v>1350</v>
      </c>
      <c r="C24" s="193">
        <v>42227</v>
      </c>
      <c r="D24" s="193">
        <v>42227</v>
      </c>
      <c r="E24" s="562" t="s">
        <v>223</v>
      </c>
      <c r="F24" s="562" t="s">
        <v>1110</v>
      </c>
      <c r="G24" s="562" t="s">
        <v>1114</v>
      </c>
      <c r="H24" s="562">
        <v>38</v>
      </c>
      <c r="I24" s="560">
        <v>38</v>
      </c>
      <c r="J24" s="562"/>
      <c r="K24" s="377" t="s">
        <v>1112</v>
      </c>
      <c r="L24" s="449">
        <v>5</v>
      </c>
      <c r="M24" s="449">
        <v>35</v>
      </c>
      <c r="N24" s="448">
        <v>42229</v>
      </c>
    </row>
    <row r="25" spans="1:14">
      <c r="A25" s="559" t="s">
        <v>1411</v>
      </c>
      <c r="B25" s="560" t="s">
        <v>1350</v>
      </c>
      <c r="C25" s="193">
        <v>42227</v>
      </c>
      <c r="D25" s="193">
        <v>42227</v>
      </c>
      <c r="E25" s="562" t="s">
        <v>171</v>
      </c>
      <c r="F25" s="562" t="s">
        <v>1110</v>
      </c>
      <c r="G25" s="563" t="s">
        <v>1116</v>
      </c>
      <c r="H25" s="562">
        <v>102</v>
      </c>
      <c r="I25" s="560">
        <v>102</v>
      </c>
      <c r="J25" s="562"/>
      <c r="K25" s="562" t="s">
        <v>1112</v>
      </c>
      <c r="L25" s="447">
        <v>2</v>
      </c>
      <c r="M25" s="447">
        <v>8</v>
      </c>
      <c r="N25" s="448">
        <v>42230</v>
      </c>
    </row>
    <row r="26" spans="1:14">
      <c r="A26" s="562" t="s">
        <v>1412</v>
      </c>
      <c r="B26" s="560" t="s">
        <v>1352</v>
      </c>
      <c r="C26" s="193">
        <v>42227</v>
      </c>
      <c r="D26" s="193">
        <v>42227</v>
      </c>
      <c r="E26" s="561" t="s">
        <v>195</v>
      </c>
      <c r="F26" s="562" t="s">
        <v>1110</v>
      </c>
      <c r="G26" s="563" t="s">
        <v>1111</v>
      </c>
      <c r="H26" s="562">
        <v>1374</v>
      </c>
      <c r="I26" s="560">
        <v>1374</v>
      </c>
      <c r="J26" s="562"/>
      <c r="K26" s="377" t="s">
        <v>1112</v>
      </c>
      <c r="L26" s="447">
        <v>6</v>
      </c>
      <c r="M26" s="447">
        <v>42</v>
      </c>
      <c r="N26" s="448">
        <v>42230</v>
      </c>
    </row>
    <row r="27" spans="1:14">
      <c r="A27" s="562" t="s">
        <v>1412</v>
      </c>
      <c r="B27" s="560" t="s">
        <v>1352</v>
      </c>
      <c r="C27" s="193">
        <v>42227</v>
      </c>
      <c r="D27" s="193">
        <v>42227</v>
      </c>
      <c r="E27" s="562" t="s">
        <v>177</v>
      </c>
      <c r="F27" s="562" t="s">
        <v>1110</v>
      </c>
      <c r="G27" s="562" t="s">
        <v>1113</v>
      </c>
      <c r="H27" s="562">
        <v>826</v>
      </c>
      <c r="I27" s="560">
        <v>826</v>
      </c>
      <c r="J27" s="562"/>
      <c r="K27" s="562" t="s">
        <v>1112</v>
      </c>
      <c r="L27" s="447">
        <v>2</v>
      </c>
      <c r="M27" s="447">
        <v>8</v>
      </c>
      <c r="N27" s="448">
        <v>42228</v>
      </c>
    </row>
    <row r="28" spans="1:14">
      <c r="A28" s="562" t="s">
        <v>1412</v>
      </c>
      <c r="B28" s="560" t="s">
        <v>1352</v>
      </c>
      <c r="C28" s="193">
        <v>42227</v>
      </c>
      <c r="D28" s="193">
        <v>42227</v>
      </c>
      <c r="E28" s="562" t="s">
        <v>223</v>
      </c>
      <c r="F28" s="562" t="s">
        <v>1110</v>
      </c>
      <c r="G28" s="562" t="s">
        <v>1114</v>
      </c>
      <c r="H28" s="562">
        <v>43</v>
      </c>
      <c r="I28" s="560">
        <v>43</v>
      </c>
      <c r="J28" s="562"/>
      <c r="K28" s="377" t="s">
        <v>1112</v>
      </c>
      <c r="L28" s="449">
        <v>5</v>
      </c>
      <c r="M28" s="449">
        <v>35</v>
      </c>
      <c r="N28" s="448">
        <v>42229</v>
      </c>
    </row>
    <row r="29" spans="1:14">
      <c r="A29" s="562" t="s">
        <v>1412</v>
      </c>
      <c r="B29" s="560" t="s">
        <v>1352</v>
      </c>
      <c r="C29" s="193">
        <v>42227</v>
      </c>
      <c r="D29" s="193">
        <v>42227</v>
      </c>
      <c r="E29" s="562" t="s">
        <v>171</v>
      </c>
      <c r="F29" s="562" t="s">
        <v>1110</v>
      </c>
      <c r="G29" s="563" t="s">
        <v>1116</v>
      </c>
      <c r="H29" s="562">
        <v>79</v>
      </c>
      <c r="I29" s="560">
        <v>79</v>
      </c>
      <c r="J29" s="562"/>
      <c r="K29" s="562" t="s">
        <v>1112</v>
      </c>
      <c r="L29" s="447">
        <v>2</v>
      </c>
      <c r="M29" s="447">
        <v>8</v>
      </c>
      <c r="N29" s="448">
        <v>42230</v>
      </c>
    </row>
    <row r="30" spans="1:14">
      <c r="A30" s="577" t="s">
        <v>1443</v>
      </c>
      <c r="B30" s="560" t="s">
        <v>1350</v>
      </c>
      <c r="C30" s="193">
        <v>42296</v>
      </c>
      <c r="D30" s="193">
        <v>42296</v>
      </c>
      <c r="E30" s="561" t="s">
        <v>195</v>
      </c>
      <c r="F30" s="562" t="s">
        <v>1110</v>
      </c>
      <c r="G30" s="563" t="s">
        <v>1111</v>
      </c>
      <c r="H30" s="562">
        <v>2530</v>
      </c>
      <c r="I30" s="560">
        <v>2530</v>
      </c>
      <c r="J30" s="562"/>
      <c r="K30" s="377" t="s">
        <v>1112</v>
      </c>
      <c r="L30" s="447">
        <v>6</v>
      </c>
      <c r="M30" s="447">
        <v>42</v>
      </c>
      <c r="N30" s="448">
        <v>42303</v>
      </c>
    </row>
    <row r="31" spans="1:14">
      <c r="A31" s="577" t="s">
        <v>1443</v>
      </c>
      <c r="B31" s="560" t="s">
        <v>1350</v>
      </c>
      <c r="C31" s="193">
        <v>42296</v>
      </c>
      <c r="D31" s="193">
        <v>42296</v>
      </c>
      <c r="E31" s="562" t="s">
        <v>171</v>
      </c>
      <c r="F31" s="562" t="s">
        <v>1110</v>
      </c>
      <c r="G31" s="563" t="s">
        <v>1116</v>
      </c>
      <c r="H31" s="562">
        <v>27</v>
      </c>
      <c r="I31" s="560">
        <v>27</v>
      </c>
      <c r="J31" s="562"/>
      <c r="K31" s="562" t="s">
        <v>1112</v>
      </c>
      <c r="L31" s="447">
        <v>2</v>
      </c>
      <c r="M31" s="447">
        <v>8</v>
      </c>
      <c r="N31" s="448">
        <v>42303</v>
      </c>
    </row>
    <row r="32" spans="1:14">
      <c r="A32" s="559" t="s">
        <v>1444</v>
      </c>
      <c r="B32" s="560" t="s">
        <v>1352</v>
      </c>
      <c r="C32" s="193">
        <v>42296</v>
      </c>
      <c r="D32" s="193">
        <v>42296</v>
      </c>
      <c r="E32" s="561" t="s">
        <v>195</v>
      </c>
      <c r="F32" s="562" t="s">
        <v>1110</v>
      </c>
      <c r="G32" s="563" t="s">
        <v>1111</v>
      </c>
      <c r="H32" s="562">
        <v>2345</v>
      </c>
      <c r="I32" s="560">
        <v>2345</v>
      </c>
      <c r="J32" s="562"/>
      <c r="K32" s="377" t="s">
        <v>1112</v>
      </c>
      <c r="L32" s="447">
        <v>6</v>
      </c>
      <c r="M32" s="447">
        <v>42</v>
      </c>
      <c r="N32" s="448">
        <v>42303</v>
      </c>
    </row>
    <row r="33" spans="1:14">
      <c r="A33" s="559" t="s">
        <v>1444</v>
      </c>
      <c r="B33" s="560" t="s">
        <v>1352</v>
      </c>
      <c r="C33" s="193">
        <v>42296</v>
      </c>
      <c r="D33" s="193">
        <v>42296</v>
      </c>
      <c r="E33" s="562" t="s">
        <v>171</v>
      </c>
      <c r="F33" s="562" t="s">
        <v>1110</v>
      </c>
      <c r="G33" s="563" t="s">
        <v>1116</v>
      </c>
      <c r="H33" s="562">
        <v>15</v>
      </c>
      <c r="I33" s="560">
        <v>15</v>
      </c>
      <c r="J33" s="562"/>
      <c r="K33" s="562" t="s">
        <v>1112</v>
      </c>
      <c r="L33" s="447">
        <v>2</v>
      </c>
      <c r="M33" s="447">
        <v>8</v>
      </c>
      <c r="N33" s="448">
        <v>42303</v>
      </c>
    </row>
    <row r="34" spans="1:14">
      <c r="A34" s="559" t="s">
        <v>1565</v>
      </c>
      <c r="B34" s="829" t="s">
        <v>1350</v>
      </c>
      <c r="C34" s="193">
        <v>42345</v>
      </c>
      <c r="D34" s="193">
        <v>42345</v>
      </c>
      <c r="E34" s="561" t="s">
        <v>195</v>
      </c>
      <c r="F34" s="562" t="s">
        <v>1110</v>
      </c>
      <c r="G34" s="563" t="s">
        <v>1111</v>
      </c>
      <c r="H34" s="562">
        <v>3936</v>
      </c>
      <c r="I34" s="560">
        <v>3936</v>
      </c>
      <c r="J34" s="562"/>
      <c r="K34" s="377" t="s">
        <v>1112</v>
      </c>
      <c r="L34" s="447">
        <v>6</v>
      </c>
      <c r="M34" s="447">
        <v>42</v>
      </c>
      <c r="N34" s="448">
        <v>42348</v>
      </c>
    </row>
    <row r="35" spans="1:14">
      <c r="A35" s="562" t="s">
        <v>1565</v>
      </c>
      <c r="B35" s="829" t="s">
        <v>1350</v>
      </c>
      <c r="C35" s="193">
        <v>42345</v>
      </c>
      <c r="D35" s="193">
        <v>42345</v>
      </c>
      <c r="E35" s="562" t="s">
        <v>177</v>
      </c>
      <c r="F35" s="562" t="s">
        <v>1110</v>
      </c>
      <c r="G35" s="562" t="s">
        <v>1113</v>
      </c>
      <c r="H35" s="562">
        <v>3939</v>
      </c>
      <c r="I35" s="560">
        <v>3939</v>
      </c>
      <c r="J35" s="562"/>
      <c r="K35" s="562" t="s">
        <v>1112</v>
      </c>
      <c r="L35" s="447">
        <v>2</v>
      </c>
      <c r="M35" s="447">
        <v>8</v>
      </c>
      <c r="N35" s="448">
        <v>42346</v>
      </c>
    </row>
    <row r="36" spans="1:14">
      <c r="A36" s="577" t="s">
        <v>1565</v>
      </c>
      <c r="B36" s="829" t="s">
        <v>1350</v>
      </c>
      <c r="C36" s="193">
        <v>42345</v>
      </c>
      <c r="D36" s="193">
        <v>42345</v>
      </c>
      <c r="E36" s="562" t="s">
        <v>223</v>
      </c>
      <c r="F36" s="562" t="s">
        <v>1110</v>
      </c>
      <c r="G36" s="562" t="s">
        <v>1114</v>
      </c>
      <c r="H36" s="562">
        <v>19</v>
      </c>
      <c r="I36" s="560">
        <v>19</v>
      </c>
      <c r="J36" s="562" t="s">
        <v>1115</v>
      </c>
      <c r="K36" s="377" t="s">
        <v>1112</v>
      </c>
      <c r="L36" s="449">
        <v>5</v>
      </c>
      <c r="M36" s="449">
        <v>35</v>
      </c>
      <c r="N36" s="448">
        <v>42359</v>
      </c>
    </row>
    <row r="37" spans="1:14">
      <c r="A37" s="562" t="s">
        <v>1565</v>
      </c>
      <c r="B37" s="829" t="s">
        <v>1350</v>
      </c>
      <c r="C37" s="193">
        <v>42345</v>
      </c>
      <c r="D37" s="193">
        <v>42345</v>
      </c>
      <c r="E37" s="562" t="s">
        <v>171</v>
      </c>
      <c r="F37" s="562" t="s">
        <v>1110</v>
      </c>
      <c r="G37" s="563" t="s">
        <v>1116</v>
      </c>
      <c r="H37" s="562">
        <v>28</v>
      </c>
      <c r="I37" s="560">
        <v>28</v>
      </c>
      <c r="J37" s="562"/>
      <c r="K37" s="562" t="s">
        <v>1112</v>
      </c>
      <c r="L37" s="447">
        <v>2</v>
      </c>
      <c r="M37" s="447">
        <v>8</v>
      </c>
      <c r="N37" s="448">
        <v>42348</v>
      </c>
    </row>
    <row r="38" spans="1:14">
      <c r="A38" s="562" t="s">
        <v>1565</v>
      </c>
      <c r="B38" s="829" t="s">
        <v>1350</v>
      </c>
      <c r="C38" s="193">
        <v>42345</v>
      </c>
      <c r="D38" s="193">
        <v>42345</v>
      </c>
      <c r="E38" s="564" t="s">
        <v>172</v>
      </c>
      <c r="F38" s="562" t="s">
        <v>1110</v>
      </c>
      <c r="G38" s="563" t="s">
        <v>1116</v>
      </c>
      <c r="H38" s="565">
        <v>18</v>
      </c>
      <c r="I38" s="564">
        <v>18</v>
      </c>
      <c r="J38" s="377"/>
      <c r="K38" s="562" t="s">
        <v>1112</v>
      </c>
      <c r="L38" s="566">
        <v>2</v>
      </c>
      <c r="M38" s="566">
        <v>8</v>
      </c>
      <c r="N38" s="448">
        <v>42348</v>
      </c>
    </row>
    <row r="39" spans="1:14">
      <c r="A39" s="562" t="s">
        <v>1566</v>
      </c>
      <c r="B39" s="560" t="s">
        <v>1352</v>
      </c>
      <c r="C39" s="193">
        <v>42345</v>
      </c>
      <c r="D39" s="193">
        <v>42345</v>
      </c>
      <c r="E39" s="561" t="s">
        <v>195</v>
      </c>
      <c r="F39" s="562" t="s">
        <v>1110</v>
      </c>
      <c r="G39" s="563" t="s">
        <v>1111</v>
      </c>
      <c r="H39" s="562">
        <v>3981</v>
      </c>
      <c r="I39" s="560">
        <v>3981</v>
      </c>
      <c r="J39" s="559"/>
      <c r="K39" s="377" t="s">
        <v>1112</v>
      </c>
      <c r="L39" s="447">
        <v>6</v>
      </c>
      <c r="M39" s="447">
        <v>42</v>
      </c>
      <c r="N39" s="448">
        <v>42348</v>
      </c>
    </row>
    <row r="40" spans="1:14">
      <c r="A40" s="562" t="s">
        <v>1566</v>
      </c>
      <c r="B40" s="560" t="s">
        <v>1352</v>
      </c>
      <c r="C40" s="193">
        <v>42345</v>
      </c>
      <c r="D40" s="193">
        <v>42345</v>
      </c>
      <c r="E40" s="562" t="s">
        <v>177</v>
      </c>
      <c r="F40" s="562" t="s">
        <v>1110</v>
      </c>
      <c r="G40" s="562" t="s">
        <v>1113</v>
      </c>
      <c r="H40" s="562">
        <v>3853</v>
      </c>
      <c r="I40" s="560">
        <v>3853</v>
      </c>
      <c r="J40" s="562"/>
      <c r="K40" s="562" t="s">
        <v>1112</v>
      </c>
      <c r="L40" s="447">
        <v>2</v>
      </c>
      <c r="M40" s="447">
        <v>8</v>
      </c>
      <c r="N40" s="448">
        <v>42346</v>
      </c>
    </row>
    <row r="41" spans="1:14">
      <c r="A41" s="577" t="s">
        <v>1566</v>
      </c>
      <c r="B41" s="560" t="s">
        <v>1352</v>
      </c>
      <c r="C41" s="193">
        <v>42345</v>
      </c>
      <c r="D41" s="193">
        <v>42345</v>
      </c>
      <c r="E41" s="562" t="s">
        <v>223</v>
      </c>
      <c r="F41" s="562" t="s">
        <v>1110</v>
      </c>
      <c r="G41" s="562" t="s">
        <v>1114</v>
      </c>
      <c r="H41" s="562">
        <v>15</v>
      </c>
      <c r="I41" s="560">
        <v>15</v>
      </c>
      <c r="J41" s="559" t="s">
        <v>1115</v>
      </c>
      <c r="K41" s="377" t="s">
        <v>1112</v>
      </c>
      <c r="L41" s="449">
        <v>5</v>
      </c>
      <c r="M41" s="449">
        <v>35</v>
      </c>
      <c r="N41" s="448">
        <v>42359</v>
      </c>
    </row>
    <row r="42" spans="1:14">
      <c r="A42" s="562" t="s">
        <v>1566</v>
      </c>
      <c r="B42" s="560" t="s">
        <v>1352</v>
      </c>
      <c r="C42" s="193">
        <v>42345</v>
      </c>
      <c r="D42" s="193">
        <v>42345</v>
      </c>
      <c r="E42" s="562" t="s">
        <v>171</v>
      </c>
      <c r="F42" s="562" t="s">
        <v>1110</v>
      </c>
      <c r="G42" s="563" t="s">
        <v>1116</v>
      </c>
      <c r="H42" s="562">
        <v>35</v>
      </c>
      <c r="I42" s="560">
        <v>35</v>
      </c>
      <c r="J42" s="559"/>
      <c r="K42" s="562" t="s">
        <v>1112</v>
      </c>
      <c r="L42" s="447">
        <v>2</v>
      </c>
      <c r="M42" s="447">
        <v>8</v>
      </c>
      <c r="N42" s="448">
        <v>42348</v>
      </c>
    </row>
    <row r="43" spans="1:14">
      <c r="A43" s="562" t="s">
        <v>1566</v>
      </c>
      <c r="B43" s="560" t="s">
        <v>1352</v>
      </c>
      <c r="C43" s="193">
        <v>42345</v>
      </c>
      <c r="D43" s="193">
        <v>42345</v>
      </c>
      <c r="E43" s="564" t="s">
        <v>172</v>
      </c>
      <c r="F43" s="562" t="s">
        <v>1110</v>
      </c>
      <c r="G43" s="563" t="s">
        <v>1116</v>
      </c>
      <c r="H43" s="565">
        <v>12</v>
      </c>
      <c r="I43" s="564">
        <v>12</v>
      </c>
      <c r="J43" s="377"/>
      <c r="K43" s="562" t="s">
        <v>1112</v>
      </c>
      <c r="L43" s="566">
        <v>2</v>
      </c>
      <c r="M43" s="566">
        <v>8</v>
      </c>
      <c r="N43" s="448">
        <v>42348</v>
      </c>
    </row>
    <row r="44" spans="1:14">
      <c r="A44" s="577"/>
      <c r="B44" s="560"/>
      <c r="C44" s="193"/>
      <c r="D44" s="193"/>
      <c r="E44" s="561"/>
      <c r="F44" s="562"/>
      <c r="G44" s="563"/>
      <c r="H44" s="562"/>
      <c r="I44" s="560"/>
      <c r="J44" s="562"/>
      <c r="K44" s="377"/>
      <c r="L44" s="447"/>
      <c r="M44" s="447"/>
      <c r="N44" s="448"/>
    </row>
    <row r="45" spans="1:14">
      <c r="A45" s="577"/>
      <c r="B45" s="560"/>
      <c r="C45" s="193"/>
      <c r="D45" s="193"/>
      <c r="E45" s="562"/>
      <c r="F45" s="562"/>
      <c r="G45" s="563"/>
      <c r="H45" s="562"/>
      <c r="I45" s="560"/>
      <c r="J45" s="562"/>
      <c r="K45" s="562"/>
      <c r="L45" s="447"/>
      <c r="M45" s="447"/>
      <c r="N45" s="448"/>
    </row>
    <row r="46" spans="1:14">
      <c r="A46" s="559"/>
      <c r="B46" s="560"/>
      <c r="C46" s="193"/>
      <c r="D46" s="193"/>
      <c r="E46" s="561"/>
      <c r="F46" s="562"/>
      <c r="G46" s="563"/>
      <c r="H46" s="562"/>
      <c r="I46" s="560"/>
      <c r="J46" s="562"/>
      <c r="K46" s="377"/>
      <c r="L46" s="447"/>
      <c r="M46" s="447"/>
      <c r="N46" s="448"/>
    </row>
    <row r="47" spans="1:14">
      <c r="A47" s="559"/>
      <c r="B47" s="560"/>
      <c r="C47" s="193"/>
      <c r="D47" s="193"/>
      <c r="E47" s="562"/>
      <c r="F47" s="562"/>
      <c r="G47" s="563"/>
      <c r="H47" s="562"/>
      <c r="I47" s="560"/>
      <c r="J47" s="562"/>
      <c r="K47" s="562"/>
      <c r="L47" s="447"/>
      <c r="M47" s="447"/>
      <c r="N47" s="448"/>
    </row>
    <row r="48" spans="1:14">
      <c r="A48" s="577"/>
      <c r="B48" s="560"/>
      <c r="C48" s="193"/>
      <c r="D48" s="193"/>
      <c r="E48" s="561"/>
      <c r="F48" s="562"/>
      <c r="G48" s="563"/>
      <c r="H48" s="562"/>
      <c r="I48" s="560"/>
      <c r="J48" s="562"/>
      <c r="K48" s="377"/>
      <c r="L48" s="447"/>
      <c r="M48" s="447"/>
      <c r="N48" s="448"/>
    </row>
    <row r="49" spans="1:14">
      <c r="A49" s="577"/>
      <c r="B49" s="560"/>
      <c r="C49" s="193"/>
      <c r="D49" s="193"/>
      <c r="E49" s="562"/>
      <c r="F49" s="562"/>
      <c r="G49" s="563"/>
      <c r="H49" s="562"/>
      <c r="I49" s="560"/>
      <c r="J49" s="562"/>
      <c r="K49" s="562"/>
      <c r="L49" s="447"/>
      <c r="M49" s="447"/>
      <c r="N49" s="448"/>
    </row>
    <row r="50" spans="1:14">
      <c r="A50" s="559"/>
      <c r="B50" s="560"/>
      <c r="C50" s="193"/>
      <c r="D50" s="193"/>
      <c r="E50" s="561"/>
      <c r="F50" s="562"/>
      <c r="G50" s="563"/>
      <c r="H50" s="562"/>
      <c r="I50" s="560"/>
      <c r="J50" s="562"/>
      <c r="K50" s="377"/>
      <c r="L50" s="447"/>
      <c r="M50" s="447"/>
      <c r="N50" s="448"/>
    </row>
    <row r="51" spans="1:14">
      <c r="A51" s="559"/>
      <c r="B51" s="560"/>
      <c r="C51" s="193"/>
      <c r="D51" s="193"/>
      <c r="E51" s="562"/>
      <c r="F51" s="562"/>
      <c r="G51" s="563"/>
      <c r="H51" s="562"/>
      <c r="I51" s="560"/>
      <c r="J51" s="562"/>
      <c r="K51" s="562"/>
      <c r="L51" s="447"/>
      <c r="M51" s="447"/>
      <c r="N51" s="44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2:S75"/>
  <sheetViews>
    <sheetView workbookViewId="0">
      <selection activeCell="C43" sqref="C43:I56"/>
    </sheetView>
  </sheetViews>
  <sheetFormatPr defaultRowHeight="14"/>
  <cols>
    <col min="1" max="1" width="11.08984375" customWidth="1"/>
    <col min="2" max="2" width="7.453125" bestFit="1" customWidth="1"/>
    <col min="3" max="3" width="12.1796875" bestFit="1" customWidth="1"/>
    <col min="4" max="4" width="10.6328125" customWidth="1"/>
    <col min="5" max="5" width="11.08984375" bestFit="1" customWidth="1"/>
    <col min="6" max="6" width="11.6328125" customWidth="1"/>
    <col min="7" max="7" width="9.81640625" customWidth="1"/>
    <col min="8" max="8" width="11.453125" bestFit="1" customWidth="1"/>
    <col min="9" max="9" width="11.1796875" bestFit="1" customWidth="1"/>
    <col min="10" max="10" width="9" bestFit="1" customWidth="1"/>
    <col min="11" max="11" width="13.08984375" bestFit="1" customWidth="1"/>
    <col min="12" max="12" width="11.08984375" customWidth="1"/>
  </cols>
  <sheetData>
    <row r="2" spans="1:19" ht="42">
      <c r="A2" s="1300" t="s">
        <v>265</v>
      </c>
      <c r="B2" s="1301" t="s">
        <v>10</v>
      </c>
      <c r="C2" s="1302" t="s">
        <v>264</v>
      </c>
      <c r="D2" s="1301" t="s">
        <v>144</v>
      </c>
      <c r="E2" s="1301" t="s">
        <v>146</v>
      </c>
      <c r="F2" s="1303" t="s">
        <v>150</v>
      </c>
      <c r="G2" s="1304" t="s">
        <v>262</v>
      </c>
      <c r="H2" s="1303" t="s">
        <v>263</v>
      </c>
      <c r="I2" s="1305" t="s">
        <v>1604</v>
      </c>
      <c r="J2" s="1303" t="s">
        <v>282</v>
      </c>
      <c r="K2" s="1306" t="s">
        <v>380</v>
      </c>
      <c r="L2" s="1306" t="s">
        <v>381</v>
      </c>
      <c r="O2" t="s">
        <v>162</v>
      </c>
      <c r="P2" t="s">
        <v>163</v>
      </c>
      <c r="Q2" t="s">
        <v>164</v>
      </c>
      <c r="R2" t="s">
        <v>165</v>
      </c>
      <c r="S2" t="s">
        <v>363</v>
      </c>
    </row>
    <row r="3" spans="1:19">
      <c r="A3" s="1481" t="s">
        <v>686</v>
      </c>
      <c r="B3" s="1495" t="s">
        <v>401</v>
      </c>
      <c r="C3" s="1496" t="s">
        <v>896</v>
      </c>
      <c r="D3" s="1307">
        <v>42052</v>
      </c>
      <c r="E3" s="1308">
        <v>0.4375</v>
      </c>
      <c r="F3" s="1309">
        <v>8.2200000000000006</v>
      </c>
      <c r="G3" s="1310">
        <v>0.6</v>
      </c>
      <c r="H3" s="1309">
        <v>13.3</v>
      </c>
      <c r="I3" s="1311">
        <v>1530</v>
      </c>
      <c r="J3" s="1309">
        <v>0.11</v>
      </c>
      <c r="K3" s="1312">
        <v>0.01</v>
      </c>
      <c r="L3" s="1313" t="s">
        <v>1602</v>
      </c>
      <c r="O3" s="271">
        <v>2</v>
      </c>
      <c r="P3" s="270">
        <v>0.47</v>
      </c>
      <c r="Q3" s="270">
        <v>0.19</v>
      </c>
      <c r="R3" s="270">
        <f>P3*2</f>
        <v>0.94</v>
      </c>
      <c r="S3" s="8">
        <f>Q3*R3</f>
        <v>0.17859999999999998</v>
      </c>
    </row>
    <row r="4" spans="1:19">
      <c r="A4" s="1481"/>
      <c r="B4" s="1495"/>
      <c r="C4" s="1496"/>
      <c r="D4" s="1314">
        <v>42114</v>
      </c>
      <c r="E4" s="1315">
        <v>0.4548611111111111</v>
      </c>
      <c r="F4" s="1316">
        <v>8.0399999999999991</v>
      </c>
      <c r="G4" s="1316">
        <v>7.2</v>
      </c>
      <c r="H4" s="1316">
        <v>11.38</v>
      </c>
      <c r="I4" s="1317">
        <v>977</v>
      </c>
      <c r="J4" s="1316">
        <v>1.87</v>
      </c>
      <c r="K4" s="1318">
        <v>0.2</v>
      </c>
      <c r="L4" s="1319" t="s">
        <v>1602</v>
      </c>
      <c r="O4" s="272">
        <v>4</v>
      </c>
      <c r="P4" s="6">
        <v>0.26</v>
      </c>
      <c r="Q4" s="6">
        <v>0.22</v>
      </c>
      <c r="R4" s="270">
        <f>P4*3</f>
        <v>0.78</v>
      </c>
      <c r="S4" s="270">
        <f>Q4*R4</f>
        <v>0.1716</v>
      </c>
    </row>
    <row r="5" spans="1:19">
      <c r="A5" s="1481"/>
      <c r="B5" s="1495"/>
      <c r="C5" s="1496"/>
      <c r="D5" s="1028">
        <v>42170</v>
      </c>
      <c r="E5" s="1320">
        <v>0.5</v>
      </c>
      <c r="F5" s="1321">
        <v>7.65</v>
      </c>
      <c r="G5" s="1321">
        <v>15.4</v>
      </c>
      <c r="H5" s="1321">
        <v>9.4700000000000006</v>
      </c>
      <c r="I5" s="1322">
        <v>1215</v>
      </c>
      <c r="J5" s="1321">
        <v>2.3140000000000001</v>
      </c>
      <c r="K5" s="1323">
        <v>0.2</v>
      </c>
      <c r="L5" s="1324" t="s">
        <v>1603</v>
      </c>
      <c r="O5" s="271">
        <v>6</v>
      </c>
      <c r="P5" s="6"/>
      <c r="Q5" s="6"/>
      <c r="R5" s="270">
        <f>P5*2</f>
        <v>0</v>
      </c>
      <c r="S5" s="270">
        <f>Q5*R5</f>
        <v>0</v>
      </c>
    </row>
    <row r="6" spans="1:19">
      <c r="A6" s="1481"/>
      <c r="B6" s="1495"/>
      <c r="C6" s="1496"/>
      <c r="D6" s="1028">
        <v>42227</v>
      </c>
      <c r="E6" s="1325">
        <v>0.4236111111111111</v>
      </c>
      <c r="F6" s="1326">
        <v>7.91</v>
      </c>
      <c r="G6" s="1326">
        <v>14.9</v>
      </c>
      <c r="H6" s="1326">
        <v>8.23</v>
      </c>
      <c r="I6" s="1327">
        <v>1472</v>
      </c>
      <c r="J6" s="1326">
        <v>1.71</v>
      </c>
      <c r="K6" s="1328">
        <v>0.1</v>
      </c>
      <c r="L6" s="1324" t="s">
        <v>1602</v>
      </c>
      <c r="S6" s="4">
        <f>SUM(S3:S5)</f>
        <v>0.35019999999999996</v>
      </c>
    </row>
    <row r="7" spans="1:19" s="630" customFormat="1">
      <c r="A7" s="1481"/>
      <c r="B7" s="1495"/>
      <c r="C7" s="1496"/>
      <c r="D7" s="1028">
        <v>42296</v>
      </c>
      <c r="E7" s="1325">
        <v>0.48958333333333331</v>
      </c>
      <c r="F7" s="1326">
        <v>7.71</v>
      </c>
      <c r="G7" s="1326">
        <v>10</v>
      </c>
      <c r="H7" s="1326">
        <v>12.02</v>
      </c>
      <c r="I7" s="1327">
        <v>1493</v>
      </c>
      <c r="J7" s="1326">
        <v>0.91500000000000004</v>
      </c>
      <c r="K7" s="1328">
        <v>0.05</v>
      </c>
      <c r="L7" s="1324" t="s">
        <v>1602</v>
      </c>
      <c r="S7" s="4"/>
    </row>
    <row r="8" spans="1:19">
      <c r="A8" s="1481"/>
      <c r="B8" s="1495"/>
      <c r="C8" s="1496"/>
      <c r="D8" s="1329">
        <v>42345</v>
      </c>
      <c r="E8" s="1325">
        <v>0.40277777777777773</v>
      </c>
      <c r="F8" s="1326">
        <v>8.09</v>
      </c>
      <c r="G8" s="1326">
        <v>1.5</v>
      </c>
      <c r="H8" s="1326">
        <v>16.04</v>
      </c>
      <c r="I8" s="1327">
        <v>1760</v>
      </c>
      <c r="J8" s="1326">
        <v>0.255</v>
      </c>
      <c r="K8" s="1328">
        <v>0.5</v>
      </c>
      <c r="L8" s="1324" t="s">
        <v>1602</v>
      </c>
    </row>
    <row r="9" spans="1:19">
      <c r="A9" s="1481"/>
      <c r="B9" s="1495" t="s">
        <v>403</v>
      </c>
      <c r="C9" s="1497" t="s">
        <v>897</v>
      </c>
      <c r="D9" s="1307">
        <v>42052</v>
      </c>
      <c r="E9" s="1330">
        <v>0.44444444444444442</v>
      </c>
      <c r="F9" s="1331">
        <v>8.31</v>
      </c>
      <c r="G9" s="1331">
        <v>0.4</v>
      </c>
      <c r="H9" s="1331">
        <v>15.35</v>
      </c>
      <c r="I9" s="1332">
        <v>1480</v>
      </c>
      <c r="J9" s="1331">
        <v>0.311</v>
      </c>
      <c r="K9" s="1333">
        <v>0.1</v>
      </c>
      <c r="L9" s="1334" t="s">
        <v>1602</v>
      </c>
    </row>
    <row r="10" spans="1:19">
      <c r="A10" s="1481"/>
      <c r="B10" s="1495"/>
      <c r="C10" s="1497"/>
      <c r="D10" s="1314">
        <v>42114</v>
      </c>
      <c r="E10" s="1335">
        <v>0.45833333333333331</v>
      </c>
      <c r="F10" s="1336">
        <v>8.15</v>
      </c>
      <c r="G10" s="1336">
        <v>7.8</v>
      </c>
      <c r="H10" s="1336">
        <v>10.29</v>
      </c>
      <c r="I10" s="1337">
        <v>965</v>
      </c>
      <c r="J10" s="1336">
        <v>1.44</v>
      </c>
      <c r="K10" s="1333">
        <v>0.25</v>
      </c>
      <c r="L10" s="1334" t="s">
        <v>1602</v>
      </c>
    </row>
    <row r="11" spans="1:19">
      <c r="A11" s="1481"/>
      <c r="B11" s="1495"/>
      <c r="C11" s="1497"/>
      <c r="D11" s="1028">
        <v>42170</v>
      </c>
      <c r="E11" s="1330"/>
      <c r="F11" s="1331"/>
      <c r="G11" s="1331"/>
      <c r="H11" s="1331"/>
      <c r="I11" s="1332"/>
      <c r="J11" s="1331"/>
      <c r="K11" s="1333"/>
      <c r="L11" s="1334"/>
    </row>
    <row r="12" spans="1:19">
      <c r="A12" s="1481"/>
      <c r="B12" s="1495"/>
      <c r="C12" s="1497"/>
      <c r="D12" s="1028">
        <v>42227</v>
      </c>
      <c r="E12" s="1330">
        <v>0.42708333333333331</v>
      </c>
      <c r="F12" s="1331">
        <v>8.0299999999999994</v>
      </c>
      <c r="G12" s="1331">
        <v>16.399999999999999</v>
      </c>
      <c r="H12" s="1331">
        <v>9.93</v>
      </c>
      <c r="I12" s="1332">
        <v>1429</v>
      </c>
      <c r="J12" s="1331">
        <v>0.82699999999999996</v>
      </c>
      <c r="K12" s="1333">
        <v>0.15</v>
      </c>
      <c r="L12" s="1334" t="s">
        <v>1602</v>
      </c>
    </row>
    <row r="13" spans="1:19">
      <c r="A13" s="1481"/>
      <c r="B13" s="1495"/>
      <c r="C13" s="1497"/>
      <c r="D13" s="1028">
        <v>42296</v>
      </c>
      <c r="E13" s="1330">
        <v>0.49652777777777773</v>
      </c>
      <c r="F13" s="1331">
        <v>7.92</v>
      </c>
      <c r="G13" s="1331">
        <v>10.4</v>
      </c>
      <c r="H13" s="1331">
        <v>13.9</v>
      </c>
      <c r="I13" s="1332">
        <v>1420</v>
      </c>
      <c r="J13" s="1331">
        <v>0.74</v>
      </c>
      <c r="K13" s="1333">
        <v>0.8</v>
      </c>
      <c r="L13" s="1334" t="s">
        <v>1602</v>
      </c>
    </row>
    <row r="14" spans="1:19">
      <c r="A14" s="1481"/>
      <c r="B14" s="1495"/>
      <c r="C14" s="1497"/>
      <c r="D14" s="1329">
        <v>42345</v>
      </c>
      <c r="E14" s="1330">
        <v>0.40972222222222227</v>
      </c>
      <c r="F14" s="1331">
        <v>8.11</v>
      </c>
      <c r="G14" s="1331">
        <v>1.4</v>
      </c>
      <c r="H14" s="1331">
        <v>17.059999999999999</v>
      </c>
      <c r="I14" s="1338">
        <v>1019</v>
      </c>
      <c r="J14" s="1331">
        <v>0.17899999999999999</v>
      </c>
      <c r="K14" s="1333">
        <v>0.8</v>
      </c>
      <c r="L14" s="1334" t="s">
        <v>1602</v>
      </c>
    </row>
    <row r="15" spans="1:19">
      <c r="A15" s="488"/>
      <c r="B15" s="489"/>
      <c r="C15" s="490"/>
      <c r="D15" s="491"/>
    </row>
    <row r="16" spans="1:19" ht="25">
      <c r="A16" s="497" t="s">
        <v>265</v>
      </c>
      <c r="B16" s="497" t="s">
        <v>10</v>
      </c>
      <c r="C16" s="498" t="s">
        <v>264</v>
      </c>
      <c r="D16" s="497" t="s">
        <v>144</v>
      </c>
      <c r="E16" s="499" t="s">
        <v>195</v>
      </c>
      <c r="F16" s="499" t="s">
        <v>223</v>
      </c>
      <c r="G16" s="499" t="s">
        <v>1073</v>
      </c>
      <c r="H16" s="499" t="s">
        <v>171</v>
      </c>
      <c r="J16" s="495"/>
      <c r="K16" s="495"/>
      <c r="L16" s="496"/>
    </row>
    <row r="17" spans="1:12">
      <c r="A17" s="1484" t="s">
        <v>686</v>
      </c>
      <c r="B17" s="1483" t="s">
        <v>401</v>
      </c>
      <c r="C17" s="1482" t="s">
        <v>896</v>
      </c>
      <c r="D17" s="641">
        <v>42052</v>
      </c>
      <c r="E17" s="638">
        <v>1677</v>
      </c>
      <c r="F17" s="638">
        <v>43</v>
      </c>
      <c r="G17" s="638">
        <v>1108</v>
      </c>
      <c r="H17" s="638">
        <v>24</v>
      </c>
      <c r="I17" s="631"/>
    </row>
    <row r="18" spans="1:12">
      <c r="A18" s="1484"/>
      <c r="B18" s="1483"/>
      <c r="C18" s="1482"/>
      <c r="D18" s="481">
        <v>42114</v>
      </c>
      <c r="E18" s="638">
        <v>2005</v>
      </c>
      <c r="F18" s="638">
        <v>20</v>
      </c>
      <c r="G18" s="638">
        <v>1487</v>
      </c>
      <c r="H18" s="638">
        <v>67</v>
      </c>
      <c r="K18" s="493"/>
      <c r="L18" s="494"/>
    </row>
    <row r="19" spans="1:12">
      <c r="A19" s="1484"/>
      <c r="B19" s="1483"/>
      <c r="C19" s="1482"/>
      <c r="D19" s="481">
        <v>42170</v>
      </c>
      <c r="E19" s="638">
        <v>2668</v>
      </c>
      <c r="F19" s="638">
        <v>47</v>
      </c>
      <c r="G19" s="638">
        <v>1612</v>
      </c>
      <c r="H19" s="638">
        <v>119</v>
      </c>
      <c r="K19" s="493"/>
      <c r="L19" s="494"/>
    </row>
    <row r="20" spans="1:12">
      <c r="A20" s="1484"/>
      <c r="B20" s="1483"/>
      <c r="C20" s="1482"/>
      <c r="D20" s="481">
        <v>42227</v>
      </c>
      <c r="E20" s="638">
        <v>1505</v>
      </c>
      <c r="F20" s="638">
        <v>38</v>
      </c>
      <c r="G20" s="638">
        <v>953</v>
      </c>
      <c r="H20" s="638">
        <v>102</v>
      </c>
      <c r="K20" s="493"/>
      <c r="L20" s="494"/>
    </row>
    <row r="21" spans="1:12" s="630" customFormat="1">
      <c r="A21" s="1484"/>
      <c r="B21" s="1483"/>
      <c r="C21" s="1482"/>
      <c r="D21" s="481">
        <v>42296</v>
      </c>
      <c r="E21" s="638">
        <v>2530</v>
      </c>
      <c r="F21" s="1069"/>
      <c r="G21" s="638"/>
      <c r="H21" s="1083">
        <v>27</v>
      </c>
      <c r="K21" s="493"/>
      <c r="L21" s="494"/>
    </row>
    <row r="22" spans="1:12">
      <c r="A22" s="1484"/>
      <c r="B22" s="1483"/>
      <c r="C22" s="1482"/>
      <c r="D22" s="642">
        <v>42345</v>
      </c>
      <c r="E22" s="638">
        <v>3936</v>
      </c>
      <c r="F22" s="638">
        <v>19</v>
      </c>
      <c r="G22" s="638">
        <v>3939</v>
      </c>
      <c r="H22" s="638">
        <v>28</v>
      </c>
      <c r="K22" s="493"/>
      <c r="L22" s="494"/>
    </row>
    <row r="23" spans="1:12">
      <c r="A23" s="1484"/>
      <c r="B23" s="1483" t="s">
        <v>403</v>
      </c>
      <c r="C23" s="1482" t="s">
        <v>897</v>
      </c>
      <c r="D23" s="641">
        <v>42052</v>
      </c>
      <c r="E23" s="638">
        <v>1655</v>
      </c>
      <c r="F23" s="638">
        <v>37</v>
      </c>
      <c r="G23" s="638">
        <v>1102</v>
      </c>
      <c r="H23" s="638">
        <v>25</v>
      </c>
      <c r="I23" s="631"/>
      <c r="K23" s="493"/>
      <c r="L23" s="494"/>
    </row>
    <row r="24" spans="1:12">
      <c r="A24" s="1484"/>
      <c r="B24" s="1483"/>
      <c r="C24" s="1482"/>
      <c r="D24" s="481">
        <v>42114</v>
      </c>
      <c r="E24" s="638">
        <v>1448</v>
      </c>
      <c r="F24" s="638">
        <v>23</v>
      </c>
      <c r="G24" s="638">
        <v>2093</v>
      </c>
      <c r="H24" s="638">
        <v>97</v>
      </c>
      <c r="I24" s="492"/>
      <c r="K24" s="493"/>
      <c r="L24" s="494"/>
    </row>
    <row r="25" spans="1:12">
      <c r="A25" s="1484"/>
      <c r="B25" s="1483"/>
      <c r="C25" s="1482"/>
      <c r="D25" s="481">
        <v>42170</v>
      </c>
      <c r="E25" s="638"/>
      <c r="F25" s="638"/>
      <c r="G25" s="638"/>
      <c r="H25" s="638"/>
    </row>
    <row r="26" spans="1:12">
      <c r="A26" s="1484"/>
      <c r="B26" s="1483"/>
      <c r="C26" s="1482"/>
      <c r="D26" s="481">
        <v>42227</v>
      </c>
      <c r="E26" s="638">
        <v>1374</v>
      </c>
      <c r="F26" s="638">
        <v>43</v>
      </c>
      <c r="G26" s="638">
        <v>826</v>
      </c>
      <c r="H26" s="638">
        <v>79</v>
      </c>
    </row>
    <row r="27" spans="1:12">
      <c r="A27" s="1484"/>
      <c r="B27" s="1483"/>
      <c r="C27" s="1482"/>
      <c r="D27" s="481">
        <v>42296</v>
      </c>
      <c r="E27" s="638">
        <v>2345</v>
      </c>
      <c r="F27" s="643"/>
      <c r="G27" s="638"/>
      <c r="H27" s="643">
        <v>15</v>
      </c>
    </row>
    <row r="28" spans="1:12" s="630" customFormat="1">
      <c r="A28" s="1484"/>
      <c r="B28" s="1483"/>
      <c r="C28" s="1482"/>
      <c r="D28" s="642">
        <v>42345</v>
      </c>
      <c r="E28" s="638">
        <v>3981</v>
      </c>
      <c r="F28" s="638">
        <v>15</v>
      </c>
      <c r="G28" s="638">
        <v>3853</v>
      </c>
      <c r="H28" s="638">
        <v>35</v>
      </c>
    </row>
    <row r="29" spans="1:12">
      <c r="A29" s="348"/>
      <c r="B29" s="193"/>
      <c r="C29" s="193"/>
      <c r="D29" s="352"/>
      <c r="E29" s="352"/>
      <c r="F29" s="352"/>
      <c r="G29" s="352"/>
    </row>
    <row r="30" spans="1:12">
      <c r="A30" s="348"/>
      <c r="B30" s="193"/>
      <c r="C30" s="193"/>
      <c r="D30" s="628">
        <v>60</v>
      </c>
      <c r="E30" s="628">
        <v>61</v>
      </c>
      <c r="F30" s="628">
        <v>61</v>
      </c>
      <c r="G30" s="628">
        <v>62</v>
      </c>
      <c r="H30" s="628">
        <v>61</v>
      </c>
      <c r="I30" s="628">
        <v>61</v>
      </c>
    </row>
    <row r="31" spans="1:12">
      <c r="A31" s="348"/>
      <c r="B31" s="193"/>
      <c r="C31" s="193"/>
      <c r="D31" s="355" t="s">
        <v>903</v>
      </c>
      <c r="E31" s="355" t="s">
        <v>898</v>
      </c>
      <c r="F31" s="365" t="s">
        <v>899</v>
      </c>
      <c r="G31" s="355" t="s">
        <v>900</v>
      </c>
      <c r="H31" s="355" t="s">
        <v>901</v>
      </c>
      <c r="I31" s="355" t="s">
        <v>902</v>
      </c>
    </row>
    <row r="32" spans="1:12">
      <c r="A32" s="348"/>
      <c r="B32" s="193"/>
      <c r="C32" s="193"/>
      <c r="D32" s="1486" t="s">
        <v>167</v>
      </c>
      <c r="E32" s="1487"/>
      <c r="F32" s="1487"/>
      <c r="G32" s="1487"/>
      <c r="H32" s="1487"/>
      <c r="I32" s="1488"/>
    </row>
    <row r="33" spans="1:11">
      <c r="A33" s="348"/>
      <c r="B33" s="193"/>
      <c r="C33" s="193" t="s">
        <v>904</v>
      </c>
      <c r="D33" s="487">
        <f>J3</f>
        <v>0.11</v>
      </c>
      <c r="E33" s="487">
        <f>J4</f>
        <v>1.87</v>
      </c>
      <c r="F33" s="487">
        <f>J5</f>
        <v>2.3140000000000001</v>
      </c>
      <c r="G33" s="487">
        <f>J6</f>
        <v>1.71</v>
      </c>
      <c r="H33" s="487">
        <f>J7</f>
        <v>0.91500000000000004</v>
      </c>
      <c r="I33" s="487">
        <f>J8</f>
        <v>0.255</v>
      </c>
    </row>
    <row r="34" spans="1:11">
      <c r="A34" s="348"/>
      <c r="B34" s="193"/>
      <c r="C34" s="193" t="s">
        <v>905</v>
      </c>
      <c r="D34" s="487">
        <f>J9</f>
        <v>0.311</v>
      </c>
      <c r="E34" s="487">
        <f>J10</f>
        <v>1.44</v>
      </c>
      <c r="F34" s="487">
        <f>J11</f>
        <v>0</v>
      </c>
      <c r="G34" s="487">
        <f>J12</f>
        <v>0.82699999999999996</v>
      </c>
      <c r="H34" s="487">
        <f>J13</f>
        <v>0.74</v>
      </c>
      <c r="I34" s="487">
        <f>J14</f>
        <v>0.17899999999999999</v>
      </c>
    </row>
    <row r="35" spans="1:11">
      <c r="A35" s="348"/>
      <c r="B35" s="193"/>
      <c r="C35" s="193"/>
      <c r="D35" s="1489" t="s">
        <v>906</v>
      </c>
      <c r="E35" s="1490"/>
      <c r="F35" s="1490"/>
      <c r="G35" s="1490"/>
      <c r="H35" s="1490"/>
      <c r="I35" s="1491"/>
    </row>
    <row r="36" spans="1:11">
      <c r="A36" s="348"/>
      <c r="B36" s="193"/>
      <c r="C36" s="193" t="s">
        <v>904</v>
      </c>
      <c r="D36" s="500">
        <f t="shared" ref="D36:I37" si="0">D33*1.983</f>
        <v>0.21813000000000002</v>
      </c>
      <c r="E36" s="500">
        <f t="shared" si="0"/>
        <v>3.7082100000000002</v>
      </c>
      <c r="F36" s="500">
        <f t="shared" si="0"/>
        <v>4.5886620000000002</v>
      </c>
      <c r="G36" s="500">
        <f t="shared" si="0"/>
        <v>3.39093</v>
      </c>
      <c r="H36" s="500">
        <f t="shared" si="0"/>
        <v>1.8144450000000001</v>
      </c>
      <c r="I36" s="500">
        <f t="shared" si="0"/>
        <v>0.50566500000000003</v>
      </c>
    </row>
    <row r="37" spans="1:11">
      <c r="A37" s="348"/>
      <c r="B37" s="193"/>
      <c r="C37" s="193" t="s">
        <v>905</v>
      </c>
      <c r="D37" s="500">
        <f t="shared" si="0"/>
        <v>0.61671300000000007</v>
      </c>
      <c r="E37" s="500">
        <f t="shared" si="0"/>
        <v>2.8555199999999998</v>
      </c>
      <c r="F37" s="500">
        <f t="shared" si="0"/>
        <v>0</v>
      </c>
      <c r="G37" s="500">
        <f t="shared" si="0"/>
        <v>1.6399410000000001</v>
      </c>
      <c r="H37" s="500">
        <f t="shared" si="0"/>
        <v>1.4674199999999999</v>
      </c>
      <c r="I37" s="500">
        <f t="shared" si="0"/>
        <v>0.35495700000000002</v>
      </c>
    </row>
    <row r="38" spans="1:11">
      <c r="D38" s="1492" t="s">
        <v>907</v>
      </c>
      <c r="E38" s="1493"/>
      <c r="F38" s="1493"/>
      <c r="G38" s="1493"/>
      <c r="H38" s="1493"/>
      <c r="I38" s="1494"/>
    </row>
    <row r="39" spans="1:11">
      <c r="A39" s="348"/>
      <c r="B39" s="193"/>
      <c r="C39" s="193" t="s">
        <v>904</v>
      </c>
      <c r="D39" s="425">
        <f>$D$30*D36</f>
        <v>13.087800000000001</v>
      </c>
      <c r="E39" s="425">
        <f t="shared" ref="E39:I39" si="1">$D$30*E36</f>
        <v>222.49260000000001</v>
      </c>
      <c r="F39" s="425">
        <f t="shared" si="1"/>
        <v>275.31972000000002</v>
      </c>
      <c r="G39" s="425">
        <f t="shared" si="1"/>
        <v>203.45580000000001</v>
      </c>
      <c r="H39" s="425">
        <f t="shared" si="1"/>
        <v>108.86670000000001</v>
      </c>
      <c r="I39" s="425">
        <f t="shared" si="1"/>
        <v>30.3399</v>
      </c>
      <c r="J39" s="504">
        <f>SUM(D39:I39)</f>
        <v>853.56251999999995</v>
      </c>
    </row>
    <row r="40" spans="1:11">
      <c r="A40" s="348"/>
      <c r="B40" s="193"/>
      <c r="C40" s="193" t="s">
        <v>905</v>
      </c>
      <c r="D40" s="425">
        <f>$D$30*D37</f>
        <v>37.002780000000001</v>
      </c>
      <c r="E40" s="425">
        <f>$E$30*E37</f>
        <v>174.18671999999998</v>
      </c>
      <c r="F40" s="425">
        <f>$F$30*F37</f>
        <v>0</v>
      </c>
      <c r="G40" s="425">
        <f>$G$30*G37</f>
        <v>101.67634200000001</v>
      </c>
      <c r="H40" s="425">
        <f>$H$30*H37</f>
        <v>89.512619999999998</v>
      </c>
      <c r="I40" s="425">
        <f>$I$30*I37</f>
        <v>21.652377000000001</v>
      </c>
      <c r="J40" s="504">
        <f>SUM(D40:I40)</f>
        <v>424.03083900000001</v>
      </c>
    </row>
    <row r="41" spans="1:11">
      <c r="A41" s="348"/>
      <c r="B41" s="193"/>
      <c r="C41" s="193"/>
      <c r="D41" s="352"/>
      <c r="E41" s="352"/>
      <c r="F41" s="352"/>
      <c r="G41" s="352"/>
      <c r="J41">
        <f>SUM(J39:J40)</f>
        <v>1277.593359</v>
      </c>
    </row>
    <row r="42" spans="1:11">
      <c r="A42" s="348"/>
      <c r="B42" s="193"/>
      <c r="C42" s="193"/>
      <c r="D42" s="644">
        <v>2.7230000000000002E-3</v>
      </c>
      <c r="E42" s="352"/>
      <c r="F42" s="446"/>
      <c r="G42" s="352"/>
    </row>
    <row r="43" spans="1:11">
      <c r="A43" s="348"/>
      <c r="B43" s="193"/>
      <c r="C43" s="193"/>
      <c r="D43" s="349"/>
      <c r="F43" s="501" t="s">
        <v>909</v>
      </c>
      <c r="G43" s="501"/>
      <c r="H43" s="501"/>
      <c r="I43" s="501"/>
    </row>
    <row r="44" spans="1:11" ht="25">
      <c r="A44" s="348"/>
      <c r="B44" s="193"/>
      <c r="C44" s="498" t="s">
        <v>264</v>
      </c>
      <c r="D44" s="497" t="s">
        <v>144</v>
      </c>
      <c r="E44" s="502" t="s">
        <v>910</v>
      </c>
      <c r="F44" s="499" t="s">
        <v>195</v>
      </c>
      <c r="G44" s="499" t="s">
        <v>223</v>
      </c>
      <c r="H44" s="499" t="s">
        <v>908</v>
      </c>
      <c r="I44" s="499" t="s">
        <v>171</v>
      </c>
    </row>
    <row r="45" spans="1:11">
      <c r="A45" s="348"/>
      <c r="B45" s="193"/>
      <c r="C45" s="1482" t="s">
        <v>896</v>
      </c>
      <c r="D45" s="355" t="s">
        <v>903</v>
      </c>
      <c r="E45" s="151">
        <f>D39</f>
        <v>13.087800000000001</v>
      </c>
      <c r="F45" s="98">
        <f>$E45*$D$42*E17</f>
        <v>59.765059153800017</v>
      </c>
      <c r="G45" s="98">
        <f>$E45*$D$42*$F17</f>
        <v>1.5324374142000003</v>
      </c>
      <c r="H45" s="98">
        <f>$E45*$D$42*G17</f>
        <v>39.486991975200006</v>
      </c>
      <c r="I45" s="98">
        <f>$E45*$D$42*H17</f>
        <v>0.8553139056000002</v>
      </c>
      <c r="J45" s="503"/>
      <c r="K45" s="54"/>
    </row>
    <row r="46" spans="1:11">
      <c r="A46" s="348"/>
      <c r="B46" s="193"/>
      <c r="C46" s="1482"/>
      <c r="D46" s="355" t="s">
        <v>898</v>
      </c>
      <c r="E46" s="151">
        <f>E39</f>
        <v>222.49260000000001</v>
      </c>
      <c r="F46" s="98">
        <f t="shared" ref="F46:F56" si="2">$E46*$D$42*E18</f>
        <v>1214.7239363490003</v>
      </c>
      <c r="G46" s="98">
        <f t="shared" ref="G46:G56" si="3">$E46*$D$42*$F18</f>
        <v>12.116946996000003</v>
      </c>
      <c r="H46" s="98">
        <f t="shared" ref="H46:I56" si="4">$E46*$D$42*G18</f>
        <v>900.8950091526001</v>
      </c>
      <c r="I46" s="98">
        <f t="shared" si="4"/>
        <v>40.59177243660001</v>
      </c>
      <c r="K46" s="54"/>
    </row>
    <row r="47" spans="1:11">
      <c r="C47" s="1482"/>
      <c r="D47" s="365" t="s">
        <v>899</v>
      </c>
      <c r="E47" s="151">
        <f>F39</f>
        <v>275.31972000000002</v>
      </c>
      <c r="F47" s="98">
        <f t="shared" si="2"/>
        <v>2000.1878542900802</v>
      </c>
      <c r="G47" s="98">
        <f t="shared" si="3"/>
        <v>35.235693085320001</v>
      </c>
      <c r="H47" s="98">
        <f t="shared" si="4"/>
        <v>1208.5093032667201</v>
      </c>
      <c r="I47" s="98">
        <f t="shared" si="4"/>
        <v>89.213776109640008</v>
      </c>
      <c r="J47" t="s">
        <v>1735</v>
      </c>
      <c r="K47" s="54">
        <f>SUM(I45:I56)</f>
        <v>273.60623026965902</v>
      </c>
    </row>
    <row r="48" spans="1:11">
      <c r="A48" s="348"/>
      <c r="B48" s="193"/>
      <c r="C48" s="1482"/>
      <c r="D48" s="355" t="s">
        <v>900</v>
      </c>
      <c r="E48" s="151">
        <f>G39</f>
        <v>203.45580000000001</v>
      </c>
      <c r="F48" s="98">
        <f t="shared" si="2"/>
        <v>833.7852658170001</v>
      </c>
      <c r="G48" s="98">
        <f t="shared" si="3"/>
        <v>21.052385449200003</v>
      </c>
      <c r="H48" s="98">
        <f t="shared" si="4"/>
        <v>527.97166666020007</v>
      </c>
      <c r="I48" s="98">
        <f t="shared" si="4"/>
        <v>56.509034626800009</v>
      </c>
      <c r="K48" s="54"/>
    </row>
    <row r="49" spans="1:12">
      <c r="A49" s="348"/>
      <c r="B49" s="193"/>
      <c r="C49" s="1482"/>
      <c r="D49" s="355" t="s">
        <v>901</v>
      </c>
      <c r="E49" s="151">
        <f>H39</f>
        <v>108.86670000000001</v>
      </c>
      <c r="F49" s="98">
        <f>$E49*$D$42*E22</f>
        <v>1166.8036788576001</v>
      </c>
      <c r="G49" s="98">
        <f t="shared" si="3"/>
        <v>0</v>
      </c>
      <c r="H49" s="98">
        <f t="shared" si="4"/>
        <v>0</v>
      </c>
      <c r="I49" s="98">
        <f t="shared" si="4"/>
        <v>8.0039886507000002</v>
      </c>
      <c r="K49" s="54"/>
    </row>
    <row r="50" spans="1:12">
      <c r="A50" s="348"/>
      <c r="B50" s="193"/>
      <c r="C50" s="1482"/>
      <c r="D50" s="355" t="s">
        <v>902</v>
      </c>
      <c r="E50" s="151">
        <f>I39</f>
        <v>30.3399</v>
      </c>
      <c r="F50" s="98">
        <f>$E50*$D$42*E23</f>
        <v>136.72873144350001</v>
      </c>
      <c r="G50" s="98">
        <f t="shared" si="3"/>
        <v>1.5696954062999999</v>
      </c>
      <c r="H50" s="98">
        <f t="shared" si="4"/>
        <v>325.42264239029998</v>
      </c>
      <c r="I50" s="98">
        <f t="shared" si="4"/>
        <v>2.3132353355999999</v>
      </c>
      <c r="K50" s="54"/>
    </row>
    <row r="51" spans="1:12">
      <c r="A51" s="348"/>
      <c r="B51" s="193"/>
      <c r="C51" s="1482" t="s">
        <v>897</v>
      </c>
      <c r="D51" s="355" t="s">
        <v>903</v>
      </c>
      <c r="E51" s="98">
        <f>D40</f>
        <v>37.002780000000001</v>
      </c>
      <c r="F51" s="98">
        <f t="shared" si="2"/>
        <v>166.75543325070004</v>
      </c>
      <c r="G51" s="98">
        <f t="shared" si="3"/>
        <v>3.7280670877800004</v>
      </c>
      <c r="H51" s="98">
        <f t="shared" si="4"/>
        <v>111.03594407388002</v>
      </c>
      <c r="I51" s="98">
        <f t="shared" si="4"/>
        <v>2.5189642485000006</v>
      </c>
      <c r="J51" s="503"/>
      <c r="K51" s="54"/>
    </row>
    <row r="52" spans="1:12">
      <c r="A52" s="348"/>
      <c r="B52" s="193"/>
      <c r="C52" s="1482"/>
      <c r="D52" s="355" t="s">
        <v>898</v>
      </c>
      <c r="E52" s="98">
        <f>E40</f>
        <v>174.18671999999998</v>
      </c>
      <c r="F52" s="98">
        <f t="shared" si="2"/>
        <v>686.80151503488003</v>
      </c>
      <c r="G52" s="98">
        <f t="shared" si="3"/>
        <v>10.909140086879999</v>
      </c>
      <c r="H52" s="98">
        <f t="shared" si="4"/>
        <v>992.73174790607993</v>
      </c>
      <c r="I52" s="98">
        <f t="shared" si="4"/>
        <v>46.008112540319999</v>
      </c>
      <c r="J52" t="s">
        <v>1735</v>
      </c>
      <c r="K52" s="54"/>
    </row>
    <row r="53" spans="1:12">
      <c r="A53" s="348"/>
      <c r="B53" s="193"/>
      <c r="C53" s="1482"/>
      <c r="D53" s="365" t="s">
        <v>899</v>
      </c>
      <c r="E53" s="98">
        <f>F40</f>
        <v>0</v>
      </c>
      <c r="F53" s="98">
        <f t="shared" si="2"/>
        <v>0</v>
      </c>
      <c r="G53" s="98">
        <f t="shared" si="3"/>
        <v>0</v>
      </c>
      <c r="H53" s="98">
        <f t="shared" si="4"/>
        <v>0</v>
      </c>
      <c r="I53" s="98">
        <f t="shared" si="4"/>
        <v>0</v>
      </c>
    </row>
    <row r="54" spans="1:12">
      <c r="A54" s="348"/>
      <c r="B54" s="193"/>
      <c r="C54" s="1482"/>
      <c r="D54" s="355" t="s">
        <v>900</v>
      </c>
      <c r="E54" s="98">
        <f>G40</f>
        <v>101.67634200000001</v>
      </c>
      <c r="F54" s="98">
        <f t="shared" si="2"/>
        <v>380.41206931148406</v>
      </c>
      <c r="G54" s="98">
        <f t="shared" si="3"/>
        <v>11.905181208438002</v>
      </c>
      <c r="H54" s="98">
        <f t="shared" si="4"/>
        <v>228.69022507371605</v>
      </c>
      <c r="I54" s="98">
        <f t="shared" si="4"/>
        <v>21.872309662014004</v>
      </c>
    </row>
    <row r="55" spans="1:12">
      <c r="A55" s="348"/>
      <c r="B55" s="193"/>
      <c r="C55" s="1482"/>
      <c r="D55" s="355" t="s">
        <v>901</v>
      </c>
      <c r="E55" s="151">
        <f>H40</f>
        <v>89.512619999999998</v>
      </c>
      <c r="F55" s="98">
        <f t="shared" si="2"/>
        <v>571.57701668970003</v>
      </c>
      <c r="G55" s="98">
        <f t="shared" si="3"/>
        <v>0</v>
      </c>
      <c r="H55" s="98">
        <f t="shared" si="4"/>
        <v>0</v>
      </c>
      <c r="I55" s="98">
        <f t="shared" si="4"/>
        <v>3.6561429638999998</v>
      </c>
    </row>
    <row r="56" spans="1:12">
      <c r="A56" s="348"/>
      <c r="B56" s="193"/>
      <c r="C56" s="1482"/>
      <c r="D56" s="355" t="s">
        <v>902</v>
      </c>
      <c r="E56" s="98">
        <f>I40</f>
        <v>21.652377000000001</v>
      </c>
      <c r="F56" s="98">
        <f t="shared" si="2"/>
        <v>234.71746125515102</v>
      </c>
      <c r="G56" s="98">
        <f t="shared" si="3"/>
        <v>0.88439133856500018</v>
      </c>
      <c r="H56" s="98">
        <f t="shared" si="4"/>
        <v>227.17065516606303</v>
      </c>
      <c r="I56" s="98">
        <f t="shared" si="4"/>
        <v>2.0635797899850004</v>
      </c>
    </row>
    <row r="57" spans="1:12">
      <c r="I57" s="1213">
        <f>SUM(I45:I56)</f>
        <v>273.60623026965902</v>
      </c>
    </row>
    <row r="58" spans="1:12">
      <c r="A58" s="348"/>
      <c r="B58" s="193"/>
      <c r="C58" s="193"/>
      <c r="D58" s="349"/>
      <c r="E58" s="1485" t="s">
        <v>911</v>
      </c>
      <c r="F58" s="1485"/>
      <c r="G58" s="1485"/>
      <c r="H58" s="1485"/>
      <c r="I58" s="1485"/>
    </row>
    <row r="59" spans="1:12" ht="23">
      <c r="A59" s="348"/>
      <c r="B59" s="193"/>
      <c r="C59" s="193"/>
      <c r="D59" s="349"/>
      <c r="E59" s="629" t="s">
        <v>912</v>
      </c>
      <c r="F59" s="645" t="s">
        <v>195</v>
      </c>
      <c r="G59" s="645" t="s">
        <v>223</v>
      </c>
      <c r="H59" s="645" t="s">
        <v>908</v>
      </c>
      <c r="I59" s="645" t="s">
        <v>171</v>
      </c>
    </row>
    <row r="60" spans="1:12">
      <c r="A60" s="348"/>
      <c r="B60" s="193"/>
      <c r="C60" s="193" t="s">
        <v>904</v>
      </c>
      <c r="D60" s="352"/>
      <c r="E60" s="424">
        <f>SUM(E45:E50)</f>
        <v>853.56251999999995</v>
      </c>
      <c r="F60" s="424">
        <f>SUM(F45:F50)</f>
        <v>5411.9945259109809</v>
      </c>
      <c r="G60" s="424">
        <f>SUM(G45:G50)</f>
        <v>71.50715835102001</v>
      </c>
      <c r="H60" s="424">
        <f>SUM(H45:H50)</f>
        <v>3002.2856134450203</v>
      </c>
      <c r="I60" s="424">
        <f>SUM(I45:I50)</f>
        <v>197.48712106494003</v>
      </c>
    </row>
    <row r="61" spans="1:12">
      <c r="A61" s="348"/>
      <c r="B61" s="193"/>
      <c r="C61" s="193" t="s">
        <v>905</v>
      </c>
      <c r="D61" s="352"/>
      <c r="E61" s="424">
        <f>SUM(E51:E56)</f>
        <v>424.03083900000001</v>
      </c>
      <c r="F61" s="424">
        <f>SUM(F51:F56)</f>
        <v>2040.2634955419151</v>
      </c>
      <c r="G61" s="424">
        <f>SUM(G51:G56)</f>
        <v>27.426779721662999</v>
      </c>
      <c r="H61" s="424">
        <f>SUM(H51:H56)</f>
        <v>1559.6285722197388</v>
      </c>
      <c r="I61" s="424">
        <f>SUM(I51:I56)</f>
        <v>76.119109204718995</v>
      </c>
    </row>
    <row r="62" spans="1:12">
      <c r="A62" s="348"/>
      <c r="B62" s="193"/>
      <c r="C62" s="193"/>
      <c r="D62" s="352"/>
      <c r="E62" s="352"/>
      <c r="F62" s="446"/>
      <c r="G62" s="352" t="s">
        <v>913</v>
      </c>
    </row>
    <row r="63" spans="1:12">
      <c r="A63" s="348"/>
      <c r="B63" s="193"/>
      <c r="C63" s="193" t="s">
        <v>904</v>
      </c>
      <c r="D63" s="349"/>
      <c r="E63" s="424"/>
      <c r="F63" s="424">
        <f>AVERAGE(F45:F50)</f>
        <v>901.99908765183011</v>
      </c>
      <c r="G63" s="424">
        <f>AVERAGE(G45:G50)</f>
        <v>11.917859725170002</v>
      </c>
      <c r="H63" s="424">
        <f>AVERAGE(H45:H50)</f>
        <v>500.38093557417005</v>
      </c>
      <c r="I63" s="424">
        <f>AVERAGE(I45:I50)</f>
        <v>32.914520177490004</v>
      </c>
      <c r="J63" t="s">
        <v>1736</v>
      </c>
      <c r="K63">
        <v>21.7</v>
      </c>
      <c r="L63" t="s">
        <v>1737</v>
      </c>
    </row>
    <row r="64" spans="1:12">
      <c r="A64" s="348"/>
      <c r="B64" s="193"/>
      <c r="C64" s="193" t="s">
        <v>905</v>
      </c>
      <c r="D64" s="352"/>
      <c r="E64" s="424"/>
      <c r="F64" s="424">
        <f>AVERAGE(F51:F56)</f>
        <v>340.04391592365249</v>
      </c>
      <c r="G64" s="424">
        <f>AVERAGE(G51:G56)</f>
        <v>4.5711299536104999</v>
      </c>
      <c r="H64" s="424">
        <f>AVERAGE(H51:H56)</f>
        <v>259.93809536995644</v>
      </c>
      <c r="I64" s="424">
        <f>AVERAGE(I51:I56)</f>
        <v>12.6865182007865</v>
      </c>
      <c r="J64" s="710" t="s">
        <v>1736</v>
      </c>
      <c r="K64">
        <v>6</v>
      </c>
      <c r="L64" s="710" t="s">
        <v>1737</v>
      </c>
    </row>
    <row r="65" spans="1:7">
      <c r="A65" s="348"/>
      <c r="B65" s="193"/>
      <c r="C65" s="193"/>
      <c r="D65" s="352"/>
      <c r="E65" s="352"/>
      <c r="F65" s="352"/>
      <c r="G65" s="352"/>
    </row>
    <row r="66" spans="1:7">
      <c r="A66" s="348"/>
      <c r="B66" s="193"/>
      <c r="C66" s="193"/>
      <c r="D66" s="352"/>
      <c r="E66" s="352"/>
      <c r="F66" s="446"/>
      <c r="G66" s="352"/>
    </row>
    <row r="68" spans="1:7">
      <c r="A68" s="348"/>
      <c r="B68" s="193"/>
      <c r="C68" s="193"/>
      <c r="D68" s="349"/>
      <c r="E68" s="352"/>
      <c r="F68" s="446"/>
      <c r="G68" s="352"/>
    </row>
    <row r="69" spans="1:7">
      <c r="A69" s="348"/>
      <c r="B69" s="193"/>
      <c r="C69" s="193"/>
      <c r="D69" s="352"/>
      <c r="E69" s="352"/>
      <c r="F69" s="352"/>
      <c r="G69" s="352"/>
    </row>
    <row r="70" spans="1:7">
      <c r="A70" s="348"/>
      <c r="B70" s="193"/>
      <c r="C70" s="193"/>
      <c r="D70" s="352"/>
      <c r="E70" s="352"/>
      <c r="F70" s="352"/>
      <c r="G70" s="352"/>
    </row>
    <row r="71" spans="1:7">
      <c r="A71" s="348"/>
      <c r="B71" s="193"/>
      <c r="C71" s="193"/>
      <c r="D71" s="352"/>
      <c r="E71" s="352"/>
      <c r="F71" s="446"/>
      <c r="G71" s="352"/>
    </row>
    <row r="72" spans="1:7">
      <c r="A72" s="348"/>
      <c r="B72" s="193"/>
      <c r="C72" s="193"/>
      <c r="D72" s="349"/>
      <c r="E72" s="352"/>
      <c r="F72" s="446"/>
      <c r="G72" s="352"/>
    </row>
    <row r="73" spans="1:7">
      <c r="A73" s="348"/>
      <c r="B73" s="193"/>
      <c r="C73" s="193"/>
      <c r="D73" s="352"/>
      <c r="E73" s="352"/>
      <c r="F73" s="352"/>
      <c r="G73" s="352"/>
    </row>
    <row r="74" spans="1:7">
      <c r="A74" s="348"/>
      <c r="B74" s="193"/>
      <c r="C74" s="193"/>
      <c r="D74" s="352"/>
      <c r="E74" s="352"/>
      <c r="F74" s="352"/>
      <c r="G74" s="352"/>
    </row>
    <row r="75" spans="1:7">
      <c r="A75" s="348"/>
      <c r="B75" s="193"/>
      <c r="C75" s="193"/>
      <c r="D75" s="352"/>
      <c r="E75" s="352"/>
      <c r="F75" s="446"/>
      <c r="G75" s="352"/>
    </row>
  </sheetData>
  <mergeCells count="16">
    <mergeCell ref="A3:A14"/>
    <mergeCell ref="C23:C28"/>
    <mergeCell ref="B23:B28"/>
    <mergeCell ref="A17:A28"/>
    <mergeCell ref="E58:I58"/>
    <mergeCell ref="D32:I32"/>
    <mergeCell ref="D35:I35"/>
    <mergeCell ref="D38:I38"/>
    <mergeCell ref="C45:C50"/>
    <mergeCell ref="C51:C56"/>
    <mergeCell ref="B3:B8"/>
    <mergeCell ref="B17:B22"/>
    <mergeCell ref="C17:C22"/>
    <mergeCell ref="C3:C8"/>
    <mergeCell ref="C9:C14"/>
    <mergeCell ref="B9:B1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2:N170"/>
  <sheetViews>
    <sheetView topLeftCell="A97" workbookViewId="0">
      <selection activeCell="P123" sqref="P123"/>
    </sheetView>
  </sheetViews>
  <sheetFormatPr defaultRowHeight="14"/>
  <cols>
    <col min="1" max="1" width="10.6328125" bestFit="1" customWidth="1"/>
    <col min="2" max="2" width="9.36328125" bestFit="1" customWidth="1"/>
    <col min="3" max="3" width="14.6328125" bestFit="1" customWidth="1"/>
    <col min="4" max="4" width="14" bestFit="1" customWidth="1"/>
    <col min="5" max="5" width="24.45312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</cols>
  <sheetData>
    <row r="2" spans="1:14">
      <c r="A2" s="966" t="s">
        <v>1097</v>
      </c>
      <c r="B2" s="966" t="s">
        <v>1098</v>
      </c>
      <c r="C2" s="443" t="s">
        <v>1099</v>
      </c>
      <c r="D2" s="443" t="s">
        <v>1100</v>
      </c>
      <c r="E2" s="966" t="s">
        <v>1101</v>
      </c>
      <c r="F2" s="966" t="s">
        <v>1102</v>
      </c>
      <c r="G2" s="966" t="s">
        <v>1103</v>
      </c>
      <c r="H2" s="966" t="s">
        <v>1104</v>
      </c>
      <c r="I2" s="967" t="s">
        <v>1104</v>
      </c>
      <c r="J2" s="966" t="s">
        <v>1105</v>
      </c>
      <c r="K2" s="966" t="s">
        <v>1106</v>
      </c>
      <c r="L2" s="444" t="s">
        <v>1107</v>
      </c>
      <c r="M2" s="444" t="s">
        <v>652</v>
      </c>
      <c r="N2" s="443" t="s">
        <v>975</v>
      </c>
    </row>
    <row r="3" spans="1:14">
      <c r="A3" s="562" t="s">
        <v>1340</v>
      </c>
      <c r="B3" s="560">
        <v>52</v>
      </c>
      <c r="C3" s="193">
        <v>42009</v>
      </c>
      <c r="D3" s="193">
        <v>42009</v>
      </c>
      <c r="E3" s="561" t="s">
        <v>195</v>
      </c>
      <c r="F3" s="562" t="s">
        <v>1110</v>
      </c>
      <c r="G3" s="563" t="s">
        <v>1111</v>
      </c>
      <c r="H3" s="562">
        <v>917</v>
      </c>
      <c r="I3" s="560">
        <v>917</v>
      </c>
      <c r="J3" s="562"/>
      <c r="K3" s="377" t="s">
        <v>1112</v>
      </c>
      <c r="L3" s="447">
        <v>6</v>
      </c>
      <c r="M3" s="447">
        <v>42</v>
      </c>
      <c r="N3" s="448">
        <v>42011</v>
      </c>
    </row>
    <row r="4" spans="1:14">
      <c r="A4" s="562" t="s">
        <v>1340</v>
      </c>
      <c r="B4" s="560">
        <v>52</v>
      </c>
      <c r="C4" s="193">
        <v>42009</v>
      </c>
      <c r="D4" s="193">
        <v>42009</v>
      </c>
      <c r="E4" s="562" t="s">
        <v>177</v>
      </c>
      <c r="F4" s="562" t="s">
        <v>1110</v>
      </c>
      <c r="G4" s="562" t="s">
        <v>1113</v>
      </c>
      <c r="H4" s="562">
        <v>614</v>
      </c>
      <c r="I4" s="560">
        <v>614</v>
      </c>
      <c r="J4" s="562"/>
      <c r="K4" s="562" t="s">
        <v>1112</v>
      </c>
      <c r="L4" s="447">
        <v>2</v>
      </c>
      <c r="M4" s="447">
        <v>8</v>
      </c>
      <c r="N4" s="448">
        <v>42010</v>
      </c>
    </row>
    <row r="5" spans="1:14">
      <c r="A5" s="562" t="s">
        <v>1340</v>
      </c>
      <c r="B5" s="560">
        <v>52</v>
      </c>
      <c r="C5" s="193">
        <v>42009</v>
      </c>
      <c r="D5" s="193">
        <v>42009</v>
      </c>
      <c r="E5" s="562" t="s">
        <v>223</v>
      </c>
      <c r="F5" s="562" t="s">
        <v>1110</v>
      </c>
      <c r="G5" s="562" t="s">
        <v>1114</v>
      </c>
      <c r="H5" s="562">
        <v>57</v>
      </c>
      <c r="I5" s="560">
        <v>57</v>
      </c>
      <c r="J5" s="562"/>
      <c r="K5" s="377" t="s">
        <v>1112</v>
      </c>
      <c r="L5" s="449">
        <v>5</v>
      </c>
      <c r="M5" s="449">
        <v>35</v>
      </c>
      <c r="N5" s="448">
        <v>42013</v>
      </c>
    </row>
    <row r="6" spans="1:14">
      <c r="A6" s="562" t="s">
        <v>1340</v>
      </c>
      <c r="B6" s="560">
        <v>52</v>
      </c>
      <c r="C6" s="193">
        <v>42009</v>
      </c>
      <c r="D6" s="193">
        <v>42009</v>
      </c>
      <c r="E6" s="562" t="s">
        <v>171</v>
      </c>
      <c r="F6" s="562" t="s">
        <v>1110</v>
      </c>
      <c r="G6" s="563" t="s">
        <v>1116</v>
      </c>
      <c r="H6" s="562">
        <v>19</v>
      </c>
      <c r="I6" s="560">
        <v>19</v>
      </c>
      <c r="J6" s="562"/>
      <c r="K6" s="562" t="s">
        <v>1112</v>
      </c>
      <c r="L6" s="447">
        <v>2</v>
      </c>
      <c r="M6" s="447">
        <v>8</v>
      </c>
      <c r="N6" s="448">
        <v>42011</v>
      </c>
    </row>
    <row r="7" spans="1:14">
      <c r="A7" s="562" t="s">
        <v>1341</v>
      </c>
      <c r="B7" s="829">
        <v>53</v>
      </c>
      <c r="C7" s="193">
        <v>42009</v>
      </c>
      <c r="D7" s="193">
        <v>42009</v>
      </c>
      <c r="E7" s="561" t="s">
        <v>195</v>
      </c>
      <c r="F7" s="562" t="s">
        <v>1110</v>
      </c>
      <c r="G7" s="563" t="s">
        <v>1111</v>
      </c>
      <c r="H7" s="562">
        <v>512</v>
      </c>
      <c r="I7" s="560">
        <v>512</v>
      </c>
      <c r="J7" s="562"/>
      <c r="K7" s="377" t="s">
        <v>1112</v>
      </c>
      <c r="L7" s="447">
        <v>6</v>
      </c>
      <c r="M7" s="447">
        <v>42</v>
      </c>
      <c r="N7" s="448">
        <v>42011</v>
      </c>
    </row>
    <row r="8" spans="1:14">
      <c r="A8" s="562" t="s">
        <v>1341</v>
      </c>
      <c r="B8" s="829">
        <v>53</v>
      </c>
      <c r="C8" s="193">
        <v>42009</v>
      </c>
      <c r="D8" s="193">
        <v>42009</v>
      </c>
      <c r="E8" s="562" t="s">
        <v>177</v>
      </c>
      <c r="F8" s="562" t="s">
        <v>1110</v>
      </c>
      <c r="G8" s="562" t="s">
        <v>1113</v>
      </c>
      <c r="H8" s="562">
        <v>355</v>
      </c>
      <c r="I8" s="560">
        <v>355</v>
      </c>
      <c r="J8" s="562"/>
      <c r="K8" s="562" t="s">
        <v>1112</v>
      </c>
      <c r="L8" s="447">
        <v>2</v>
      </c>
      <c r="M8" s="447">
        <v>8</v>
      </c>
      <c r="N8" s="448">
        <v>42010</v>
      </c>
    </row>
    <row r="9" spans="1:14">
      <c r="A9" s="562" t="s">
        <v>1341</v>
      </c>
      <c r="B9" s="829">
        <v>53</v>
      </c>
      <c r="C9" s="193">
        <v>42009</v>
      </c>
      <c r="D9" s="193">
        <v>42009</v>
      </c>
      <c r="E9" s="562" t="s">
        <v>223</v>
      </c>
      <c r="F9" s="562" t="s">
        <v>1110</v>
      </c>
      <c r="G9" s="562" t="s">
        <v>1114</v>
      </c>
      <c r="H9" s="562">
        <v>127</v>
      </c>
      <c r="I9" s="560">
        <v>127</v>
      </c>
      <c r="J9" s="562"/>
      <c r="K9" s="377" t="s">
        <v>1112</v>
      </c>
      <c r="L9" s="449">
        <v>5</v>
      </c>
      <c r="M9" s="449">
        <v>35</v>
      </c>
      <c r="N9" s="448">
        <v>42013</v>
      </c>
    </row>
    <row r="10" spans="1:14">
      <c r="A10" s="562" t="s">
        <v>1341</v>
      </c>
      <c r="B10" s="829">
        <v>53</v>
      </c>
      <c r="C10" s="193">
        <v>42009</v>
      </c>
      <c r="D10" s="193">
        <v>42009</v>
      </c>
      <c r="E10" s="562" t="s">
        <v>171</v>
      </c>
      <c r="F10" s="562" t="s">
        <v>1110</v>
      </c>
      <c r="G10" s="563" t="s">
        <v>1116</v>
      </c>
      <c r="H10" s="562">
        <v>34</v>
      </c>
      <c r="I10" s="560">
        <v>34</v>
      </c>
      <c r="J10" s="562"/>
      <c r="K10" s="562" t="s">
        <v>1112</v>
      </c>
      <c r="L10" s="447">
        <v>2</v>
      </c>
      <c r="M10" s="447">
        <v>8</v>
      </c>
      <c r="N10" s="448">
        <v>42011</v>
      </c>
    </row>
    <row r="11" spans="1:14">
      <c r="A11" s="562" t="s">
        <v>1342</v>
      </c>
      <c r="B11" s="560">
        <v>54</v>
      </c>
      <c r="C11" s="193">
        <v>42009</v>
      </c>
      <c r="D11" s="193">
        <v>42009</v>
      </c>
      <c r="E11" s="561" t="s">
        <v>195</v>
      </c>
      <c r="F11" s="562" t="s">
        <v>1110</v>
      </c>
      <c r="G11" s="563" t="s">
        <v>1111</v>
      </c>
      <c r="H11" s="562">
        <v>722</v>
      </c>
      <c r="I11" s="560">
        <v>722</v>
      </c>
      <c r="J11" s="562"/>
      <c r="K11" s="377" t="s">
        <v>1112</v>
      </c>
      <c r="L11" s="447">
        <v>6</v>
      </c>
      <c r="M11" s="447">
        <v>42</v>
      </c>
      <c r="N11" s="448">
        <v>42011</v>
      </c>
    </row>
    <row r="12" spans="1:14">
      <c r="A12" s="562" t="s">
        <v>1342</v>
      </c>
      <c r="B12" s="560">
        <v>54</v>
      </c>
      <c r="C12" s="193">
        <v>42009</v>
      </c>
      <c r="D12" s="193">
        <v>42009</v>
      </c>
      <c r="E12" s="562" t="s">
        <v>177</v>
      </c>
      <c r="F12" s="562" t="s">
        <v>1110</v>
      </c>
      <c r="G12" s="562" t="s">
        <v>1113</v>
      </c>
      <c r="H12" s="562">
        <v>498</v>
      </c>
      <c r="I12" s="560">
        <v>498</v>
      </c>
      <c r="J12" s="562"/>
      <c r="K12" s="562" t="s">
        <v>1112</v>
      </c>
      <c r="L12" s="447">
        <v>2</v>
      </c>
      <c r="M12" s="447">
        <v>8</v>
      </c>
      <c r="N12" s="448">
        <v>42010</v>
      </c>
    </row>
    <row r="13" spans="1:14">
      <c r="A13" s="562" t="s">
        <v>1342</v>
      </c>
      <c r="B13" s="560">
        <v>54</v>
      </c>
      <c r="C13" s="193">
        <v>42009</v>
      </c>
      <c r="D13" s="193">
        <v>42009</v>
      </c>
      <c r="E13" s="562" t="s">
        <v>223</v>
      </c>
      <c r="F13" s="562" t="s">
        <v>1110</v>
      </c>
      <c r="G13" s="562" t="s">
        <v>1114</v>
      </c>
      <c r="H13" s="562">
        <v>42</v>
      </c>
      <c r="I13" s="560">
        <v>42</v>
      </c>
      <c r="J13" s="562"/>
      <c r="K13" s="377" t="s">
        <v>1112</v>
      </c>
      <c r="L13" s="449">
        <v>5</v>
      </c>
      <c r="M13" s="449">
        <v>35</v>
      </c>
      <c r="N13" s="448">
        <v>42013</v>
      </c>
    </row>
    <row r="14" spans="1:14">
      <c r="A14" s="562" t="s">
        <v>1342</v>
      </c>
      <c r="B14" s="560">
        <v>54</v>
      </c>
      <c r="C14" s="193">
        <v>42009</v>
      </c>
      <c r="D14" s="193">
        <v>42009</v>
      </c>
      <c r="E14" s="562" t="s">
        <v>171</v>
      </c>
      <c r="F14" s="562" t="s">
        <v>1110</v>
      </c>
      <c r="G14" s="563" t="s">
        <v>1116</v>
      </c>
      <c r="H14" s="562">
        <v>61</v>
      </c>
      <c r="I14" s="560">
        <v>61</v>
      </c>
      <c r="J14" s="562"/>
      <c r="K14" s="562" t="s">
        <v>1112</v>
      </c>
      <c r="L14" s="447">
        <v>2</v>
      </c>
      <c r="M14" s="447">
        <v>8</v>
      </c>
      <c r="N14" s="448">
        <v>42011</v>
      </c>
    </row>
    <row r="15" spans="1:14">
      <c r="A15" s="562" t="s">
        <v>1343</v>
      </c>
      <c r="B15" s="560">
        <v>55</v>
      </c>
      <c r="C15" s="193">
        <v>42009</v>
      </c>
      <c r="D15" s="193">
        <v>42009</v>
      </c>
      <c r="E15" s="561" t="s">
        <v>195</v>
      </c>
      <c r="F15" s="562" t="s">
        <v>1110</v>
      </c>
      <c r="G15" s="563" t="s">
        <v>1111</v>
      </c>
      <c r="H15" s="562">
        <v>487</v>
      </c>
      <c r="I15" s="560">
        <v>487</v>
      </c>
      <c r="J15" s="562"/>
      <c r="K15" s="377" t="s">
        <v>1112</v>
      </c>
      <c r="L15" s="447">
        <v>6</v>
      </c>
      <c r="M15" s="447">
        <v>42</v>
      </c>
      <c r="N15" s="448">
        <v>42011</v>
      </c>
    </row>
    <row r="16" spans="1:14">
      <c r="A16" s="562" t="s">
        <v>1343</v>
      </c>
      <c r="B16" s="560">
        <v>55</v>
      </c>
      <c r="C16" s="193">
        <v>42009</v>
      </c>
      <c r="D16" s="193">
        <v>42009</v>
      </c>
      <c r="E16" s="562" t="s">
        <v>177</v>
      </c>
      <c r="F16" s="562" t="s">
        <v>1110</v>
      </c>
      <c r="G16" s="562" t="s">
        <v>1113</v>
      </c>
      <c r="H16" s="562">
        <v>103</v>
      </c>
      <c r="I16" s="560">
        <v>103</v>
      </c>
      <c r="J16" s="562"/>
      <c r="K16" s="562" t="s">
        <v>1112</v>
      </c>
      <c r="L16" s="447">
        <v>2</v>
      </c>
      <c r="M16" s="447">
        <v>8</v>
      </c>
      <c r="N16" s="448">
        <v>42010</v>
      </c>
    </row>
    <row r="17" spans="1:14">
      <c r="A17" s="562" t="s">
        <v>1343</v>
      </c>
      <c r="B17" s="560">
        <v>55</v>
      </c>
      <c r="C17" s="193">
        <v>42009</v>
      </c>
      <c r="D17" s="193">
        <v>42009</v>
      </c>
      <c r="E17" s="562" t="s">
        <v>223</v>
      </c>
      <c r="F17" s="562" t="s">
        <v>1110</v>
      </c>
      <c r="G17" s="562" t="s">
        <v>1114</v>
      </c>
      <c r="H17" s="562">
        <v>36</v>
      </c>
      <c r="I17" s="560">
        <v>36</v>
      </c>
      <c r="J17" s="562"/>
      <c r="K17" s="377" t="s">
        <v>1112</v>
      </c>
      <c r="L17" s="449">
        <v>5</v>
      </c>
      <c r="M17" s="449">
        <v>35</v>
      </c>
      <c r="N17" s="448">
        <v>42013</v>
      </c>
    </row>
    <row r="18" spans="1:14">
      <c r="A18" s="562" t="s">
        <v>1343</v>
      </c>
      <c r="B18" s="560">
        <v>55</v>
      </c>
      <c r="C18" s="193">
        <v>42009</v>
      </c>
      <c r="D18" s="193">
        <v>42009</v>
      </c>
      <c r="E18" s="562" t="s">
        <v>171</v>
      </c>
      <c r="F18" s="562" t="s">
        <v>1110</v>
      </c>
      <c r="G18" s="563" t="s">
        <v>1116</v>
      </c>
      <c r="H18" s="562">
        <v>83</v>
      </c>
      <c r="I18" s="560">
        <v>83</v>
      </c>
      <c r="J18" s="562"/>
      <c r="K18" s="562" t="s">
        <v>1112</v>
      </c>
      <c r="L18" s="447">
        <v>2</v>
      </c>
      <c r="M18" s="447">
        <v>8</v>
      </c>
      <c r="N18" s="448">
        <v>42011</v>
      </c>
    </row>
    <row r="19" spans="1:14">
      <c r="A19" s="562" t="s">
        <v>1353</v>
      </c>
      <c r="B19" s="560">
        <v>52</v>
      </c>
      <c r="C19" s="193">
        <v>42052</v>
      </c>
      <c r="D19" s="193">
        <v>42052</v>
      </c>
      <c r="E19" s="561" t="s">
        <v>195</v>
      </c>
      <c r="F19" s="562" t="s">
        <v>1110</v>
      </c>
      <c r="G19" s="563" t="s">
        <v>1111</v>
      </c>
      <c r="H19" s="562">
        <v>763</v>
      </c>
      <c r="I19" s="560">
        <v>763</v>
      </c>
      <c r="J19" s="562"/>
      <c r="K19" s="377" t="s">
        <v>1112</v>
      </c>
      <c r="L19" s="447">
        <v>6</v>
      </c>
      <c r="M19" s="447">
        <v>42</v>
      </c>
      <c r="N19" s="448">
        <v>42054</v>
      </c>
    </row>
    <row r="20" spans="1:14">
      <c r="A20" s="562" t="s">
        <v>1353</v>
      </c>
      <c r="B20" s="560">
        <v>52</v>
      </c>
      <c r="C20" s="193">
        <v>42052</v>
      </c>
      <c r="D20" s="193">
        <v>42052</v>
      </c>
      <c r="E20" s="562" t="s">
        <v>177</v>
      </c>
      <c r="F20" s="562" t="s">
        <v>1110</v>
      </c>
      <c r="G20" s="562" t="s">
        <v>1113</v>
      </c>
      <c r="H20" s="562">
        <v>526</v>
      </c>
      <c r="I20" s="560">
        <v>526</v>
      </c>
      <c r="J20" s="562"/>
      <c r="K20" s="562" t="s">
        <v>1112</v>
      </c>
      <c r="L20" s="447">
        <v>2</v>
      </c>
      <c r="M20" s="447">
        <v>8</v>
      </c>
      <c r="N20" s="448">
        <v>42052</v>
      </c>
    </row>
    <row r="21" spans="1:14">
      <c r="A21" s="562" t="s">
        <v>1353</v>
      </c>
      <c r="B21" s="560">
        <v>52</v>
      </c>
      <c r="C21" s="193">
        <v>42052</v>
      </c>
      <c r="D21" s="193">
        <v>42052</v>
      </c>
      <c r="E21" s="562" t="s">
        <v>223</v>
      </c>
      <c r="F21" s="562" t="s">
        <v>1110</v>
      </c>
      <c r="G21" s="562" t="s">
        <v>1114</v>
      </c>
      <c r="H21" s="562">
        <v>29</v>
      </c>
      <c r="I21" s="560">
        <v>29</v>
      </c>
      <c r="J21" s="562" t="s">
        <v>1115</v>
      </c>
      <c r="K21" s="377" t="s">
        <v>1112</v>
      </c>
      <c r="L21" s="449">
        <v>5</v>
      </c>
      <c r="M21" s="449">
        <v>35</v>
      </c>
      <c r="N21" s="448">
        <v>42054</v>
      </c>
    </row>
    <row r="22" spans="1:14">
      <c r="A22" s="562" t="s">
        <v>1353</v>
      </c>
      <c r="B22" s="560">
        <v>52</v>
      </c>
      <c r="C22" s="193">
        <v>42052</v>
      </c>
      <c r="D22" s="193">
        <v>42052</v>
      </c>
      <c r="E22" s="562" t="s">
        <v>171</v>
      </c>
      <c r="F22" s="562" t="s">
        <v>1110</v>
      </c>
      <c r="G22" s="563" t="s">
        <v>1116</v>
      </c>
      <c r="H22" s="562">
        <v>50</v>
      </c>
      <c r="I22" s="560">
        <v>50</v>
      </c>
      <c r="J22" s="562"/>
      <c r="K22" s="562" t="s">
        <v>1112</v>
      </c>
      <c r="L22" s="447">
        <v>2</v>
      </c>
      <c r="M22" s="447">
        <v>8</v>
      </c>
      <c r="N22" s="448">
        <v>42054</v>
      </c>
    </row>
    <row r="23" spans="1:14">
      <c r="A23" s="562" t="s">
        <v>1354</v>
      </c>
      <c r="B23" s="829">
        <v>53</v>
      </c>
      <c r="C23" s="193">
        <v>42052</v>
      </c>
      <c r="D23" s="193">
        <v>42052</v>
      </c>
      <c r="E23" s="561" t="s">
        <v>195</v>
      </c>
      <c r="F23" s="562" t="s">
        <v>1110</v>
      </c>
      <c r="G23" s="563" t="s">
        <v>1111</v>
      </c>
      <c r="H23" s="562">
        <v>571</v>
      </c>
      <c r="I23" s="560">
        <v>571</v>
      </c>
      <c r="J23" s="562"/>
      <c r="K23" s="377" t="s">
        <v>1112</v>
      </c>
      <c r="L23" s="447">
        <v>6</v>
      </c>
      <c r="M23" s="447">
        <v>42</v>
      </c>
      <c r="N23" s="448">
        <v>42054</v>
      </c>
    </row>
    <row r="24" spans="1:14">
      <c r="A24" s="562" t="s">
        <v>1354</v>
      </c>
      <c r="B24" s="829">
        <v>53</v>
      </c>
      <c r="C24" s="193">
        <v>42052</v>
      </c>
      <c r="D24" s="193">
        <v>42052</v>
      </c>
      <c r="E24" s="562" t="s">
        <v>177</v>
      </c>
      <c r="F24" s="562" t="s">
        <v>1110</v>
      </c>
      <c r="G24" s="562" t="s">
        <v>1113</v>
      </c>
      <c r="H24" s="562">
        <v>206</v>
      </c>
      <c r="I24" s="560">
        <v>206</v>
      </c>
      <c r="J24" s="562"/>
      <c r="K24" s="562" t="s">
        <v>1112</v>
      </c>
      <c r="L24" s="447">
        <v>2</v>
      </c>
      <c r="M24" s="447">
        <v>8</v>
      </c>
      <c r="N24" s="448">
        <v>42052</v>
      </c>
    </row>
    <row r="25" spans="1:14">
      <c r="A25" s="562" t="s">
        <v>1354</v>
      </c>
      <c r="B25" s="829">
        <v>53</v>
      </c>
      <c r="C25" s="193">
        <v>42052</v>
      </c>
      <c r="D25" s="193">
        <v>42052</v>
      </c>
      <c r="E25" s="562" t="s">
        <v>223</v>
      </c>
      <c r="F25" s="562" t="s">
        <v>1110</v>
      </c>
      <c r="G25" s="562" t="s">
        <v>1114</v>
      </c>
      <c r="H25" s="562">
        <v>21</v>
      </c>
      <c r="I25" s="560">
        <v>21</v>
      </c>
      <c r="J25" s="562" t="s">
        <v>1115</v>
      </c>
      <c r="K25" s="377" t="s">
        <v>1112</v>
      </c>
      <c r="L25" s="449">
        <v>5</v>
      </c>
      <c r="M25" s="449">
        <v>35</v>
      </c>
      <c r="N25" s="448">
        <v>42054</v>
      </c>
    </row>
    <row r="26" spans="1:14">
      <c r="A26" s="562" t="s">
        <v>1354</v>
      </c>
      <c r="B26" s="829">
        <v>53</v>
      </c>
      <c r="C26" s="193">
        <v>42052</v>
      </c>
      <c r="D26" s="193">
        <v>42052</v>
      </c>
      <c r="E26" s="562" t="s">
        <v>171</v>
      </c>
      <c r="F26" s="562" t="s">
        <v>1110</v>
      </c>
      <c r="G26" s="563" t="s">
        <v>1116</v>
      </c>
      <c r="H26" s="562">
        <v>10</v>
      </c>
      <c r="I26" s="560">
        <v>10</v>
      </c>
      <c r="J26" s="562"/>
      <c r="K26" s="562" t="s">
        <v>1112</v>
      </c>
      <c r="L26" s="447">
        <v>2</v>
      </c>
      <c r="M26" s="447">
        <v>8</v>
      </c>
      <c r="N26" s="448">
        <v>42054</v>
      </c>
    </row>
    <row r="27" spans="1:14">
      <c r="A27" s="562" t="s">
        <v>1355</v>
      </c>
      <c r="B27" s="560">
        <v>54</v>
      </c>
      <c r="C27" s="193">
        <v>42052</v>
      </c>
      <c r="D27" s="193">
        <v>42052</v>
      </c>
      <c r="E27" s="561" t="s">
        <v>195</v>
      </c>
      <c r="F27" s="562" t="s">
        <v>1110</v>
      </c>
      <c r="G27" s="563" t="s">
        <v>1111</v>
      </c>
      <c r="H27" s="562">
        <v>628</v>
      </c>
      <c r="I27" s="560">
        <v>628</v>
      </c>
      <c r="J27" s="562"/>
      <c r="K27" s="377" t="s">
        <v>1112</v>
      </c>
      <c r="L27" s="447">
        <v>6</v>
      </c>
      <c r="M27" s="447">
        <v>42</v>
      </c>
      <c r="N27" s="448">
        <v>42054</v>
      </c>
    </row>
    <row r="28" spans="1:14">
      <c r="A28" s="562" t="s">
        <v>1355</v>
      </c>
      <c r="B28" s="560">
        <v>54</v>
      </c>
      <c r="C28" s="193">
        <v>42052</v>
      </c>
      <c r="D28" s="193">
        <v>42052</v>
      </c>
      <c r="E28" s="562" t="s">
        <v>177</v>
      </c>
      <c r="F28" s="562" t="s">
        <v>1110</v>
      </c>
      <c r="G28" s="562" t="s">
        <v>1113</v>
      </c>
      <c r="H28" s="562">
        <v>363</v>
      </c>
      <c r="I28" s="560">
        <v>363</v>
      </c>
      <c r="J28" s="562"/>
      <c r="K28" s="562" t="s">
        <v>1112</v>
      </c>
      <c r="L28" s="447">
        <v>2</v>
      </c>
      <c r="M28" s="447">
        <v>8</v>
      </c>
      <c r="N28" s="448">
        <v>42052</v>
      </c>
    </row>
    <row r="29" spans="1:14">
      <c r="A29" s="562" t="s">
        <v>1355</v>
      </c>
      <c r="B29" s="560">
        <v>54</v>
      </c>
      <c r="C29" s="193">
        <v>42052</v>
      </c>
      <c r="D29" s="193">
        <v>42052</v>
      </c>
      <c r="E29" s="562" t="s">
        <v>223</v>
      </c>
      <c r="F29" s="562" t="s">
        <v>1110</v>
      </c>
      <c r="G29" s="562" t="s">
        <v>1114</v>
      </c>
      <c r="H29" s="562">
        <v>29</v>
      </c>
      <c r="I29" s="560">
        <v>29</v>
      </c>
      <c r="J29" s="562" t="s">
        <v>1115</v>
      </c>
      <c r="K29" s="377" t="s">
        <v>1112</v>
      </c>
      <c r="L29" s="449">
        <v>5</v>
      </c>
      <c r="M29" s="449">
        <v>35</v>
      </c>
      <c r="N29" s="448">
        <v>42054</v>
      </c>
    </row>
    <row r="30" spans="1:14">
      <c r="A30" s="562" t="s">
        <v>1355</v>
      </c>
      <c r="B30" s="560">
        <v>54</v>
      </c>
      <c r="C30" s="193">
        <v>42052</v>
      </c>
      <c r="D30" s="193">
        <v>42052</v>
      </c>
      <c r="E30" s="562" t="s">
        <v>171</v>
      </c>
      <c r="F30" s="562" t="s">
        <v>1110</v>
      </c>
      <c r="G30" s="563" t="s">
        <v>1116</v>
      </c>
      <c r="H30" s="562">
        <v>130</v>
      </c>
      <c r="I30" s="560">
        <v>130</v>
      </c>
      <c r="J30" s="562"/>
      <c r="K30" s="562" t="s">
        <v>1112</v>
      </c>
      <c r="L30" s="447">
        <v>2</v>
      </c>
      <c r="M30" s="447">
        <v>8</v>
      </c>
      <c r="N30" s="448">
        <v>42054</v>
      </c>
    </row>
    <row r="31" spans="1:14">
      <c r="A31" s="562" t="s">
        <v>1356</v>
      </c>
      <c r="B31" s="560">
        <v>55</v>
      </c>
      <c r="C31" s="193">
        <v>42052</v>
      </c>
      <c r="D31" s="193">
        <v>42052</v>
      </c>
      <c r="E31" s="561" t="s">
        <v>195</v>
      </c>
      <c r="F31" s="562" t="s">
        <v>1110</v>
      </c>
      <c r="G31" s="563" t="s">
        <v>1111</v>
      </c>
      <c r="H31" s="562">
        <v>390</v>
      </c>
      <c r="I31" s="560">
        <v>390</v>
      </c>
      <c r="J31" s="562"/>
      <c r="K31" s="377" t="s">
        <v>1112</v>
      </c>
      <c r="L31" s="447">
        <v>6</v>
      </c>
      <c r="M31" s="447">
        <v>42</v>
      </c>
      <c r="N31" s="448">
        <v>42054</v>
      </c>
    </row>
    <row r="32" spans="1:14">
      <c r="A32" s="562" t="s">
        <v>1356</v>
      </c>
      <c r="B32" s="560">
        <v>55</v>
      </c>
      <c r="C32" s="193">
        <v>42052</v>
      </c>
      <c r="D32" s="193">
        <v>42052</v>
      </c>
      <c r="E32" s="562" t="s">
        <v>177</v>
      </c>
      <c r="F32" s="562" t="s">
        <v>1110</v>
      </c>
      <c r="G32" s="562" t="s">
        <v>1113</v>
      </c>
      <c r="H32" s="562">
        <v>34</v>
      </c>
      <c r="I32" s="560">
        <v>34</v>
      </c>
      <c r="J32" s="562"/>
      <c r="K32" s="562" t="s">
        <v>1112</v>
      </c>
      <c r="L32" s="447">
        <v>2</v>
      </c>
      <c r="M32" s="447">
        <v>8</v>
      </c>
      <c r="N32" s="448">
        <v>42052</v>
      </c>
    </row>
    <row r="33" spans="1:14">
      <c r="A33" s="562" t="s">
        <v>1356</v>
      </c>
      <c r="B33" s="560">
        <v>55</v>
      </c>
      <c r="C33" s="193">
        <v>42052</v>
      </c>
      <c r="D33" s="193">
        <v>42052</v>
      </c>
      <c r="E33" s="562" t="s">
        <v>223</v>
      </c>
      <c r="F33" s="562" t="s">
        <v>1110</v>
      </c>
      <c r="G33" s="562" t="s">
        <v>1114</v>
      </c>
      <c r="H33" s="562">
        <v>33</v>
      </c>
      <c r="I33" s="560">
        <v>33</v>
      </c>
      <c r="J33" s="562" t="s">
        <v>1115</v>
      </c>
      <c r="K33" s="377" t="s">
        <v>1112</v>
      </c>
      <c r="L33" s="449">
        <v>5</v>
      </c>
      <c r="M33" s="449">
        <v>35</v>
      </c>
      <c r="N33" s="448">
        <v>42054</v>
      </c>
    </row>
    <row r="34" spans="1:14">
      <c r="A34" s="562" t="s">
        <v>1356</v>
      </c>
      <c r="B34" s="560">
        <v>55</v>
      </c>
      <c r="C34" s="193">
        <v>42052</v>
      </c>
      <c r="D34" s="193">
        <v>42052</v>
      </c>
      <c r="E34" s="562" t="s">
        <v>171</v>
      </c>
      <c r="F34" s="562" t="s">
        <v>1110</v>
      </c>
      <c r="G34" s="563" t="s">
        <v>1116</v>
      </c>
      <c r="H34" s="562">
        <v>125</v>
      </c>
      <c r="I34" s="560">
        <v>125</v>
      </c>
      <c r="J34" s="562"/>
      <c r="K34" s="562" t="s">
        <v>1112</v>
      </c>
      <c r="L34" s="447">
        <v>2</v>
      </c>
      <c r="M34" s="447">
        <v>8</v>
      </c>
      <c r="N34" s="448">
        <v>42054</v>
      </c>
    </row>
    <row r="35" spans="1:14">
      <c r="A35" s="562" t="s">
        <v>1362</v>
      </c>
      <c r="B35" s="560">
        <v>52</v>
      </c>
      <c r="C35" s="193">
        <v>42086</v>
      </c>
      <c r="D35" s="193">
        <v>42086</v>
      </c>
      <c r="E35" s="561" t="s">
        <v>195</v>
      </c>
      <c r="F35" s="562" t="s">
        <v>1110</v>
      </c>
      <c r="G35" s="563" t="s">
        <v>1111</v>
      </c>
      <c r="H35" s="562">
        <v>599</v>
      </c>
      <c r="I35" s="560">
        <v>599</v>
      </c>
      <c r="J35" s="562"/>
      <c r="K35" s="377" t="s">
        <v>1112</v>
      </c>
      <c r="L35" s="447">
        <v>6</v>
      </c>
      <c r="M35" s="447">
        <v>42</v>
      </c>
      <c r="N35" s="448">
        <v>42096</v>
      </c>
    </row>
    <row r="36" spans="1:14">
      <c r="A36" s="562" t="s">
        <v>1362</v>
      </c>
      <c r="B36" s="560">
        <v>52</v>
      </c>
      <c r="C36" s="193">
        <v>42086</v>
      </c>
      <c r="D36" s="193">
        <v>42086</v>
      </c>
      <c r="E36" s="562" t="s">
        <v>177</v>
      </c>
      <c r="F36" s="562" t="s">
        <v>1110</v>
      </c>
      <c r="G36" s="562" t="s">
        <v>1113</v>
      </c>
      <c r="H36" s="562">
        <v>346</v>
      </c>
      <c r="I36" s="560">
        <v>346</v>
      </c>
      <c r="J36" s="562"/>
      <c r="K36" s="562" t="s">
        <v>1112</v>
      </c>
      <c r="L36" s="447">
        <v>2</v>
      </c>
      <c r="M36" s="447">
        <v>8</v>
      </c>
      <c r="N36" s="448">
        <v>42088</v>
      </c>
    </row>
    <row r="37" spans="1:14">
      <c r="A37" s="562" t="s">
        <v>1362</v>
      </c>
      <c r="B37" s="560">
        <v>52</v>
      </c>
      <c r="C37" s="193">
        <v>42086</v>
      </c>
      <c r="D37" s="193">
        <v>42086</v>
      </c>
      <c r="E37" s="562" t="s">
        <v>223</v>
      </c>
      <c r="F37" s="562" t="s">
        <v>1110</v>
      </c>
      <c r="G37" s="562" t="s">
        <v>1114</v>
      </c>
      <c r="H37" s="562">
        <v>16</v>
      </c>
      <c r="I37" s="560">
        <v>16</v>
      </c>
      <c r="J37" s="562" t="s">
        <v>1115</v>
      </c>
      <c r="K37" s="377" t="s">
        <v>1112</v>
      </c>
      <c r="L37" s="449">
        <v>5</v>
      </c>
      <c r="M37" s="449">
        <v>35</v>
      </c>
      <c r="N37" s="448">
        <v>42097</v>
      </c>
    </row>
    <row r="38" spans="1:14">
      <c r="A38" s="562" t="s">
        <v>1362</v>
      </c>
      <c r="B38" s="560">
        <v>52</v>
      </c>
      <c r="C38" s="193">
        <v>42086</v>
      </c>
      <c r="D38" s="193">
        <v>42086</v>
      </c>
      <c r="E38" s="562" t="s">
        <v>171</v>
      </c>
      <c r="F38" s="562" t="s">
        <v>1110</v>
      </c>
      <c r="G38" s="563" t="s">
        <v>1116</v>
      </c>
      <c r="H38" s="562">
        <v>10</v>
      </c>
      <c r="I38" s="560">
        <v>10</v>
      </c>
      <c r="J38" s="562"/>
      <c r="K38" s="562" t="s">
        <v>1112</v>
      </c>
      <c r="L38" s="447">
        <v>2</v>
      </c>
      <c r="M38" s="447">
        <v>8</v>
      </c>
      <c r="N38" s="448">
        <v>42096</v>
      </c>
    </row>
    <row r="39" spans="1:14">
      <c r="A39" s="562" t="s">
        <v>1363</v>
      </c>
      <c r="B39" s="829">
        <v>53</v>
      </c>
      <c r="C39" s="193">
        <v>42086</v>
      </c>
      <c r="D39" s="193">
        <v>42086</v>
      </c>
      <c r="E39" s="561" t="s">
        <v>195</v>
      </c>
      <c r="F39" s="562" t="s">
        <v>1110</v>
      </c>
      <c r="G39" s="563" t="s">
        <v>1111</v>
      </c>
      <c r="H39" s="562">
        <v>270</v>
      </c>
      <c r="I39" s="560">
        <v>270</v>
      </c>
      <c r="J39" s="562"/>
      <c r="K39" s="377" t="s">
        <v>1112</v>
      </c>
      <c r="L39" s="447">
        <v>6</v>
      </c>
      <c r="M39" s="447">
        <v>42</v>
      </c>
      <c r="N39" s="448">
        <v>42096</v>
      </c>
    </row>
    <row r="40" spans="1:14">
      <c r="A40" s="562" t="s">
        <v>1363</v>
      </c>
      <c r="B40" s="829">
        <v>53</v>
      </c>
      <c r="C40" s="193">
        <v>42086</v>
      </c>
      <c r="D40" s="193">
        <v>42086</v>
      </c>
      <c r="E40" s="562" t="s">
        <v>177</v>
      </c>
      <c r="F40" s="562" t="s">
        <v>1110</v>
      </c>
      <c r="G40" s="562" t="s">
        <v>1113</v>
      </c>
      <c r="H40" s="562">
        <v>88</v>
      </c>
      <c r="I40" s="560">
        <v>88</v>
      </c>
      <c r="J40" s="562"/>
      <c r="K40" s="562" t="s">
        <v>1112</v>
      </c>
      <c r="L40" s="447">
        <v>2</v>
      </c>
      <c r="M40" s="447">
        <v>8</v>
      </c>
      <c r="N40" s="448">
        <v>42088</v>
      </c>
    </row>
    <row r="41" spans="1:14">
      <c r="A41" s="562" t="s">
        <v>1363</v>
      </c>
      <c r="B41" s="829">
        <v>53</v>
      </c>
      <c r="C41" s="193">
        <v>42086</v>
      </c>
      <c r="D41" s="193">
        <v>42086</v>
      </c>
      <c r="E41" s="562" t="s">
        <v>223</v>
      </c>
      <c r="F41" s="562" t="s">
        <v>1110</v>
      </c>
      <c r="G41" s="562" t="s">
        <v>1114</v>
      </c>
      <c r="H41" s="562">
        <v>27</v>
      </c>
      <c r="I41" s="560">
        <v>27</v>
      </c>
      <c r="J41" s="562" t="s">
        <v>1115</v>
      </c>
      <c r="K41" s="377" t="s">
        <v>1112</v>
      </c>
      <c r="L41" s="449">
        <v>5</v>
      </c>
      <c r="M41" s="449">
        <v>35</v>
      </c>
      <c r="N41" s="448">
        <v>42097</v>
      </c>
    </row>
    <row r="42" spans="1:14">
      <c r="A42" s="562" t="s">
        <v>1363</v>
      </c>
      <c r="B42" s="829">
        <v>53</v>
      </c>
      <c r="C42" s="193">
        <v>42086</v>
      </c>
      <c r="D42" s="193">
        <v>42086</v>
      </c>
      <c r="E42" s="562" t="s">
        <v>171</v>
      </c>
      <c r="F42" s="562" t="s">
        <v>1110</v>
      </c>
      <c r="G42" s="563" t="s">
        <v>1116</v>
      </c>
      <c r="H42" s="562">
        <v>12</v>
      </c>
      <c r="I42" s="560">
        <v>12</v>
      </c>
      <c r="J42" s="562"/>
      <c r="K42" s="562" t="s">
        <v>1112</v>
      </c>
      <c r="L42" s="447">
        <v>2</v>
      </c>
      <c r="M42" s="447">
        <v>8</v>
      </c>
      <c r="N42" s="448">
        <v>42096</v>
      </c>
    </row>
    <row r="43" spans="1:14">
      <c r="A43" s="562" t="s">
        <v>1364</v>
      </c>
      <c r="B43" s="560">
        <v>54</v>
      </c>
      <c r="C43" s="193">
        <v>42086</v>
      </c>
      <c r="D43" s="193">
        <v>42086</v>
      </c>
      <c r="E43" s="561" t="s">
        <v>195</v>
      </c>
      <c r="F43" s="562" t="s">
        <v>1110</v>
      </c>
      <c r="G43" s="563" t="s">
        <v>1111</v>
      </c>
      <c r="H43" s="562">
        <v>477</v>
      </c>
      <c r="I43" s="560">
        <v>477</v>
      </c>
      <c r="J43" s="562"/>
      <c r="K43" s="377" t="s">
        <v>1112</v>
      </c>
      <c r="L43" s="447">
        <v>6</v>
      </c>
      <c r="M43" s="447">
        <v>42</v>
      </c>
      <c r="N43" s="448">
        <v>42096</v>
      </c>
    </row>
    <row r="44" spans="1:14">
      <c r="A44" s="562" t="s">
        <v>1364</v>
      </c>
      <c r="B44" s="560">
        <v>54</v>
      </c>
      <c r="C44" s="193">
        <v>42086</v>
      </c>
      <c r="D44" s="193">
        <v>42086</v>
      </c>
      <c r="E44" s="562" t="s">
        <v>177</v>
      </c>
      <c r="F44" s="562" t="s">
        <v>1110</v>
      </c>
      <c r="G44" s="562" t="s">
        <v>1113</v>
      </c>
      <c r="H44" s="562">
        <v>266</v>
      </c>
      <c r="I44" s="560">
        <v>266</v>
      </c>
      <c r="J44" s="562"/>
      <c r="K44" s="562" t="s">
        <v>1112</v>
      </c>
      <c r="L44" s="447">
        <v>2</v>
      </c>
      <c r="M44" s="447">
        <v>8</v>
      </c>
      <c r="N44" s="448">
        <v>42088</v>
      </c>
    </row>
    <row r="45" spans="1:14">
      <c r="A45" s="562" t="s">
        <v>1364</v>
      </c>
      <c r="B45" s="560">
        <v>54</v>
      </c>
      <c r="C45" s="193">
        <v>42086</v>
      </c>
      <c r="D45" s="193">
        <v>42086</v>
      </c>
      <c r="E45" s="562" t="s">
        <v>223</v>
      </c>
      <c r="F45" s="562" t="s">
        <v>1110</v>
      </c>
      <c r="G45" s="562" t="s">
        <v>1114</v>
      </c>
      <c r="H45" s="562">
        <v>28</v>
      </c>
      <c r="I45" s="560">
        <v>28</v>
      </c>
      <c r="J45" s="562" t="s">
        <v>1115</v>
      </c>
      <c r="K45" s="377" t="s">
        <v>1112</v>
      </c>
      <c r="L45" s="449">
        <v>5</v>
      </c>
      <c r="M45" s="449">
        <v>35</v>
      </c>
      <c r="N45" s="448">
        <v>42097</v>
      </c>
    </row>
    <row r="46" spans="1:14">
      <c r="A46" s="562" t="s">
        <v>1364</v>
      </c>
      <c r="B46" s="560">
        <v>54</v>
      </c>
      <c r="C46" s="193">
        <v>42086</v>
      </c>
      <c r="D46" s="193">
        <v>42086</v>
      </c>
      <c r="E46" s="562" t="s">
        <v>171</v>
      </c>
      <c r="F46" s="562" t="s">
        <v>1110</v>
      </c>
      <c r="G46" s="563" t="s">
        <v>1116</v>
      </c>
      <c r="H46" s="562">
        <v>21</v>
      </c>
      <c r="I46" s="560">
        <v>21</v>
      </c>
      <c r="J46" s="562"/>
      <c r="K46" s="562" t="s">
        <v>1112</v>
      </c>
      <c r="L46" s="447">
        <v>2</v>
      </c>
      <c r="M46" s="447">
        <v>8</v>
      </c>
      <c r="N46" s="448">
        <v>42096</v>
      </c>
    </row>
    <row r="47" spans="1:14">
      <c r="A47" s="562" t="s">
        <v>1365</v>
      </c>
      <c r="B47" s="560">
        <v>55</v>
      </c>
      <c r="C47" s="193">
        <v>42086</v>
      </c>
      <c r="D47" s="193">
        <v>42086</v>
      </c>
      <c r="E47" s="561" t="s">
        <v>195</v>
      </c>
      <c r="F47" s="562" t="s">
        <v>1110</v>
      </c>
      <c r="G47" s="563" t="s">
        <v>1111</v>
      </c>
      <c r="H47" s="562">
        <v>297</v>
      </c>
      <c r="I47" s="560">
        <v>297</v>
      </c>
      <c r="J47" s="562"/>
      <c r="K47" s="377" t="s">
        <v>1112</v>
      </c>
      <c r="L47" s="447">
        <v>6</v>
      </c>
      <c r="M47" s="447">
        <v>42</v>
      </c>
      <c r="N47" s="448">
        <v>42096</v>
      </c>
    </row>
    <row r="48" spans="1:14">
      <c r="A48" s="562" t="s">
        <v>1365</v>
      </c>
      <c r="B48" s="560">
        <v>55</v>
      </c>
      <c r="C48" s="193">
        <v>42086</v>
      </c>
      <c r="D48" s="193">
        <v>42086</v>
      </c>
      <c r="E48" s="562" t="s">
        <v>177</v>
      </c>
      <c r="F48" s="562" t="s">
        <v>1110</v>
      </c>
      <c r="G48" s="562" t="s">
        <v>1113</v>
      </c>
      <c r="H48" s="562">
        <v>25</v>
      </c>
      <c r="I48" s="560">
        <v>25</v>
      </c>
      <c r="J48" s="562"/>
      <c r="K48" s="562" t="s">
        <v>1112</v>
      </c>
      <c r="L48" s="447">
        <v>2</v>
      </c>
      <c r="M48" s="447">
        <v>8</v>
      </c>
      <c r="N48" s="448">
        <v>42088</v>
      </c>
    </row>
    <row r="49" spans="1:14">
      <c r="A49" s="562" t="s">
        <v>1365</v>
      </c>
      <c r="B49" s="560">
        <v>55</v>
      </c>
      <c r="C49" s="193">
        <v>42086</v>
      </c>
      <c r="D49" s="193">
        <v>42086</v>
      </c>
      <c r="E49" s="562" t="s">
        <v>223</v>
      </c>
      <c r="F49" s="562" t="s">
        <v>1110</v>
      </c>
      <c r="G49" s="562" t="s">
        <v>1114</v>
      </c>
      <c r="H49" s="562">
        <v>24</v>
      </c>
      <c r="I49" s="560">
        <v>24</v>
      </c>
      <c r="J49" s="562" t="s">
        <v>1115</v>
      </c>
      <c r="K49" s="377" t="s">
        <v>1112</v>
      </c>
      <c r="L49" s="449">
        <v>5</v>
      </c>
      <c r="M49" s="449">
        <v>35</v>
      </c>
      <c r="N49" s="448">
        <v>42097</v>
      </c>
    </row>
    <row r="50" spans="1:14">
      <c r="A50" s="562" t="s">
        <v>1365</v>
      </c>
      <c r="B50" s="560">
        <v>55</v>
      </c>
      <c r="C50" s="193">
        <v>42086</v>
      </c>
      <c r="D50" s="193">
        <v>42086</v>
      </c>
      <c r="E50" s="562" t="s">
        <v>171</v>
      </c>
      <c r="F50" s="562" t="s">
        <v>1110</v>
      </c>
      <c r="G50" s="563" t="s">
        <v>1116</v>
      </c>
      <c r="H50" s="562">
        <v>11</v>
      </c>
      <c r="I50" s="560">
        <v>11</v>
      </c>
      <c r="J50" s="562"/>
      <c r="K50" s="562" t="s">
        <v>1112</v>
      </c>
      <c r="L50" s="447">
        <v>2</v>
      </c>
      <c r="M50" s="447">
        <v>8</v>
      </c>
      <c r="N50" s="448">
        <v>42096</v>
      </c>
    </row>
    <row r="51" spans="1:14">
      <c r="A51" s="562" t="s">
        <v>1373</v>
      </c>
      <c r="B51" s="560">
        <v>52</v>
      </c>
      <c r="C51" s="193">
        <v>42114</v>
      </c>
      <c r="D51" s="193">
        <v>42114</v>
      </c>
      <c r="E51" s="561" t="s">
        <v>195</v>
      </c>
      <c r="F51" s="562" t="s">
        <v>1110</v>
      </c>
      <c r="G51" s="563" t="s">
        <v>1111</v>
      </c>
      <c r="H51" s="562">
        <v>555</v>
      </c>
      <c r="I51" s="560">
        <v>555</v>
      </c>
      <c r="J51" s="562"/>
      <c r="K51" s="377" t="s">
        <v>1112</v>
      </c>
      <c r="L51" s="447">
        <v>6</v>
      </c>
      <c r="M51" s="447">
        <v>42</v>
      </c>
      <c r="N51" s="448">
        <v>42123</v>
      </c>
    </row>
    <row r="52" spans="1:14">
      <c r="A52" s="562" t="s">
        <v>1373</v>
      </c>
      <c r="B52" s="560">
        <v>52</v>
      </c>
      <c r="C52" s="193">
        <v>42114</v>
      </c>
      <c r="D52" s="193">
        <v>42114</v>
      </c>
      <c r="E52" s="562" t="s">
        <v>177</v>
      </c>
      <c r="F52" s="562" t="s">
        <v>1110</v>
      </c>
      <c r="G52" s="562" t="s">
        <v>1113</v>
      </c>
      <c r="H52" s="562">
        <v>394</v>
      </c>
      <c r="I52" s="560">
        <v>394</v>
      </c>
      <c r="J52" s="562"/>
      <c r="K52" s="562" t="s">
        <v>1112</v>
      </c>
      <c r="L52" s="447">
        <v>2</v>
      </c>
      <c r="M52" s="447">
        <v>8</v>
      </c>
      <c r="N52" s="448">
        <v>42115</v>
      </c>
    </row>
    <row r="53" spans="1:14">
      <c r="A53" s="577" t="s">
        <v>1373</v>
      </c>
      <c r="B53" s="560">
        <v>52</v>
      </c>
      <c r="C53" s="193">
        <v>42114</v>
      </c>
      <c r="D53" s="193">
        <v>42114</v>
      </c>
      <c r="E53" s="562" t="s">
        <v>223</v>
      </c>
      <c r="F53" s="562" t="s">
        <v>1110</v>
      </c>
      <c r="G53" s="562" t="s">
        <v>1114</v>
      </c>
      <c r="H53" s="562">
        <v>27</v>
      </c>
      <c r="I53" s="560">
        <v>27</v>
      </c>
      <c r="J53" s="562" t="s">
        <v>1115</v>
      </c>
      <c r="K53" s="377" t="s">
        <v>1112</v>
      </c>
      <c r="L53" s="449">
        <v>5</v>
      </c>
      <c r="M53" s="449">
        <v>35</v>
      </c>
      <c r="N53" s="448">
        <v>42117</v>
      </c>
    </row>
    <row r="54" spans="1:14">
      <c r="A54" s="562" t="s">
        <v>1373</v>
      </c>
      <c r="B54" s="560">
        <v>52</v>
      </c>
      <c r="C54" s="193">
        <v>42114</v>
      </c>
      <c r="D54" s="193">
        <v>42114</v>
      </c>
      <c r="E54" s="562" t="s">
        <v>171</v>
      </c>
      <c r="F54" s="562" t="s">
        <v>1110</v>
      </c>
      <c r="G54" s="563" t="s">
        <v>1116</v>
      </c>
      <c r="H54" s="562">
        <v>47</v>
      </c>
      <c r="I54" s="560">
        <v>47</v>
      </c>
      <c r="J54" s="562"/>
      <c r="K54" s="562" t="s">
        <v>1112</v>
      </c>
      <c r="L54" s="447">
        <v>2</v>
      </c>
      <c r="M54" s="447">
        <v>8</v>
      </c>
      <c r="N54" s="448">
        <v>42123</v>
      </c>
    </row>
    <row r="55" spans="1:14">
      <c r="A55" s="562" t="s">
        <v>1374</v>
      </c>
      <c r="B55" s="829">
        <v>53</v>
      </c>
      <c r="C55" s="193">
        <v>42114</v>
      </c>
      <c r="D55" s="193">
        <v>42114</v>
      </c>
      <c r="E55" s="561" t="s">
        <v>195</v>
      </c>
      <c r="F55" s="562" t="s">
        <v>1110</v>
      </c>
      <c r="G55" s="563" t="s">
        <v>1111</v>
      </c>
      <c r="H55" s="562">
        <v>483</v>
      </c>
      <c r="I55" s="560">
        <v>483</v>
      </c>
      <c r="J55" s="562"/>
      <c r="K55" s="377" t="s">
        <v>1112</v>
      </c>
      <c r="L55" s="447">
        <v>6</v>
      </c>
      <c r="M55" s="447">
        <v>42</v>
      </c>
      <c r="N55" s="448">
        <v>42123</v>
      </c>
    </row>
    <row r="56" spans="1:14">
      <c r="A56" s="562" t="s">
        <v>1374</v>
      </c>
      <c r="B56" s="829">
        <v>53</v>
      </c>
      <c r="C56" s="193">
        <v>42114</v>
      </c>
      <c r="D56" s="193">
        <v>42114</v>
      </c>
      <c r="E56" s="562" t="s">
        <v>177</v>
      </c>
      <c r="F56" s="562" t="s">
        <v>1110</v>
      </c>
      <c r="G56" s="562" t="s">
        <v>1113</v>
      </c>
      <c r="H56" s="562">
        <v>153</v>
      </c>
      <c r="I56" s="560">
        <v>153</v>
      </c>
      <c r="J56" s="562"/>
      <c r="K56" s="562" t="s">
        <v>1112</v>
      </c>
      <c r="L56" s="447">
        <v>2</v>
      </c>
      <c r="M56" s="447">
        <v>8</v>
      </c>
      <c r="N56" s="448">
        <v>42115</v>
      </c>
    </row>
    <row r="57" spans="1:14">
      <c r="A57" s="577" t="s">
        <v>1374</v>
      </c>
      <c r="B57" s="829">
        <v>53</v>
      </c>
      <c r="C57" s="193">
        <v>42114</v>
      </c>
      <c r="D57" s="193">
        <v>42114</v>
      </c>
      <c r="E57" s="562" t="s">
        <v>223</v>
      </c>
      <c r="F57" s="562" t="s">
        <v>1110</v>
      </c>
      <c r="G57" s="562" t="s">
        <v>1114</v>
      </c>
      <c r="H57" s="562">
        <v>18</v>
      </c>
      <c r="I57" s="560">
        <v>18</v>
      </c>
      <c r="J57" s="562" t="s">
        <v>1115</v>
      </c>
      <c r="K57" s="377" t="s">
        <v>1112</v>
      </c>
      <c r="L57" s="449">
        <v>5</v>
      </c>
      <c r="M57" s="449">
        <v>35</v>
      </c>
      <c r="N57" s="448">
        <v>42117</v>
      </c>
    </row>
    <row r="58" spans="1:14">
      <c r="A58" s="562" t="s">
        <v>1374</v>
      </c>
      <c r="B58" s="829">
        <v>53</v>
      </c>
      <c r="C58" s="193">
        <v>42114</v>
      </c>
      <c r="D58" s="193">
        <v>42114</v>
      </c>
      <c r="E58" s="562" t="s">
        <v>171</v>
      </c>
      <c r="F58" s="562" t="s">
        <v>1110</v>
      </c>
      <c r="G58" s="563" t="s">
        <v>1116</v>
      </c>
      <c r="H58" s="562">
        <v>31</v>
      </c>
      <c r="I58" s="560">
        <v>31</v>
      </c>
      <c r="J58" s="562"/>
      <c r="K58" s="562" t="s">
        <v>1112</v>
      </c>
      <c r="L58" s="447">
        <v>2</v>
      </c>
      <c r="M58" s="447">
        <v>8</v>
      </c>
      <c r="N58" s="448">
        <v>42123</v>
      </c>
    </row>
    <row r="59" spans="1:14">
      <c r="A59" s="562" t="s">
        <v>1375</v>
      </c>
      <c r="B59" s="560">
        <v>54</v>
      </c>
      <c r="C59" s="193">
        <v>42114</v>
      </c>
      <c r="D59" s="193">
        <v>42114</v>
      </c>
      <c r="E59" s="561" t="s">
        <v>195</v>
      </c>
      <c r="F59" s="562" t="s">
        <v>1110</v>
      </c>
      <c r="G59" s="563" t="s">
        <v>1111</v>
      </c>
      <c r="H59" s="562">
        <v>487</v>
      </c>
      <c r="I59" s="560">
        <v>487</v>
      </c>
      <c r="J59" s="562"/>
      <c r="K59" s="377" t="s">
        <v>1112</v>
      </c>
      <c r="L59" s="447">
        <v>6</v>
      </c>
      <c r="M59" s="447">
        <v>42</v>
      </c>
      <c r="N59" s="448">
        <v>42123</v>
      </c>
    </row>
    <row r="60" spans="1:14">
      <c r="A60" s="562" t="s">
        <v>1375</v>
      </c>
      <c r="B60" s="560">
        <v>54</v>
      </c>
      <c r="C60" s="193">
        <v>42114</v>
      </c>
      <c r="D60" s="193">
        <v>42114</v>
      </c>
      <c r="E60" s="562" t="s">
        <v>177</v>
      </c>
      <c r="F60" s="562" t="s">
        <v>1110</v>
      </c>
      <c r="G60" s="562" t="s">
        <v>1113</v>
      </c>
      <c r="H60" s="562">
        <v>219</v>
      </c>
      <c r="I60" s="560">
        <v>219</v>
      </c>
      <c r="J60" s="562"/>
      <c r="K60" s="562" t="s">
        <v>1112</v>
      </c>
      <c r="L60" s="447">
        <v>2</v>
      </c>
      <c r="M60" s="447">
        <v>8</v>
      </c>
      <c r="N60" s="448">
        <v>42115</v>
      </c>
    </row>
    <row r="61" spans="1:14">
      <c r="A61" s="577" t="s">
        <v>1375</v>
      </c>
      <c r="B61" s="560">
        <v>54</v>
      </c>
      <c r="C61" s="193">
        <v>42114</v>
      </c>
      <c r="D61" s="193">
        <v>42114</v>
      </c>
      <c r="E61" s="562" t="s">
        <v>223</v>
      </c>
      <c r="F61" s="562" t="s">
        <v>1110</v>
      </c>
      <c r="G61" s="562" t="s">
        <v>1114</v>
      </c>
      <c r="H61" s="562">
        <v>21</v>
      </c>
      <c r="I61" s="560">
        <v>21</v>
      </c>
      <c r="J61" s="562" t="s">
        <v>1115</v>
      </c>
      <c r="K61" s="377" t="s">
        <v>1112</v>
      </c>
      <c r="L61" s="449">
        <v>5</v>
      </c>
      <c r="M61" s="449">
        <v>35</v>
      </c>
      <c r="N61" s="448">
        <v>42117</v>
      </c>
    </row>
    <row r="62" spans="1:14">
      <c r="A62" s="562" t="s">
        <v>1375</v>
      </c>
      <c r="B62" s="560">
        <v>54</v>
      </c>
      <c r="C62" s="193">
        <v>42114</v>
      </c>
      <c r="D62" s="193">
        <v>42114</v>
      </c>
      <c r="E62" s="562" t="s">
        <v>171</v>
      </c>
      <c r="F62" s="562" t="s">
        <v>1110</v>
      </c>
      <c r="G62" s="563" t="s">
        <v>1116</v>
      </c>
      <c r="H62" s="562">
        <v>90</v>
      </c>
      <c r="I62" s="560">
        <v>90</v>
      </c>
      <c r="J62" s="562"/>
      <c r="K62" s="562" t="s">
        <v>1112</v>
      </c>
      <c r="L62" s="447">
        <v>2</v>
      </c>
      <c r="M62" s="447">
        <v>8</v>
      </c>
      <c r="N62" s="448">
        <v>42123</v>
      </c>
    </row>
    <row r="63" spans="1:14">
      <c r="A63" s="562" t="s">
        <v>1376</v>
      </c>
      <c r="B63" s="560">
        <v>55</v>
      </c>
      <c r="C63" s="193">
        <v>42114</v>
      </c>
      <c r="D63" s="193">
        <v>42114</v>
      </c>
      <c r="E63" s="561" t="s">
        <v>195</v>
      </c>
      <c r="F63" s="562" t="s">
        <v>1110</v>
      </c>
      <c r="G63" s="563" t="s">
        <v>1111</v>
      </c>
      <c r="H63" s="562">
        <v>432</v>
      </c>
      <c r="I63" s="560">
        <v>432</v>
      </c>
      <c r="J63" s="562"/>
      <c r="K63" s="377" t="s">
        <v>1112</v>
      </c>
      <c r="L63" s="447">
        <v>6</v>
      </c>
      <c r="M63" s="447">
        <v>42</v>
      </c>
      <c r="N63" s="448">
        <v>42123</v>
      </c>
    </row>
    <row r="64" spans="1:14">
      <c r="A64" s="562" t="s">
        <v>1376</v>
      </c>
      <c r="B64" s="560">
        <v>55</v>
      </c>
      <c r="C64" s="193">
        <v>42114</v>
      </c>
      <c r="D64" s="193">
        <v>42114</v>
      </c>
      <c r="E64" s="562" t="s">
        <v>177</v>
      </c>
      <c r="F64" s="562" t="s">
        <v>1110</v>
      </c>
      <c r="G64" s="562" t="s">
        <v>1113</v>
      </c>
      <c r="H64" s="562">
        <v>127</v>
      </c>
      <c r="I64" s="560">
        <v>127</v>
      </c>
      <c r="J64" s="562"/>
      <c r="K64" s="562" t="s">
        <v>1112</v>
      </c>
      <c r="L64" s="447">
        <v>2</v>
      </c>
      <c r="M64" s="447">
        <v>8</v>
      </c>
      <c r="N64" s="448">
        <v>42115</v>
      </c>
    </row>
    <row r="65" spans="1:14">
      <c r="A65" s="577" t="s">
        <v>1376</v>
      </c>
      <c r="B65" s="560">
        <v>55</v>
      </c>
      <c r="C65" s="193">
        <v>42114</v>
      </c>
      <c r="D65" s="193">
        <v>42114</v>
      </c>
      <c r="E65" s="562" t="s">
        <v>223</v>
      </c>
      <c r="F65" s="562" t="s">
        <v>1110</v>
      </c>
      <c r="G65" s="562" t="s">
        <v>1114</v>
      </c>
      <c r="H65" s="562">
        <v>23</v>
      </c>
      <c r="I65" s="560">
        <v>23</v>
      </c>
      <c r="J65" s="562" t="s">
        <v>1115</v>
      </c>
      <c r="K65" s="377" t="s">
        <v>1112</v>
      </c>
      <c r="L65" s="449">
        <v>5</v>
      </c>
      <c r="M65" s="449">
        <v>35</v>
      </c>
      <c r="N65" s="448">
        <v>42117</v>
      </c>
    </row>
    <row r="66" spans="1:14">
      <c r="A66" s="562" t="s">
        <v>1376</v>
      </c>
      <c r="B66" s="560">
        <v>55</v>
      </c>
      <c r="C66" s="193">
        <v>42114</v>
      </c>
      <c r="D66" s="193">
        <v>42114</v>
      </c>
      <c r="E66" s="562" t="s">
        <v>171</v>
      </c>
      <c r="F66" s="562" t="s">
        <v>1110</v>
      </c>
      <c r="G66" s="563" t="s">
        <v>1116</v>
      </c>
      <c r="H66" s="562">
        <v>169</v>
      </c>
      <c r="I66" s="560">
        <v>169</v>
      </c>
      <c r="J66" s="562"/>
      <c r="K66" s="562" t="s">
        <v>1112</v>
      </c>
      <c r="L66" s="447">
        <v>2</v>
      </c>
      <c r="M66" s="447">
        <v>8</v>
      </c>
      <c r="N66" s="448">
        <v>42123</v>
      </c>
    </row>
    <row r="67" spans="1:14">
      <c r="A67" s="562" t="s">
        <v>1453</v>
      </c>
      <c r="B67" s="560">
        <v>52</v>
      </c>
      <c r="C67" s="193">
        <v>42150</v>
      </c>
      <c r="D67" s="193">
        <v>42150</v>
      </c>
      <c r="E67" s="561" t="s">
        <v>195</v>
      </c>
      <c r="F67" s="562" t="s">
        <v>1110</v>
      </c>
      <c r="G67" s="563" t="s">
        <v>1111</v>
      </c>
      <c r="H67" s="562">
        <v>1353</v>
      </c>
      <c r="I67" s="560">
        <v>1353</v>
      </c>
      <c r="J67" s="562"/>
      <c r="K67" s="377" t="s">
        <v>1112</v>
      </c>
      <c r="L67" s="447">
        <v>6</v>
      </c>
      <c r="M67" s="447">
        <v>42</v>
      </c>
      <c r="N67" s="448">
        <v>42159</v>
      </c>
    </row>
    <row r="68" spans="1:14">
      <c r="A68" s="562" t="s">
        <v>1453</v>
      </c>
      <c r="B68" s="560">
        <v>52</v>
      </c>
      <c r="C68" s="193">
        <v>42150</v>
      </c>
      <c r="D68" s="193">
        <v>42150</v>
      </c>
      <c r="E68" s="562" t="s">
        <v>177</v>
      </c>
      <c r="F68" s="562" t="s">
        <v>1110</v>
      </c>
      <c r="G68" s="562" t="s">
        <v>1113</v>
      </c>
      <c r="H68" s="562">
        <v>1090</v>
      </c>
      <c r="I68" s="560">
        <v>1090</v>
      </c>
      <c r="J68" s="562"/>
      <c r="K68" s="562" t="s">
        <v>1112</v>
      </c>
      <c r="L68" s="447">
        <v>2</v>
      </c>
      <c r="M68" s="447">
        <v>8</v>
      </c>
      <c r="N68" s="448">
        <v>42151</v>
      </c>
    </row>
    <row r="69" spans="1:14">
      <c r="A69" s="562" t="s">
        <v>1453</v>
      </c>
      <c r="B69" s="560">
        <v>52</v>
      </c>
      <c r="C69" s="193">
        <v>42150</v>
      </c>
      <c r="D69" s="193">
        <v>42150</v>
      </c>
      <c r="E69" s="562" t="s">
        <v>223</v>
      </c>
      <c r="F69" s="562" t="s">
        <v>1110</v>
      </c>
      <c r="G69" s="562" t="s">
        <v>1114</v>
      </c>
      <c r="H69" s="562">
        <v>22</v>
      </c>
      <c r="I69" s="560">
        <v>22</v>
      </c>
      <c r="J69" s="562" t="s">
        <v>1115</v>
      </c>
      <c r="K69" s="377" t="s">
        <v>1112</v>
      </c>
      <c r="L69" s="449">
        <v>5</v>
      </c>
      <c r="M69" s="449">
        <v>35</v>
      </c>
      <c r="N69" s="448">
        <v>42160</v>
      </c>
    </row>
    <row r="70" spans="1:14">
      <c r="A70" s="562" t="s">
        <v>1453</v>
      </c>
      <c r="B70" s="560">
        <v>52</v>
      </c>
      <c r="C70" s="193">
        <v>42150</v>
      </c>
      <c r="D70" s="193">
        <v>42150</v>
      </c>
      <c r="E70" s="562" t="s">
        <v>171</v>
      </c>
      <c r="F70" s="562" t="s">
        <v>1110</v>
      </c>
      <c r="G70" s="563" t="s">
        <v>1116</v>
      </c>
      <c r="H70" s="562">
        <v>18</v>
      </c>
      <c r="I70" s="560">
        <v>18</v>
      </c>
      <c r="J70" s="562"/>
      <c r="K70" s="562" t="s">
        <v>1112</v>
      </c>
      <c r="L70" s="447">
        <v>2</v>
      </c>
      <c r="M70" s="447">
        <v>8</v>
      </c>
      <c r="N70" s="448">
        <v>42159</v>
      </c>
    </row>
    <row r="71" spans="1:14">
      <c r="A71" s="562" t="s">
        <v>1454</v>
      </c>
      <c r="B71" s="829">
        <v>53</v>
      </c>
      <c r="C71" s="193">
        <v>42150</v>
      </c>
      <c r="D71" s="193">
        <v>42150</v>
      </c>
      <c r="E71" s="561" t="s">
        <v>195</v>
      </c>
      <c r="F71" s="562" t="s">
        <v>1110</v>
      </c>
      <c r="G71" s="563" t="s">
        <v>1111</v>
      </c>
      <c r="H71" s="562">
        <v>1014</v>
      </c>
      <c r="I71" s="560">
        <v>1014</v>
      </c>
      <c r="J71" s="562"/>
      <c r="K71" s="377" t="s">
        <v>1112</v>
      </c>
      <c r="L71" s="447">
        <v>6</v>
      </c>
      <c r="M71" s="447">
        <v>42</v>
      </c>
      <c r="N71" s="448">
        <v>42159</v>
      </c>
    </row>
    <row r="72" spans="1:14">
      <c r="A72" s="562" t="s">
        <v>1454</v>
      </c>
      <c r="B72" s="829">
        <v>53</v>
      </c>
      <c r="C72" s="193">
        <v>42150</v>
      </c>
      <c r="D72" s="193">
        <v>42150</v>
      </c>
      <c r="E72" s="562" t="s">
        <v>177</v>
      </c>
      <c r="F72" s="562" t="s">
        <v>1110</v>
      </c>
      <c r="G72" s="562" t="s">
        <v>1113</v>
      </c>
      <c r="H72" s="562">
        <v>668</v>
      </c>
      <c r="I72" s="560">
        <v>668</v>
      </c>
      <c r="J72" s="562"/>
      <c r="K72" s="562" t="s">
        <v>1112</v>
      </c>
      <c r="L72" s="447">
        <v>2</v>
      </c>
      <c r="M72" s="447">
        <v>8</v>
      </c>
      <c r="N72" s="448">
        <v>42151</v>
      </c>
    </row>
    <row r="73" spans="1:14">
      <c r="A73" s="562" t="s">
        <v>1454</v>
      </c>
      <c r="B73" s="829">
        <v>53</v>
      </c>
      <c r="C73" s="193">
        <v>42150</v>
      </c>
      <c r="D73" s="193">
        <v>42150</v>
      </c>
      <c r="E73" s="562" t="s">
        <v>223</v>
      </c>
      <c r="F73" s="562" t="s">
        <v>1110</v>
      </c>
      <c r="G73" s="562" t="s">
        <v>1114</v>
      </c>
      <c r="H73" s="562">
        <v>17</v>
      </c>
      <c r="I73" s="560">
        <v>17</v>
      </c>
      <c r="J73" s="562" t="s">
        <v>1115</v>
      </c>
      <c r="K73" s="377" t="s">
        <v>1112</v>
      </c>
      <c r="L73" s="449">
        <v>5</v>
      </c>
      <c r="M73" s="449">
        <v>35</v>
      </c>
      <c r="N73" s="448">
        <v>42160</v>
      </c>
    </row>
    <row r="74" spans="1:14">
      <c r="A74" s="562" t="s">
        <v>1454</v>
      </c>
      <c r="B74" s="829">
        <v>53</v>
      </c>
      <c r="C74" s="193">
        <v>42150</v>
      </c>
      <c r="D74" s="193">
        <v>42150</v>
      </c>
      <c r="E74" s="562" t="s">
        <v>171</v>
      </c>
      <c r="F74" s="562" t="s">
        <v>1110</v>
      </c>
      <c r="G74" s="563" t="s">
        <v>1116</v>
      </c>
      <c r="H74" s="562">
        <v>9</v>
      </c>
      <c r="I74" s="560">
        <v>9</v>
      </c>
      <c r="J74" s="562"/>
      <c r="K74" s="562" t="s">
        <v>1112</v>
      </c>
      <c r="L74" s="447">
        <v>2</v>
      </c>
      <c r="M74" s="447">
        <v>8</v>
      </c>
      <c r="N74" s="448">
        <v>42159</v>
      </c>
    </row>
    <row r="75" spans="1:14">
      <c r="A75" s="562" t="s">
        <v>1455</v>
      </c>
      <c r="B75" s="560">
        <v>54</v>
      </c>
      <c r="C75" s="193">
        <v>42150</v>
      </c>
      <c r="D75" s="193">
        <v>42150</v>
      </c>
      <c r="E75" s="561" t="s">
        <v>195</v>
      </c>
      <c r="F75" s="562" t="s">
        <v>1110</v>
      </c>
      <c r="G75" s="563" t="s">
        <v>1111</v>
      </c>
      <c r="H75" s="562">
        <v>1073</v>
      </c>
      <c r="I75" s="560">
        <v>1073</v>
      </c>
      <c r="J75" s="562"/>
      <c r="K75" s="377" t="s">
        <v>1112</v>
      </c>
      <c r="L75" s="447">
        <v>6</v>
      </c>
      <c r="M75" s="447">
        <v>42</v>
      </c>
      <c r="N75" s="448">
        <v>42159</v>
      </c>
    </row>
    <row r="76" spans="1:14">
      <c r="A76" s="562" t="s">
        <v>1455</v>
      </c>
      <c r="B76" s="560">
        <v>54</v>
      </c>
      <c r="C76" s="193">
        <v>42150</v>
      </c>
      <c r="D76" s="193">
        <v>42150</v>
      </c>
      <c r="E76" s="562" t="s">
        <v>177</v>
      </c>
      <c r="F76" s="562" t="s">
        <v>1110</v>
      </c>
      <c r="G76" s="562" t="s">
        <v>1113</v>
      </c>
      <c r="H76" s="562">
        <v>781</v>
      </c>
      <c r="I76" s="560">
        <v>781</v>
      </c>
      <c r="J76" s="562"/>
      <c r="K76" s="562" t="s">
        <v>1112</v>
      </c>
      <c r="L76" s="447">
        <v>2</v>
      </c>
      <c r="M76" s="447">
        <v>8</v>
      </c>
      <c r="N76" s="448">
        <v>42151</v>
      </c>
    </row>
    <row r="77" spans="1:14">
      <c r="A77" s="562" t="s">
        <v>1455</v>
      </c>
      <c r="B77" s="560">
        <v>54</v>
      </c>
      <c r="C77" s="193">
        <v>42150</v>
      </c>
      <c r="D77" s="193">
        <v>42150</v>
      </c>
      <c r="E77" s="562" t="s">
        <v>223</v>
      </c>
      <c r="F77" s="562" t="s">
        <v>1110</v>
      </c>
      <c r="G77" s="562" t="s">
        <v>1114</v>
      </c>
      <c r="H77" s="562">
        <v>21</v>
      </c>
      <c r="I77" s="560">
        <v>21</v>
      </c>
      <c r="J77" s="562" t="s">
        <v>1115</v>
      </c>
      <c r="K77" s="377" t="s">
        <v>1112</v>
      </c>
      <c r="L77" s="449">
        <v>5</v>
      </c>
      <c r="M77" s="449">
        <v>35</v>
      </c>
      <c r="N77" s="448">
        <v>42160</v>
      </c>
    </row>
    <row r="78" spans="1:14">
      <c r="A78" s="562" t="s">
        <v>1455</v>
      </c>
      <c r="B78" s="560">
        <v>54</v>
      </c>
      <c r="C78" s="193">
        <v>42150</v>
      </c>
      <c r="D78" s="193">
        <v>42150</v>
      </c>
      <c r="E78" s="562" t="s">
        <v>171</v>
      </c>
      <c r="F78" s="562" t="s">
        <v>1110</v>
      </c>
      <c r="G78" s="563" t="s">
        <v>1116</v>
      </c>
      <c r="H78" s="562">
        <v>12</v>
      </c>
      <c r="I78" s="560">
        <v>12</v>
      </c>
      <c r="J78" s="562"/>
      <c r="K78" s="562" t="s">
        <v>1112</v>
      </c>
      <c r="L78" s="447">
        <v>2</v>
      </c>
      <c r="M78" s="447">
        <v>8</v>
      </c>
      <c r="N78" s="448">
        <v>42159</v>
      </c>
    </row>
    <row r="79" spans="1:14">
      <c r="A79" s="562" t="s">
        <v>1456</v>
      </c>
      <c r="B79" s="560">
        <v>55</v>
      </c>
      <c r="C79" s="193">
        <v>42150</v>
      </c>
      <c r="D79" s="193">
        <v>42150</v>
      </c>
      <c r="E79" s="561" t="s">
        <v>195</v>
      </c>
      <c r="F79" s="562" t="s">
        <v>1110</v>
      </c>
      <c r="G79" s="563" t="s">
        <v>1111</v>
      </c>
      <c r="H79" s="562">
        <v>1058</v>
      </c>
      <c r="I79" s="560">
        <v>1058</v>
      </c>
      <c r="J79" s="562"/>
      <c r="K79" s="377" t="s">
        <v>1112</v>
      </c>
      <c r="L79" s="447">
        <v>6</v>
      </c>
      <c r="M79" s="447">
        <v>42</v>
      </c>
      <c r="N79" s="448">
        <v>42159</v>
      </c>
    </row>
    <row r="80" spans="1:14">
      <c r="A80" s="562" t="s">
        <v>1456</v>
      </c>
      <c r="B80" s="560">
        <v>55</v>
      </c>
      <c r="C80" s="193">
        <v>42150</v>
      </c>
      <c r="D80" s="193">
        <v>42150</v>
      </c>
      <c r="E80" s="562" t="s">
        <v>177</v>
      </c>
      <c r="F80" s="562" t="s">
        <v>1110</v>
      </c>
      <c r="G80" s="562" t="s">
        <v>1113</v>
      </c>
      <c r="H80" s="562">
        <v>758</v>
      </c>
      <c r="I80" s="560">
        <v>758</v>
      </c>
      <c r="J80" s="562"/>
      <c r="K80" s="562" t="s">
        <v>1112</v>
      </c>
      <c r="L80" s="447">
        <v>2</v>
      </c>
      <c r="M80" s="447">
        <v>8</v>
      </c>
      <c r="N80" s="448">
        <v>42151</v>
      </c>
    </row>
    <row r="81" spans="1:14">
      <c r="A81" s="562" t="s">
        <v>1456</v>
      </c>
      <c r="B81" s="560">
        <v>55</v>
      </c>
      <c r="C81" s="193">
        <v>42150</v>
      </c>
      <c r="D81" s="193">
        <v>42150</v>
      </c>
      <c r="E81" s="562" t="s">
        <v>223</v>
      </c>
      <c r="F81" s="562" t="s">
        <v>1110</v>
      </c>
      <c r="G81" s="562" t="s">
        <v>1114</v>
      </c>
      <c r="H81" s="562">
        <v>26</v>
      </c>
      <c r="I81" s="560">
        <v>26</v>
      </c>
      <c r="J81" s="562" t="s">
        <v>1115</v>
      </c>
      <c r="K81" s="377" t="s">
        <v>1112</v>
      </c>
      <c r="L81" s="449">
        <v>5</v>
      </c>
      <c r="M81" s="449">
        <v>35</v>
      </c>
      <c r="N81" s="448">
        <v>42160</v>
      </c>
    </row>
    <row r="82" spans="1:14">
      <c r="A82" s="562" t="s">
        <v>1456</v>
      </c>
      <c r="B82" s="560">
        <v>55</v>
      </c>
      <c r="C82" s="193">
        <v>42150</v>
      </c>
      <c r="D82" s="193">
        <v>42150</v>
      </c>
      <c r="E82" s="562" t="s">
        <v>171</v>
      </c>
      <c r="F82" s="562" t="s">
        <v>1110</v>
      </c>
      <c r="G82" s="563" t="s">
        <v>1116</v>
      </c>
      <c r="H82" s="562">
        <v>17</v>
      </c>
      <c r="I82" s="560">
        <v>17</v>
      </c>
      <c r="J82" s="562"/>
      <c r="K82" s="562" t="s">
        <v>1112</v>
      </c>
      <c r="L82" s="447">
        <v>2</v>
      </c>
      <c r="M82" s="447">
        <v>8</v>
      </c>
      <c r="N82" s="448">
        <v>42159</v>
      </c>
    </row>
    <row r="83" spans="1:14">
      <c r="A83" s="559" t="s">
        <v>1388</v>
      </c>
      <c r="B83" s="560">
        <v>52</v>
      </c>
      <c r="C83" s="193">
        <v>42170</v>
      </c>
      <c r="D83" s="193">
        <v>42170</v>
      </c>
      <c r="E83" s="561" t="s">
        <v>195</v>
      </c>
      <c r="F83" s="562" t="s">
        <v>1110</v>
      </c>
      <c r="G83" s="563" t="s">
        <v>1111</v>
      </c>
      <c r="H83" s="562">
        <v>1285</v>
      </c>
      <c r="I83" s="560">
        <v>1285</v>
      </c>
      <c r="J83" s="562"/>
      <c r="K83" s="377" t="s">
        <v>1112</v>
      </c>
      <c r="L83" s="447">
        <v>6</v>
      </c>
      <c r="M83" s="447">
        <v>42</v>
      </c>
      <c r="N83" s="448">
        <v>42181</v>
      </c>
    </row>
    <row r="84" spans="1:14">
      <c r="A84" s="559" t="s">
        <v>1388</v>
      </c>
      <c r="B84" s="560">
        <v>52</v>
      </c>
      <c r="C84" s="193">
        <v>42170</v>
      </c>
      <c r="D84" s="193">
        <v>42170</v>
      </c>
      <c r="E84" s="562" t="s">
        <v>177</v>
      </c>
      <c r="F84" s="562" t="s">
        <v>1110</v>
      </c>
      <c r="G84" s="562" t="s">
        <v>1113</v>
      </c>
      <c r="H84" s="562">
        <v>1016</v>
      </c>
      <c r="I84" s="560">
        <v>1016</v>
      </c>
      <c r="J84" s="562"/>
      <c r="K84" s="562" t="s">
        <v>1112</v>
      </c>
      <c r="L84" s="447">
        <v>2</v>
      </c>
      <c r="M84" s="447">
        <v>8</v>
      </c>
      <c r="N84" s="448">
        <v>42171</v>
      </c>
    </row>
    <row r="85" spans="1:14">
      <c r="A85" s="559" t="s">
        <v>1388</v>
      </c>
      <c r="B85" s="560">
        <v>52</v>
      </c>
      <c r="C85" s="193">
        <v>42170</v>
      </c>
      <c r="D85" s="193">
        <v>42170</v>
      </c>
      <c r="E85" s="562" t="s">
        <v>223</v>
      </c>
      <c r="F85" s="562" t="s">
        <v>1110</v>
      </c>
      <c r="G85" s="562" t="s">
        <v>1114</v>
      </c>
      <c r="H85" s="562">
        <v>19</v>
      </c>
      <c r="I85" s="560">
        <v>19</v>
      </c>
      <c r="J85" s="562" t="s">
        <v>1115</v>
      </c>
      <c r="K85" s="377" t="s">
        <v>1112</v>
      </c>
      <c r="L85" s="449">
        <v>5</v>
      </c>
      <c r="M85" s="449">
        <v>35</v>
      </c>
      <c r="N85" s="448">
        <v>42173</v>
      </c>
    </row>
    <row r="86" spans="1:14">
      <c r="A86" s="559" t="s">
        <v>1388</v>
      </c>
      <c r="B86" s="560">
        <v>52</v>
      </c>
      <c r="C86" s="193">
        <v>42170</v>
      </c>
      <c r="D86" s="193">
        <v>42170</v>
      </c>
      <c r="E86" s="562" t="s">
        <v>171</v>
      </c>
      <c r="F86" s="562" t="s">
        <v>1110</v>
      </c>
      <c r="G86" s="563" t="s">
        <v>1116</v>
      </c>
      <c r="H86" s="562">
        <v>38</v>
      </c>
      <c r="I86" s="560">
        <v>38</v>
      </c>
      <c r="J86" s="562"/>
      <c r="K86" s="562" t="s">
        <v>1112</v>
      </c>
      <c r="L86" s="447">
        <v>2</v>
      </c>
      <c r="M86" s="447">
        <v>8</v>
      </c>
      <c r="N86" s="448">
        <v>42181</v>
      </c>
    </row>
    <row r="87" spans="1:14">
      <c r="A87" s="562" t="s">
        <v>1389</v>
      </c>
      <c r="B87" s="560">
        <v>53</v>
      </c>
      <c r="C87" s="193">
        <v>42170</v>
      </c>
      <c r="D87" s="193">
        <v>42170</v>
      </c>
      <c r="E87" s="561" t="s">
        <v>195</v>
      </c>
      <c r="F87" s="562" t="s">
        <v>1110</v>
      </c>
      <c r="G87" s="563" t="s">
        <v>1111</v>
      </c>
      <c r="H87" s="562">
        <v>1099</v>
      </c>
      <c r="I87" s="560">
        <v>1099</v>
      </c>
      <c r="J87" s="562"/>
      <c r="K87" s="377" t="s">
        <v>1112</v>
      </c>
      <c r="L87" s="447">
        <v>6</v>
      </c>
      <c r="M87" s="447">
        <v>42</v>
      </c>
      <c r="N87" s="448">
        <v>42181</v>
      </c>
    </row>
    <row r="88" spans="1:14">
      <c r="A88" s="562" t="s">
        <v>1389</v>
      </c>
      <c r="B88" s="560">
        <v>53</v>
      </c>
      <c r="C88" s="193">
        <v>42170</v>
      </c>
      <c r="D88" s="193">
        <v>42170</v>
      </c>
      <c r="E88" s="562" t="s">
        <v>177</v>
      </c>
      <c r="F88" s="562" t="s">
        <v>1110</v>
      </c>
      <c r="G88" s="562" t="s">
        <v>1113</v>
      </c>
      <c r="H88" s="562">
        <v>796</v>
      </c>
      <c r="I88" s="560">
        <v>796</v>
      </c>
      <c r="J88" s="562"/>
      <c r="K88" s="562" t="s">
        <v>1112</v>
      </c>
      <c r="L88" s="447">
        <v>2</v>
      </c>
      <c r="M88" s="447">
        <v>8</v>
      </c>
      <c r="N88" s="448">
        <v>42171</v>
      </c>
    </row>
    <row r="89" spans="1:14">
      <c r="A89" s="562" t="s">
        <v>1389</v>
      </c>
      <c r="B89" s="560">
        <v>53</v>
      </c>
      <c r="C89" s="193">
        <v>42170</v>
      </c>
      <c r="D89" s="193">
        <v>42170</v>
      </c>
      <c r="E89" s="562" t="s">
        <v>223</v>
      </c>
      <c r="F89" s="562" t="s">
        <v>1110</v>
      </c>
      <c r="G89" s="562" t="s">
        <v>1114</v>
      </c>
      <c r="H89" s="562">
        <v>15</v>
      </c>
      <c r="I89" s="560">
        <v>15</v>
      </c>
      <c r="J89" s="562" t="s">
        <v>1115</v>
      </c>
      <c r="K89" s="377" t="s">
        <v>1112</v>
      </c>
      <c r="L89" s="449">
        <v>5</v>
      </c>
      <c r="M89" s="449">
        <v>35</v>
      </c>
      <c r="N89" s="448">
        <v>42173</v>
      </c>
    </row>
    <row r="90" spans="1:14">
      <c r="A90" s="562" t="s">
        <v>1389</v>
      </c>
      <c r="B90" s="560">
        <v>53</v>
      </c>
      <c r="C90" s="193">
        <v>42170</v>
      </c>
      <c r="D90" s="193">
        <v>42170</v>
      </c>
      <c r="E90" s="562" t="s">
        <v>171</v>
      </c>
      <c r="F90" s="562" t="s">
        <v>1110</v>
      </c>
      <c r="G90" s="563" t="s">
        <v>1116</v>
      </c>
      <c r="H90" s="562">
        <v>30</v>
      </c>
      <c r="I90" s="560">
        <v>30</v>
      </c>
      <c r="J90" s="562"/>
      <c r="K90" s="562" t="s">
        <v>1112</v>
      </c>
      <c r="L90" s="447">
        <v>2</v>
      </c>
      <c r="M90" s="447">
        <v>8</v>
      </c>
      <c r="N90" s="448">
        <v>42181</v>
      </c>
    </row>
    <row r="91" spans="1:14">
      <c r="A91" s="559" t="s">
        <v>1390</v>
      </c>
      <c r="B91" s="829">
        <v>54</v>
      </c>
      <c r="C91" s="193">
        <v>42170</v>
      </c>
      <c r="D91" s="193">
        <v>42170</v>
      </c>
      <c r="E91" s="561" t="s">
        <v>195</v>
      </c>
      <c r="F91" s="562" t="s">
        <v>1110</v>
      </c>
      <c r="G91" s="563" t="s">
        <v>1111</v>
      </c>
      <c r="H91" s="562">
        <v>1400</v>
      </c>
      <c r="I91" s="560">
        <v>1400</v>
      </c>
      <c r="J91" s="562"/>
      <c r="K91" s="377" t="s">
        <v>1112</v>
      </c>
      <c r="L91" s="447">
        <v>6</v>
      </c>
      <c r="M91" s="447">
        <v>42</v>
      </c>
      <c r="N91" s="448">
        <v>42181</v>
      </c>
    </row>
    <row r="92" spans="1:14">
      <c r="A92" s="559" t="s">
        <v>1390</v>
      </c>
      <c r="B92" s="829">
        <v>54</v>
      </c>
      <c r="C92" s="193">
        <v>42170</v>
      </c>
      <c r="D92" s="193">
        <v>42170</v>
      </c>
      <c r="E92" s="562" t="s">
        <v>177</v>
      </c>
      <c r="F92" s="562" t="s">
        <v>1110</v>
      </c>
      <c r="G92" s="562" t="s">
        <v>1113</v>
      </c>
      <c r="H92" s="562">
        <v>1130</v>
      </c>
      <c r="I92" s="560">
        <v>1130</v>
      </c>
      <c r="J92" s="562"/>
      <c r="K92" s="562" t="s">
        <v>1112</v>
      </c>
      <c r="L92" s="447">
        <v>2</v>
      </c>
      <c r="M92" s="447">
        <v>8</v>
      </c>
      <c r="N92" s="448">
        <v>42171</v>
      </c>
    </row>
    <row r="93" spans="1:14">
      <c r="A93" s="559" t="s">
        <v>1390</v>
      </c>
      <c r="B93" s="829">
        <v>54</v>
      </c>
      <c r="C93" s="193">
        <v>42170</v>
      </c>
      <c r="D93" s="193">
        <v>42170</v>
      </c>
      <c r="E93" s="562" t="s">
        <v>223</v>
      </c>
      <c r="F93" s="562" t="s">
        <v>1110</v>
      </c>
      <c r="G93" s="562" t="s">
        <v>1114</v>
      </c>
      <c r="H93" s="562">
        <v>31</v>
      </c>
      <c r="I93" s="560">
        <v>31</v>
      </c>
      <c r="J93" s="562" t="s">
        <v>1115</v>
      </c>
      <c r="K93" s="377" t="s">
        <v>1112</v>
      </c>
      <c r="L93" s="449">
        <v>5</v>
      </c>
      <c r="M93" s="449">
        <v>35</v>
      </c>
      <c r="N93" s="448">
        <v>42173</v>
      </c>
    </row>
    <row r="94" spans="1:14">
      <c r="A94" s="559" t="s">
        <v>1390</v>
      </c>
      <c r="B94" s="829">
        <v>54</v>
      </c>
      <c r="C94" s="193">
        <v>42170</v>
      </c>
      <c r="D94" s="193">
        <v>42170</v>
      </c>
      <c r="E94" s="562" t="s">
        <v>171</v>
      </c>
      <c r="F94" s="562" t="s">
        <v>1110</v>
      </c>
      <c r="G94" s="563" t="s">
        <v>1116</v>
      </c>
      <c r="H94" s="562">
        <v>41</v>
      </c>
      <c r="I94" s="560">
        <v>41</v>
      </c>
      <c r="J94" s="562"/>
      <c r="K94" s="562" t="s">
        <v>1112</v>
      </c>
      <c r="L94" s="447">
        <v>2</v>
      </c>
      <c r="M94" s="447">
        <v>8</v>
      </c>
      <c r="N94" s="448">
        <v>42181</v>
      </c>
    </row>
    <row r="95" spans="1:14">
      <c r="A95" s="562" t="s">
        <v>1391</v>
      </c>
      <c r="B95" s="560">
        <v>55</v>
      </c>
      <c r="C95" s="193">
        <v>42170</v>
      </c>
      <c r="D95" s="193">
        <v>42170</v>
      </c>
      <c r="E95" s="561" t="s">
        <v>195</v>
      </c>
      <c r="F95" s="562" t="s">
        <v>1110</v>
      </c>
      <c r="G95" s="563" t="s">
        <v>1111</v>
      </c>
      <c r="H95" s="562">
        <v>880</v>
      </c>
      <c r="I95" s="560">
        <v>880</v>
      </c>
      <c r="J95" s="562"/>
      <c r="K95" s="377" t="s">
        <v>1112</v>
      </c>
      <c r="L95" s="447">
        <v>6</v>
      </c>
      <c r="M95" s="447">
        <v>42</v>
      </c>
      <c r="N95" s="448">
        <v>42181</v>
      </c>
    </row>
    <row r="96" spans="1:14">
      <c r="A96" s="562" t="s">
        <v>1391</v>
      </c>
      <c r="B96" s="560">
        <v>55</v>
      </c>
      <c r="C96" s="193">
        <v>42170</v>
      </c>
      <c r="D96" s="193">
        <v>42170</v>
      </c>
      <c r="E96" s="562" t="s">
        <v>177</v>
      </c>
      <c r="F96" s="562" t="s">
        <v>1110</v>
      </c>
      <c r="G96" s="562" t="s">
        <v>1113</v>
      </c>
      <c r="H96" s="562">
        <v>571</v>
      </c>
      <c r="I96" s="560">
        <v>571</v>
      </c>
      <c r="J96" s="562"/>
      <c r="K96" s="562" t="s">
        <v>1112</v>
      </c>
      <c r="L96" s="447">
        <v>2</v>
      </c>
      <c r="M96" s="447">
        <v>8</v>
      </c>
      <c r="N96" s="448">
        <v>42171</v>
      </c>
    </row>
    <row r="97" spans="1:14">
      <c r="A97" s="562" t="s">
        <v>1391</v>
      </c>
      <c r="B97" s="560">
        <v>55</v>
      </c>
      <c r="C97" s="193">
        <v>42170</v>
      </c>
      <c r="D97" s="193">
        <v>42170</v>
      </c>
      <c r="E97" s="562" t="s">
        <v>223</v>
      </c>
      <c r="F97" s="562" t="s">
        <v>1110</v>
      </c>
      <c r="G97" s="562" t="s">
        <v>1114</v>
      </c>
      <c r="H97" s="562">
        <v>17</v>
      </c>
      <c r="I97" s="560">
        <v>17</v>
      </c>
      <c r="J97" s="562" t="s">
        <v>1115</v>
      </c>
      <c r="K97" s="377" t="s">
        <v>1112</v>
      </c>
      <c r="L97" s="449">
        <v>5</v>
      </c>
      <c r="M97" s="449">
        <v>35</v>
      </c>
      <c r="N97" s="448">
        <v>42173</v>
      </c>
    </row>
    <row r="98" spans="1:14">
      <c r="A98" s="562" t="s">
        <v>1391</v>
      </c>
      <c r="B98" s="560">
        <v>55</v>
      </c>
      <c r="C98" s="193">
        <v>42170</v>
      </c>
      <c r="D98" s="193">
        <v>42170</v>
      </c>
      <c r="E98" s="562" t="s">
        <v>171</v>
      </c>
      <c r="F98" s="562" t="s">
        <v>1110</v>
      </c>
      <c r="G98" s="563" t="s">
        <v>1116</v>
      </c>
      <c r="H98" s="562">
        <v>23</v>
      </c>
      <c r="I98" s="560">
        <v>23</v>
      </c>
      <c r="J98" s="562"/>
      <c r="K98" s="562" t="s">
        <v>1112</v>
      </c>
      <c r="L98" s="447">
        <v>2</v>
      </c>
      <c r="M98" s="447">
        <v>8</v>
      </c>
      <c r="N98" s="448">
        <v>42181</v>
      </c>
    </row>
    <row r="99" spans="1:14">
      <c r="A99" s="559" t="s">
        <v>1397</v>
      </c>
      <c r="B99" s="560">
        <v>52</v>
      </c>
      <c r="C99" s="193">
        <v>42191</v>
      </c>
      <c r="D99" s="193">
        <v>42191</v>
      </c>
      <c r="E99" s="561" t="s">
        <v>195</v>
      </c>
      <c r="F99" s="562" t="s">
        <v>1110</v>
      </c>
      <c r="G99" s="563" t="s">
        <v>1111</v>
      </c>
      <c r="H99" s="562">
        <v>1205</v>
      </c>
      <c r="I99" s="560">
        <v>1205</v>
      </c>
      <c r="J99" s="562"/>
      <c r="K99" s="377" t="s">
        <v>1112</v>
      </c>
      <c r="L99" s="447">
        <v>6</v>
      </c>
      <c r="M99" s="447">
        <v>42</v>
      </c>
      <c r="N99" s="448">
        <v>42193</v>
      </c>
    </row>
    <row r="100" spans="1:14">
      <c r="A100" s="559" t="s">
        <v>1397</v>
      </c>
      <c r="B100" s="560">
        <v>52</v>
      </c>
      <c r="C100" s="193">
        <v>42191</v>
      </c>
      <c r="D100" s="193">
        <v>42191</v>
      </c>
      <c r="E100" s="562" t="s">
        <v>177</v>
      </c>
      <c r="F100" s="562" t="s">
        <v>1110</v>
      </c>
      <c r="G100" s="562" t="s">
        <v>1113</v>
      </c>
      <c r="H100" s="562">
        <v>896</v>
      </c>
      <c r="I100" s="560">
        <v>896</v>
      </c>
      <c r="J100" s="562"/>
      <c r="K100" s="562" t="s">
        <v>1112</v>
      </c>
      <c r="L100" s="447">
        <v>2</v>
      </c>
      <c r="M100" s="447">
        <v>8</v>
      </c>
      <c r="N100" s="448">
        <v>42192</v>
      </c>
    </row>
    <row r="101" spans="1:14">
      <c r="A101" s="559" t="s">
        <v>1397</v>
      </c>
      <c r="B101" s="560">
        <v>52</v>
      </c>
      <c r="C101" s="193">
        <v>42191</v>
      </c>
      <c r="D101" s="193">
        <v>42191</v>
      </c>
      <c r="E101" s="562" t="s">
        <v>223</v>
      </c>
      <c r="F101" s="562" t="s">
        <v>1110</v>
      </c>
      <c r="G101" s="562" t="s">
        <v>1114</v>
      </c>
      <c r="H101" s="562">
        <v>42</v>
      </c>
      <c r="I101" s="560">
        <v>42</v>
      </c>
      <c r="J101" s="562"/>
      <c r="K101" s="377" t="s">
        <v>1112</v>
      </c>
      <c r="L101" s="449">
        <v>5</v>
      </c>
      <c r="M101" s="449">
        <v>35</v>
      </c>
      <c r="N101" s="448">
        <v>42195</v>
      </c>
    </row>
    <row r="102" spans="1:14">
      <c r="A102" s="559" t="s">
        <v>1397</v>
      </c>
      <c r="B102" s="560">
        <v>52</v>
      </c>
      <c r="C102" s="193">
        <v>42191</v>
      </c>
      <c r="D102" s="193">
        <v>42191</v>
      </c>
      <c r="E102" s="562" t="s">
        <v>171</v>
      </c>
      <c r="F102" s="562" t="s">
        <v>1110</v>
      </c>
      <c r="G102" s="563" t="s">
        <v>1116</v>
      </c>
      <c r="H102" s="562">
        <v>107</v>
      </c>
      <c r="I102" s="560">
        <v>107</v>
      </c>
      <c r="J102" s="562"/>
      <c r="K102" s="562" t="s">
        <v>1112</v>
      </c>
      <c r="L102" s="447">
        <v>2</v>
      </c>
      <c r="M102" s="447">
        <v>8</v>
      </c>
      <c r="N102" s="448">
        <v>42193</v>
      </c>
    </row>
    <row r="103" spans="1:14">
      <c r="A103" s="562" t="s">
        <v>1398</v>
      </c>
      <c r="B103" s="560">
        <v>53</v>
      </c>
      <c r="C103" s="193">
        <v>42191</v>
      </c>
      <c r="D103" s="193">
        <v>42191</v>
      </c>
      <c r="E103" s="561" t="s">
        <v>195</v>
      </c>
      <c r="F103" s="562" t="s">
        <v>1110</v>
      </c>
      <c r="G103" s="563" t="s">
        <v>1111</v>
      </c>
      <c r="H103" s="562">
        <v>1071</v>
      </c>
      <c r="I103" s="560">
        <v>1071</v>
      </c>
      <c r="J103" s="562"/>
      <c r="K103" s="377" t="s">
        <v>1112</v>
      </c>
      <c r="L103" s="447">
        <v>6</v>
      </c>
      <c r="M103" s="447">
        <v>42</v>
      </c>
      <c r="N103" s="448">
        <v>42193</v>
      </c>
    </row>
    <row r="104" spans="1:14">
      <c r="A104" s="562" t="s">
        <v>1398</v>
      </c>
      <c r="B104" s="560">
        <v>53</v>
      </c>
      <c r="C104" s="193">
        <v>42191</v>
      </c>
      <c r="D104" s="193">
        <v>42191</v>
      </c>
      <c r="E104" s="562" t="s">
        <v>177</v>
      </c>
      <c r="F104" s="562" t="s">
        <v>1110</v>
      </c>
      <c r="G104" s="562" t="s">
        <v>1113</v>
      </c>
      <c r="H104" s="562">
        <v>737</v>
      </c>
      <c r="I104" s="560">
        <v>737</v>
      </c>
      <c r="J104" s="562"/>
      <c r="K104" s="562" t="s">
        <v>1112</v>
      </c>
      <c r="L104" s="447">
        <v>2</v>
      </c>
      <c r="M104" s="447">
        <v>8</v>
      </c>
      <c r="N104" s="448">
        <v>42192</v>
      </c>
    </row>
    <row r="105" spans="1:14">
      <c r="A105" s="562" t="s">
        <v>1398</v>
      </c>
      <c r="B105" s="560">
        <v>53</v>
      </c>
      <c r="C105" s="193">
        <v>42191</v>
      </c>
      <c r="D105" s="193">
        <v>42191</v>
      </c>
      <c r="E105" s="562" t="s">
        <v>223</v>
      </c>
      <c r="F105" s="562" t="s">
        <v>1110</v>
      </c>
      <c r="G105" s="562" t="s">
        <v>1114</v>
      </c>
      <c r="H105" s="562">
        <v>50</v>
      </c>
      <c r="I105" s="560">
        <v>50</v>
      </c>
      <c r="J105" s="562"/>
      <c r="K105" s="377" t="s">
        <v>1112</v>
      </c>
      <c r="L105" s="449">
        <v>5</v>
      </c>
      <c r="M105" s="449">
        <v>35</v>
      </c>
      <c r="N105" s="448">
        <v>42195</v>
      </c>
    </row>
    <row r="106" spans="1:14">
      <c r="A106" s="562" t="s">
        <v>1398</v>
      </c>
      <c r="B106" s="560">
        <v>53</v>
      </c>
      <c r="C106" s="193">
        <v>42191</v>
      </c>
      <c r="D106" s="193">
        <v>42191</v>
      </c>
      <c r="E106" s="562" t="s">
        <v>171</v>
      </c>
      <c r="F106" s="562" t="s">
        <v>1110</v>
      </c>
      <c r="G106" s="563" t="s">
        <v>1116</v>
      </c>
      <c r="H106" s="562">
        <v>66</v>
      </c>
      <c r="I106" s="560">
        <v>66</v>
      </c>
      <c r="J106" s="562"/>
      <c r="K106" s="562" t="s">
        <v>1112</v>
      </c>
      <c r="L106" s="447">
        <v>2</v>
      </c>
      <c r="M106" s="447">
        <v>8</v>
      </c>
      <c r="N106" s="448">
        <v>42193</v>
      </c>
    </row>
    <row r="107" spans="1:14">
      <c r="A107" s="559" t="s">
        <v>1399</v>
      </c>
      <c r="B107" s="829">
        <v>54</v>
      </c>
      <c r="C107" s="193">
        <v>42191</v>
      </c>
      <c r="D107" s="193">
        <v>42191</v>
      </c>
      <c r="E107" s="561" t="s">
        <v>195</v>
      </c>
      <c r="F107" s="562" t="s">
        <v>1110</v>
      </c>
      <c r="G107" s="563" t="s">
        <v>1111</v>
      </c>
      <c r="H107" s="562">
        <v>1058</v>
      </c>
      <c r="I107" s="560">
        <v>1058</v>
      </c>
      <c r="J107" s="562"/>
      <c r="K107" s="377" t="s">
        <v>1112</v>
      </c>
      <c r="L107" s="447">
        <v>6</v>
      </c>
      <c r="M107" s="447">
        <v>42</v>
      </c>
      <c r="N107" s="448">
        <v>42193</v>
      </c>
    </row>
    <row r="108" spans="1:14">
      <c r="A108" s="559" t="s">
        <v>1399</v>
      </c>
      <c r="B108" s="829">
        <v>54</v>
      </c>
      <c r="C108" s="193">
        <v>42191</v>
      </c>
      <c r="D108" s="193">
        <v>42191</v>
      </c>
      <c r="E108" s="562" t="s">
        <v>177</v>
      </c>
      <c r="F108" s="562" t="s">
        <v>1110</v>
      </c>
      <c r="G108" s="562" t="s">
        <v>1113</v>
      </c>
      <c r="H108" s="562">
        <v>724</v>
      </c>
      <c r="I108" s="560">
        <v>724</v>
      </c>
      <c r="J108" s="562"/>
      <c r="K108" s="562" t="s">
        <v>1112</v>
      </c>
      <c r="L108" s="447">
        <v>2</v>
      </c>
      <c r="M108" s="447">
        <v>8</v>
      </c>
      <c r="N108" s="448">
        <v>42192</v>
      </c>
    </row>
    <row r="109" spans="1:14">
      <c r="A109" s="559" t="s">
        <v>1399</v>
      </c>
      <c r="B109" s="829">
        <v>54</v>
      </c>
      <c r="C109" s="193">
        <v>42191</v>
      </c>
      <c r="D109" s="193">
        <v>42191</v>
      </c>
      <c r="E109" s="562" t="s">
        <v>223</v>
      </c>
      <c r="F109" s="562" t="s">
        <v>1110</v>
      </c>
      <c r="G109" s="562" t="s">
        <v>1114</v>
      </c>
      <c r="H109" s="562">
        <v>45</v>
      </c>
      <c r="I109" s="560">
        <v>45</v>
      </c>
      <c r="J109" s="562"/>
      <c r="K109" s="377" t="s">
        <v>1112</v>
      </c>
      <c r="L109" s="449">
        <v>5</v>
      </c>
      <c r="M109" s="449">
        <v>35</v>
      </c>
      <c r="N109" s="448">
        <v>42195</v>
      </c>
    </row>
    <row r="110" spans="1:14">
      <c r="A110" s="559" t="s">
        <v>1399</v>
      </c>
      <c r="B110" s="829">
        <v>54</v>
      </c>
      <c r="C110" s="193">
        <v>42191</v>
      </c>
      <c r="D110" s="193">
        <v>42191</v>
      </c>
      <c r="E110" s="562" t="s">
        <v>171</v>
      </c>
      <c r="F110" s="562" t="s">
        <v>1110</v>
      </c>
      <c r="G110" s="563" t="s">
        <v>1116</v>
      </c>
      <c r="H110" s="562">
        <v>61</v>
      </c>
      <c r="I110" s="560">
        <v>61</v>
      </c>
      <c r="J110" s="562"/>
      <c r="K110" s="562" t="s">
        <v>1112</v>
      </c>
      <c r="L110" s="447">
        <v>2</v>
      </c>
      <c r="M110" s="447">
        <v>8</v>
      </c>
      <c r="N110" s="448">
        <v>42193</v>
      </c>
    </row>
    <row r="111" spans="1:14">
      <c r="A111" s="562" t="s">
        <v>1400</v>
      </c>
      <c r="B111" s="560">
        <v>55</v>
      </c>
      <c r="C111" s="193">
        <v>42191</v>
      </c>
      <c r="D111" s="193">
        <v>42191</v>
      </c>
      <c r="E111" s="561" t="s">
        <v>195</v>
      </c>
      <c r="F111" s="562" t="s">
        <v>1110</v>
      </c>
      <c r="G111" s="563" t="s">
        <v>1111</v>
      </c>
      <c r="H111" s="562">
        <v>1254</v>
      </c>
      <c r="I111" s="560">
        <v>1254</v>
      </c>
      <c r="J111" s="562"/>
      <c r="K111" s="377" t="s">
        <v>1112</v>
      </c>
      <c r="L111" s="447">
        <v>6</v>
      </c>
      <c r="M111" s="447">
        <v>42</v>
      </c>
      <c r="N111" s="448">
        <v>42193</v>
      </c>
    </row>
    <row r="112" spans="1:14">
      <c r="A112" s="562" t="s">
        <v>1400</v>
      </c>
      <c r="B112" s="560">
        <v>55</v>
      </c>
      <c r="C112" s="193">
        <v>42191</v>
      </c>
      <c r="D112" s="193">
        <v>42191</v>
      </c>
      <c r="E112" s="562" t="s">
        <v>177</v>
      </c>
      <c r="F112" s="562" t="s">
        <v>1110</v>
      </c>
      <c r="G112" s="562" t="s">
        <v>1113</v>
      </c>
      <c r="H112" s="562">
        <v>822</v>
      </c>
      <c r="I112" s="560">
        <v>822</v>
      </c>
      <c r="J112" s="562"/>
      <c r="K112" s="562" t="s">
        <v>1112</v>
      </c>
      <c r="L112" s="447">
        <v>2</v>
      </c>
      <c r="M112" s="447">
        <v>8</v>
      </c>
      <c r="N112" s="448">
        <v>42192</v>
      </c>
    </row>
    <row r="113" spans="1:14">
      <c r="A113" s="562" t="s">
        <v>1400</v>
      </c>
      <c r="B113" s="560">
        <v>55</v>
      </c>
      <c r="C113" s="193">
        <v>42191</v>
      </c>
      <c r="D113" s="193">
        <v>42191</v>
      </c>
      <c r="E113" s="562" t="s">
        <v>223</v>
      </c>
      <c r="F113" s="562" t="s">
        <v>1110</v>
      </c>
      <c r="G113" s="562" t="s">
        <v>1114</v>
      </c>
      <c r="H113" s="562">
        <v>46</v>
      </c>
      <c r="I113" s="560">
        <v>46</v>
      </c>
      <c r="J113" s="562"/>
      <c r="K113" s="377" t="s">
        <v>1112</v>
      </c>
      <c r="L113" s="449">
        <v>5</v>
      </c>
      <c r="M113" s="449">
        <v>35</v>
      </c>
      <c r="N113" s="448">
        <v>42195</v>
      </c>
    </row>
    <row r="114" spans="1:14">
      <c r="A114" s="562" t="s">
        <v>1400</v>
      </c>
      <c r="B114" s="560">
        <v>55</v>
      </c>
      <c r="C114" s="193">
        <v>42191</v>
      </c>
      <c r="D114" s="193">
        <v>42191</v>
      </c>
      <c r="E114" s="562" t="s">
        <v>171</v>
      </c>
      <c r="F114" s="562" t="s">
        <v>1110</v>
      </c>
      <c r="G114" s="563" t="s">
        <v>1116</v>
      </c>
      <c r="H114" s="562">
        <v>53</v>
      </c>
      <c r="I114" s="560">
        <v>53</v>
      </c>
      <c r="J114" s="562"/>
      <c r="K114" s="562" t="s">
        <v>1112</v>
      </c>
      <c r="L114" s="447">
        <v>2</v>
      </c>
      <c r="M114" s="447">
        <v>8</v>
      </c>
      <c r="N114" s="448">
        <v>42193</v>
      </c>
    </row>
    <row r="115" spans="1:14">
      <c r="A115" s="559" t="s">
        <v>1429</v>
      </c>
      <c r="B115" s="560">
        <v>52</v>
      </c>
      <c r="C115" s="193">
        <v>42241</v>
      </c>
      <c r="D115" s="193">
        <v>42241</v>
      </c>
      <c r="E115" s="561" t="s">
        <v>195</v>
      </c>
      <c r="F115" s="562" t="s">
        <v>1110</v>
      </c>
      <c r="G115" s="563" t="s">
        <v>1111</v>
      </c>
      <c r="H115" s="562">
        <v>864</v>
      </c>
      <c r="I115" s="560">
        <v>864</v>
      </c>
      <c r="J115" s="562"/>
      <c r="K115" s="377" t="s">
        <v>1112</v>
      </c>
      <c r="L115" s="447">
        <v>6</v>
      </c>
      <c r="M115" s="447">
        <v>42</v>
      </c>
      <c r="N115" s="448">
        <v>42249</v>
      </c>
    </row>
    <row r="116" spans="1:14">
      <c r="A116" s="559" t="s">
        <v>1429</v>
      </c>
      <c r="B116" s="560">
        <v>52</v>
      </c>
      <c r="C116" s="193">
        <v>42241</v>
      </c>
      <c r="D116" s="193">
        <v>42241</v>
      </c>
      <c r="E116" s="562" t="s">
        <v>177</v>
      </c>
      <c r="F116" s="562" t="s">
        <v>1110</v>
      </c>
      <c r="G116" s="562" t="s">
        <v>1113</v>
      </c>
      <c r="H116" s="562">
        <v>605</v>
      </c>
      <c r="I116" s="560">
        <v>605</v>
      </c>
      <c r="J116" s="562"/>
      <c r="K116" s="562" t="s">
        <v>1112</v>
      </c>
      <c r="L116" s="447">
        <v>2</v>
      </c>
      <c r="M116" s="447">
        <v>8</v>
      </c>
      <c r="N116" s="448">
        <v>42242</v>
      </c>
    </row>
    <row r="117" spans="1:14">
      <c r="A117" s="559" t="s">
        <v>1429</v>
      </c>
      <c r="B117" s="560">
        <v>52</v>
      </c>
      <c r="C117" s="193">
        <v>42241</v>
      </c>
      <c r="D117" s="193">
        <v>42241</v>
      </c>
      <c r="E117" s="562" t="s">
        <v>223</v>
      </c>
      <c r="F117" s="562" t="s">
        <v>1110</v>
      </c>
      <c r="G117" s="562" t="s">
        <v>1114</v>
      </c>
      <c r="H117" s="562">
        <v>13</v>
      </c>
      <c r="I117" s="560">
        <v>13</v>
      </c>
      <c r="J117" s="562" t="s">
        <v>1115</v>
      </c>
      <c r="K117" s="377" t="s">
        <v>1112</v>
      </c>
      <c r="L117" s="449">
        <v>5</v>
      </c>
      <c r="M117" s="449">
        <v>35</v>
      </c>
      <c r="N117" s="448">
        <v>42242</v>
      </c>
    </row>
    <row r="118" spans="1:14">
      <c r="A118" s="559" t="s">
        <v>1429</v>
      </c>
      <c r="B118" s="560">
        <v>52</v>
      </c>
      <c r="C118" s="193">
        <v>42241</v>
      </c>
      <c r="D118" s="193">
        <v>42241</v>
      </c>
      <c r="E118" s="562" t="s">
        <v>171</v>
      </c>
      <c r="F118" s="562" t="s">
        <v>1110</v>
      </c>
      <c r="G118" s="563" t="s">
        <v>1116</v>
      </c>
      <c r="H118" s="562">
        <v>22</v>
      </c>
      <c r="I118" s="560">
        <v>22</v>
      </c>
      <c r="J118" s="562"/>
      <c r="K118" s="562" t="s">
        <v>1112</v>
      </c>
      <c r="L118" s="447">
        <v>2</v>
      </c>
      <c r="M118" s="447">
        <v>8</v>
      </c>
      <c r="N118" s="448">
        <v>42249</v>
      </c>
    </row>
    <row r="119" spans="1:14">
      <c r="A119" s="562" t="s">
        <v>1430</v>
      </c>
      <c r="B119" s="560">
        <v>53</v>
      </c>
      <c r="C119" s="193">
        <v>42241</v>
      </c>
      <c r="D119" s="193">
        <v>42241</v>
      </c>
      <c r="E119" s="561" t="s">
        <v>195</v>
      </c>
      <c r="F119" s="562" t="s">
        <v>1110</v>
      </c>
      <c r="G119" s="563" t="s">
        <v>1111</v>
      </c>
      <c r="H119" s="562">
        <v>625</v>
      </c>
      <c r="I119" s="560">
        <v>625</v>
      </c>
      <c r="J119" s="562"/>
      <c r="K119" s="377" t="s">
        <v>1112</v>
      </c>
      <c r="L119" s="447">
        <v>6</v>
      </c>
      <c r="M119" s="447">
        <v>42</v>
      </c>
      <c r="N119" s="448">
        <v>42249</v>
      </c>
    </row>
    <row r="120" spans="1:14">
      <c r="A120" s="562" t="s">
        <v>1430</v>
      </c>
      <c r="B120" s="560">
        <v>53</v>
      </c>
      <c r="C120" s="193">
        <v>42241</v>
      </c>
      <c r="D120" s="193">
        <v>42241</v>
      </c>
      <c r="E120" s="562" t="s">
        <v>177</v>
      </c>
      <c r="F120" s="562" t="s">
        <v>1110</v>
      </c>
      <c r="G120" s="562" t="s">
        <v>1113</v>
      </c>
      <c r="H120" s="562">
        <v>451</v>
      </c>
      <c r="I120" s="560">
        <v>451</v>
      </c>
      <c r="J120" s="562"/>
      <c r="K120" s="562" t="s">
        <v>1112</v>
      </c>
      <c r="L120" s="447">
        <v>2</v>
      </c>
      <c r="M120" s="447">
        <v>8</v>
      </c>
      <c r="N120" s="448">
        <v>42242</v>
      </c>
    </row>
    <row r="121" spans="1:14">
      <c r="A121" s="562" t="s">
        <v>1430</v>
      </c>
      <c r="B121" s="560">
        <v>53</v>
      </c>
      <c r="C121" s="193">
        <v>42241</v>
      </c>
      <c r="D121" s="193">
        <v>42241</v>
      </c>
      <c r="E121" s="562" t="s">
        <v>223</v>
      </c>
      <c r="F121" s="562" t="s">
        <v>1110</v>
      </c>
      <c r="G121" s="562" t="s">
        <v>1114</v>
      </c>
      <c r="H121" s="562">
        <v>15</v>
      </c>
      <c r="I121" s="560">
        <v>15</v>
      </c>
      <c r="J121" s="562" t="s">
        <v>1115</v>
      </c>
      <c r="K121" s="377" t="s">
        <v>1112</v>
      </c>
      <c r="L121" s="449">
        <v>5</v>
      </c>
      <c r="M121" s="449">
        <v>35</v>
      </c>
      <c r="N121" s="448">
        <v>42242</v>
      </c>
    </row>
    <row r="122" spans="1:14">
      <c r="A122" s="562" t="s">
        <v>1430</v>
      </c>
      <c r="B122" s="560">
        <v>53</v>
      </c>
      <c r="C122" s="193">
        <v>42241</v>
      </c>
      <c r="D122" s="193">
        <v>42241</v>
      </c>
      <c r="E122" s="562" t="s">
        <v>171</v>
      </c>
      <c r="F122" s="562" t="s">
        <v>1110</v>
      </c>
      <c r="G122" s="563" t="s">
        <v>1116</v>
      </c>
      <c r="H122" s="562">
        <v>29</v>
      </c>
      <c r="I122" s="560">
        <v>29</v>
      </c>
      <c r="J122" s="562"/>
      <c r="K122" s="562" t="s">
        <v>1112</v>
      </c>
      <c r="L122" s="447">
        <v>2</v>
      </c>
      <c r="M122" s="447">
        <v>8</v>
      </c>
      <c r="N122" s="448">
        <v>42249</v>
      </c>
    </row>
    <row r="123" spans="1:14">
      <c r="A123" s="559" t="s">
        <v>1431</v>
      </c>
      <c r="B123" s="560">
        <v>54</v>
      </c>
      <c r="C123" s="193">
        <v>42241</v>
      </c>
      <c r="D123" s="193">
        <v>42241</v>
      </c>
      <c r="E123" s="561" t="s">
        <v>195</v>
      </c>
      <c r="F123" s="562" t="s">
        <v>1110</v>
      </c>
      <c r="G123" s="563" t="s">
        <v>1111</v>
      </c>
      <c r="H123" s="562">
        <v>578</v>
      </c>
      <c r="I123" s="560">
        <v>578</v>
      </c>
      <c r="J123" s="562"/>
      <c r="K123" s="377" t="s">
        <v>1112</v>
      </c>
      <c r="L123" s="447">
        <v>6</v>
      </c>
      <c r="M123" s="447">
        <v>42</v>
      </c>
      <c r="N123" s="448">
        <v>42249</v>
      </c>
    </row>
    <row r="124" spans="1:14">
      <c r="A124" s="559" t="s">
        <v>1431</v>
      </c>
      <c r="B124" s="560">
        <v>54</v>
      </c>
      <c r="C124" s="193">
        <v>42241</v>
      </c>
      <c r="D124" s="193">
        <v>42241</v>
      </c>
      <c r="E124" s="562" t="s">
        <v>177</v>
      </c>
      <c r="F124" s="562" t="s">
        <v>1110</v>
      </c>
      <c r="G124" s="562" t="s">
        <v>1113</v>
      </c>
      <c r="H124" s="562">
        <v>400</v>
      </c>
      <c r="I124" s="560">
        <v>400</v>
      </c>
      <c r="J124" s="562"/>
      <c r="K124" s="562" t="s">
        <v>1112</v>
      </c>
      <c r="L124" s="447">
        <v>2</v>
      </c>
      <c r="M124" s="447">
        <v>8</v>
      </c>
      <c r="N124" s="448">
        <v>42242</v>
      </c>
    </row>
    <row r="125" spans="1:14">
      <c r="A125" s="559" t="s">
        <v>1431</v>
      </c>
      <c r="B125" s="560">
        <v>54</v>
      </c>
      <c r="C125" s="193">
        <v>42241</v>
      </c>
      <c r="D125" s="193">
        <v>42241</v>
      </c>
      <c r="E125" s="562" t="s">
        <v>223</v>
      </c>
      <c r="F125" s="562" t="s">
        <v>1110</v>
      </c>
      <c r="G125" s="562" t="s">
        <v>1114</v>
      </c>
      <c r="H125" s="562">
        <v>21</v>
      </c>
      <c r="I125" s="560">
        <v>21</v>
      </c>
      <c r="J125" s="562" t="s">
        <v>1115</v>
      </c>
      <c r="K125" s="377" t="s">
        <v>1112</v>
      </c>
      <c r="L125" s="449">
        <v>5</v>
      </c>
      <c r="M125" s="449">
        <v>35</v>
      </c>
      <c r="N125" s="448">
        <v>42242</v>
      </c>
    </row>
    <row r="126" spans="1:14">
      <c r="A126" s="559" t="s">
        <v>1431</v>
      </c>
      <c r="B126" s="560">
        <v>54</v>
      </c>
      <c r="C126" s="193">
        <v>42241</v>
      </c>
      <c r="D126" s="193">
        <v>42241</v>
      </c>
      <c r="E126" s="562" t="s">
        <v>171</v>
      </c>
      <c r="F126" s="562" t="s">
        <v>1110</v>
      </c>
      <c r="G126" s="563" t="s">
        <v>1116</v>
      </c>
      <c r="H126" s="562">
        <v>47</v>
      </c>
      <c r="I126" s="560">
        <v>47</v>
      </c>
      <c r="J126" s="562"/>
      <c r="K126" s="562" t="s">
        <v>1112</v>
      </c>
      <c r="L126" s="447">
        <v>2</v>
      </c>
      <c r="M126" s="447">
        <v>8</v>
      </c>
      <c r="N126" s="448">
        <v>42249</v>
      </c>
    </row>
    <row r="127" spans="1:14">
      <c r="A127" s="559" t="s">
        <v>1432</v>
      </c>
      <c r="B127" s="560">
        <v>55</v>
      </c>
      <c r="C127" s="193">
        <v>42241</v>
      </c>
      <c r="D127" s="193">
        <v>42241</v>
      </c>
      <c r="E127" s="561" t="s">
        <v>195</v>
      </c>
      <c r="F127" s="562" t="s">
        <v>1110</v>
      </c>
      <c r="G127" s="563" t="s">
        <v>1111</v>
      </c>
      <c r="H127" s="562">
        <v>702</v>
      </c>
      <c r="I127" s="560">
        <v>702</v>
      </c>
      <c r="J127" s="562"/>
      <c r="K127" s="377" t="s">
        <v>1112</v>
      </c>
      <c r="L127" s="447">
        <v>6</v>
      </c>
      <c r="M127" s="447">
        <v>42</v>
      </c>
      <c r="N127" s="448">
        <v>42249</v>
      </c>
    </row>
    <row r="128" spans="1:14">
      <c r="A128" s="559" t="s">
        <v>1432</v>
      </c>
      <c r="B128" s="560">
        <v>55</v>
      </c>
      <c r="C128" s="193">
        <v>42241</v>
      </c>
      <c r="D128" s="193">
        <v>42241</v>
      </c>
      <c r="E128" s="562" t="s">
        <v>177</v>
      </c>
      <c r="F128" s="562" t="s">
        <v>1110</v>
      </c>
      <c r="G128" s="562" t="s">
        <v>1113</v>
      </c>
      <c r="H128" s="562">
        <v>453</v>
      </c>
      <c r="I128" s="560">
        <v>453</v>
      </c>
      <c r="J128" s="562"/>
      <c r="K128" s="562" t="s">
        <v>1112</v>
      </c>
      <c r="L128" s="447">
        <v>2</v>
      </c>
      <c r="M128" s="447">
        <v>8</v>
      </c>
      <c r="N128" s="448">
        <v>42242</v>
      </c>
    </row>
    <row r="129" spans="1:14">
      <c r="A129" s="559" t="s">
        <v>1432</v>
      </c>
      <c r="B129" s="560">
        <v>55</v>
      </c>
      <c r="C129" s="193">
        <v>42241</v>
      </c>
      <c r="D129" s="193">
        <v>42241</v>
      </c>
      <c r="E129" s="562" t="s">
        <v>223</v>
      </c>
      <c r="F129" s="562" t="s">
        <v>1110</v>
      </c>
      <c r="G129" s="562" t="s">
        <v>1114</v>
      </c>
      <c r="H129" s="562">
        <v>22</v>
      </c>
      <c r="I129" s="560">
        <v>22</v>
      </c>
      <c r="J129" s="562" t="s">
        <v>1115</v>
      </c>
      <c r="K129" s="377" t="s">
        <v>1112</v>
      </c>
      <c r="L129" s="449">
        <v>5</v>
      </c>
      <c r="M129" s="449">
        <v>35</v>
      </c>
      <c r="N129" s="448">
        <v>42242</v>
      </c>
    </row>
    <row r="130" spans="1:14">
      <c r="A130" s="559" t="s">
        <v>1432</v>
      </c>
      <c r="B130" s="560">
        <v>55</v>
      </c>
      <c r="C130" s="193">
        <v>42241</v>
      </c>
      <c r="D130" s="193">
        <v>42241</v>
      </c>
      <c r="E130" s="562" t="s">
        <v>171</v>
      </c>
      <c r="F130" s="562" t="s">
        <v>1110</v>
      </c>
      <c r="G130" s="563" t="s">
        <v>1116</v>
      </c>
      <c r="H130" s="562">
        <v>31</v>
      </c>
      <c r="I130" s="560">
        <v>31</v>
      </c>
      <c r="J130" s="562"/>
      <c r="K130" s="562" t="s">
        <v>1112</v>
      </c>
      <c r="L130" s="447">
        <v>2</v>
      </c>
      <c r="M130" s="447">
        <v>8</v>
      </c>
      <c r="N130" s="448">
        <v>42249</v>
      </c>
    </row>
    <row r="131" spans="1:14">
      <c r="A131" s="577" t="s">
        <v>1425</v>
      </c>
      <c r="B131" s="560">
        <v>52</v>
      </c>
      <c r="C131" s="193">
        <v>42275</v>
      </c>
      <c r="D131" s="193">
        <v>42275</v>
      </c>
      <c r="E131" s="561" t="s">
        <v>195</v>
      </c>
      <c r="F131" s="562" t="s">
        <v>1110</v>
      </c>
      <c r="G131" s="563" t="s">
        <v>1111</v>
      </c>
      <c r="H131" s="562">
        <v>553</v>
      </c>
      <c r="I131" s="560">
        <v>553</v>
      </c>
      <c r="J131" s="562"/>
      <c r="K131" s="377" t="s">
        <v>1112</v>
      </c>
      <c r="L131" s="447">
        <v>6</v>
      </c>
      <c r="M131" s="447">
        <v>42</v>
      </c>
      <c r="N131" s="448">
        <v>42285</v>
      </c>
    </row>
    <row r="132" spans="1:14">
      <c r="A132" s="577" t="s">
        <v>1425</v>
      </c>
      <c r="B132" s="560">
        <v>52</v>
      </c>
      <c r="C132" s="193">
        <v>42275</v>
      </c>
      <c r="D132" s="193">
        <v>42275</v>
      </c>
      <c r="E132" s="562" t="s">
        <v>177</v>
      </c>
      <c r="F132" s="562" t="s">
        <v>1110</v>
      </c>
      <c r="G132" s="562" t="s">
        <v>1113</v>
      </c>
      <c r="H132" s="562">
        <v>513</v>
      </c>
      <c r="I132" s="560">
        <v>513</v>
      </c>
      <c r="J132" s="562"/>
      <c r="K132" s="562" t="s">
        <v>1112</v>
      </c>
      <c r="L132" s="447">
        <v>2</v>
      </c>
      <c r="M132" s="447">
        <v>8</v>
      </c>
      <c r="N132" s="448">
        <v>42275</v>
      </c>
    </row>
    <row r="133" spans="1:14">
      <c r="A133" s="577" t="s">
        <v>1425</v>
      </c>
      <c r="B133" s="560">
        <v>52</v>
      </c>
      <c r="C133" s="193">
        <v>42275</v>
      </c>
      <c r="D133" s="193">
        <v>42275</v>
      </c>
      <c r="E133" s="562" t="s">
        <v>223</v>
      </c>
      <c r="F133" s="562" t="s">
        <v>1110</v>
      </c>
      <c r="G133" s="562" t="s">
        <v>1114</v>
      </c>
      <c r="H133" s="562">
        <v>20</v>
      </c>
      <c r="I133" s="560">
        <v>20</v>
      </c>
      <c r="J133" s="562" t="s">
        <v>1115</v>
      </c>
      <c r="K133" s="377" t="s">
        <v>1112</v>
      </c>
      <c r="L133" s="449">
        <v>5</v>
      </c>
      <c r="M133" s="449">
        <v>35</v>
      </c>
      <c r="N133" s="448">
        <v>42284</v>
      </c>
    </row>
    <row r="134" spans="1:14">
      <c r="A134" s="577" t="s">
        <v>1425</v>
      </c>
      <c r="B134" s="560">
        <v>52</v>
      </c>
      <c r="C134" s="193">
        <v>42275</v>
      </c>
      <c r="D134" s="193">
        <v>42275</v>
      </c>
      <c r="E134" s="562" t="s">
        <v>171</v>
      </c>
      <c r="F134" s="562" t="s">
        <v>1110</v>
      </c>
      <c r="G134" s="563" t="s">
        <v>1116</v>
      </c>
      <c r="H134" s="562">
        <v>13</v>
      </c>
      <c r="I134" s="560">
        <v>13</v>
      </c>
      <c r="J134" s="562"/>
      <c r="K134" s="562" t="s">
        <v>1112</v>
      </c>
      <c r="L134" s="447">
        <v>2</v>
      </c>
      <c r="M134" s="447">
        <v>8</v>
      </c>
      <c r="N134" s="448">
        <v>42285</v>
      </c>
    </row>
    <row r="135" spans="1:14">
      <c r="A135" s="559" t="s">
        <v>1426</v>
      </c>
      <c r="B135" s="560">
        <v>53</v>
      </c>
      <c r="C135" s="193">
        <v>42275</v>
      </c>
      <c r="D135" s="193">
        <v>42275</v>
      </c>
      <c r="E135" s="561" t="s">
        <v>195</v>
      </c>
      <c r="F135" s="562" t="s">
        <v>1110</v>
      </c>
      <c r="G135" s="563" t="s">
        <v>1111</v>
      </c>
      <c r="H135" s="562">
        <v>415</v>
      </c>
      <c r="I135" s="560">
        <v>415</v>
      </c>
      <c r="J135" s="562"/>
      <c r="K135" s="377" t="s">
        <v>1112</v>
      </c>
      <c r="L135" s="447">
        <v>6</v>
      </c>
      <c r="M135" s="447">
        <v>42</v>
      </c>
      <c r="N135" s="448">
        <v>42285</v>
      </c>
    </row>
    <row r="136" spans="1:14">
      <c r="A136" s="559" t="s">
        <v>1426</v>
      </c>
      <c r="B136" s="560">
        <v>53</v>
      </c>
      <c r="C136" s="193">
        <v>42275</v>
      </c>
      <c r="D136" s="193">
        <v>42275</v>
      </c>
      <c r="E136" s="562" t="s">
        <v>177</v>
      </c>
      <c r="F136" s="562" t="s">
        <v>1110</v>
      </c>
      <c r="G136" s="562" t="s">
        <v>1113</v>
      </c>
      <c r="H136" s="562">
        <v>326</v>
      </c>
      <c r="I136" s="560">
        <v>326</v>
      </c>
      <c r="J136" s="562"/>
      <c r="K136" s="562" t="s">
        <v>1112</v>
      </c>
      <c r="L136" s="447">
        <v>2</v>
      </c>
      <c r="M136" s="447">
        <v>8</v>
      </c>
      <c r="N136" s="448">
        <v>42275</v>
      </c>
    </row>
    <row r="137" spans="1:14">
      <c r="A137" s="559" t="s">
        <v>1426</v>
      </c>
      <c r="B137" s="560">
        <v>53</v>
      </c>
      <c r="C137" s="193">
        <v>42275</v>
      </c>
      <c r="D137" s="193">
        <v>42275</v>
      </c>
      <c r="E137" s="562" t="s">
        <v>223</v>
      </c>
      <c r="F137" s="562" t="s">
        <v>1110</v>
      </c>
      <c r="G137" s="562" t="s">
        <v>1114</v>
      </c>
      <c r="H137" s="562">
        <v>16</v>
      </c>
      <c r="I137" s="560">
        <v>16</v>
      </c>
      <c r="J137" s="562" t="s">
        <v>1115</v>
      </c>
      <c r="K137" s="377" t="s">
        <v>1112</v>
      </c>
      <c r="L137" s="449">
        <v>5</v>
      </c>
      <c r="M137" s="449">
        <v>35</v>
      </c>
      <c r="N137" s="448">
        <v>42284</v>
      </c>
    </row>
    <row r="138" spans="1:14">
      <c r="A138" s="559" t="s">
        <v>1426</v>
      </c>
      <c r="B138" s="560">
        <v>53</v>
      </c>
      <c r="C138" s="193">
        <v>42275</v>
      </c>
      <c r="D138" s="193">
        <v>42275</v>
      </c>
      <c r="E138" s="562" t="s">
        <v>171</v>
      </c>
      <c r="F138" s="562" t="s">
        <v>1110</v>
      </c>
      <c r="G138" s="563" t="s">
        <v>1116</v>
      </c>
      <c r="H138" s="562">
        <v>14</v>
      </c>
      <c r="I138" s="560">
        <v>14</v>
      </c>
      <c r="J138" s="562"/>
      <c r="K138" s="562" t="s">
        <v>1112</v>
      </c>
      <c r="L138" s="447">
        <v>2</v>
      </c>
      <c r="M138" s="447">
        <v>8</v>
      </c>
      <c r="N138" s="448">
        <v>42285</v>
      </c>
    </row>
    <row r="139" spans="1:14">
      <c r="A139" s="562" t="s">
        <v>1427</v>
      </c>
      <c r="B139" s="560">
        <v>54</v>
      </c>
      <c r="C139" s="193">
        <v>42275</v>
      </c>
      <c r="D139" s="193">
        <v>42275</v>
      </c>
      <c r="E139" s="561" t="s">
        <v>195</v>
      </c>
      <c r="F139" s="562" t="s">
        <v>1110</v>
      </c>
      <c r="G139" s="563" t="s">
        <v>1111</v>
      </c>
      <c r="H139" s="562">
        <v>440</v>
      </c>
      <c r="I139" s="560">
        <v>440</v>
      </c>
      <c r="J139" s="562"/>
      <c r="K139" s="377" t="s">
        <v>1112</v>
      </c>
      <c r="L139" s="447">
        <v>6</v>
      </c>
      <c r="M139" s="447">
        <v>42</v>
      </c>
      <c r="N139" s="448">
        <v>42285</v>
      </c>
    </row>
    <row r="140" spans="1:14">
      <c r="A140" s="562" t="s">
        <v>1427</v>
      </c>
      <c r="B140" s="560">
        <v>54</v>
      </c>
      <c r="C140" s="193">
        <v>42275</v>
      </c>
      <c r="D140" s="193">
        <v>42275</v>
      </c>
      <c r="E140" s="562" t="s">
        <v>177</v>
      </c>
      <c r="F140" s="562" t="s">
        <v>1110</v>
      </c>
      <c r="G140" s="562" t="s">
        <v>1113</v>
      </c>
      <c r="H140" s="562">
        <v>363</v>
      </c>
      <c r="I140" s="560">
        <v>363</v>
      </c>
      <c r="J140" s="562"/>
      <c r="K140" s="562" t="s">
        <v>1112</v>
      </c>
      <c r="L140" s="447">
        <v>2</v>
      </c>
      <c r="M140" s="447">
        <v>8</v>
      </c>
      <c r="N140" s="448">
        <v>42275</v>
      </c>
    </row>
    <row r="141" spans="1:14">
      <c r="A141" s="562" t="s">
        <v>1427</v>
      </c>
      <c r="B141" s="560">
        <v>54</v>
      </c>
      <c r="C141" s="193">
        <v>42275</v>
      </c>
      <c r="D141" s="193">
        <v>42275</v>
      </c>
      <c r="E141" s="562" t="s">
        <v>223</v>
      </c>
      <c r="F141" s="562" t="s">
        <v>1110</v>
      </c>
      <c r="G141" s="562" t="s">
        <v>1114</v>
      </c>
      <c r="H141" s="562">
        <v>22</v>
      </c>
      <c r="I141" s="560">
        <v>22</v>
      </c>
      <c r="J141" s="562" t="s">
        <v>1115</v>
      </c>
      <c r="K141" s="377" t="s">
        <v>1112</v>
      </c>
      <c r="L141" s="449">
        <v>5</v>
      </c>
      <c r="M141" s="449">
        <v>35</v>
      </c>
      <c r="N141" s="448">
        <v>42284</v>
      </c>
    </row>
    <row r="142" spans="1:14">
      <c r="A142" s="562" t="s">
        <v>1427</v>
      </c>
      <c r="B142" s="560">
        <v>54</v>
      </c>
      <c r="C142" s="193">
        <v>42275</v>
      </c>
      <c r="D142" s="193">
        <v>42275</v>
      </c>
      <c r="E142" s="562" t="s">
        <v>171</v>
      </c>
      <c r="F142" s="562" t="s">
        <v>1110</v>
      </c>
      <c r="G142" s="563" t="s">
        <v>1116</v>
      </c>
      <c r="H142" s="562">
        <v>27</v>
      </c>
      <c r="I142" s="560">
        <v>27</v>
      </c>
      <c r="J142" s="562"/>
      <c r="K142" s="562" t="s">
        <v>1112</v>
      </c>
      <c r="L142" s="447">
        <v>2</v>
      </c>
      <c r="M142" s="447">
        <v>8</v>
      </c>
      <c r="N142" s="448">
        <v>42285</v>
      </c>
    </row>
    <row r="143" spans="1:14">
      <c r="A143" s="559" t="s">
        <v>1428</v>
      </c>
      <c r="B143" s="829">
        <v>55</v>
      </c>
      <c r="C143" s="193">
        <v>42275</v>
      </c>
      <c r="D143" s="193">
        <v>42275</v>
      </c>
      <c r="E143" s="561" t="s">
        <v>195</v>
      </c>
      <c r="F143" s="562" t="s">
        <v>1110</v>
      </c>
      <c r="G143" s="563" t="s">
        <v>1111</v>
      </c>
      <c r="H143" s="562">
        <v>409</v>
      </c>
      <c r="I143" s="560">
        <v>409</v>
      </c>
      <c r="J143" s="562"/>
      <c r="K143" s="377" t="s">
        <v>1112</v>
      </c>
      <c r="L143" s="447">
        <v>6</v>
      </c>
      <c r="M143" s="447">
        <v>42</v>
      </c>
      <c r="N143" s="448">
        <v>42285</v>
      </c>
    </row>
    <row r="144" spans="1:14">
      <c r="A144" s="559" t="s">
        <v>1428</v>
      </c>
      <c r="B144" s="829">
        <v>55</v>
      </c>
      <c r="C144" s="193">
        <v>42275</v>
      </c>
      <c r="D144" s="193">
        <v>42275</v>
      </c>
      <c r="E144" s="562" t="s">
        <v>177</v>
      </c>
      <c r="F144" s="562" t="s">
        <v>1110</v>
      </c>
      <c r="G144" s="562" t="s">
        <v>1113</v>
      </c>
      <c r="H144" s="562">
        <v>289</v>
      </c>
      <c r="I144" s="560">
        <v>289</v>
      </c>
      <c r="J144" s="562"/>
      <c r="K144" s="562" t="s">
        <v>1112</v>
      </c>
      <c r="L144" s="447">
        <v>2</v>
      </c>
      <c r="M144" s="447">
        <v>8</v>
      </c>
      <c r="N144" s="448">
        <v>42275</v>
      </c>
    </row>
    <row r="145" spans="1:14">
      <c r="A145" s="559" t="s">
        <v>1428</v>
      </c>
      <c r="B145" s="829">
        <v>55</v>
      </c>
      <c r="C145" s="193">
        <v>42275</v>
      </c>
      <c r="D145" s="193">
        <v>42275</v>
      </c>
      <c r="E145" s="562" t="s">
        <v>223</v>
      </c>
      <c r="F145" s="562" t="s">
        <v>1110</v>
      </c>
      <c r="G145" s="562" t="s">
        <v>1114</v>
      </c>
      <c r="H145" s="562">
        <v>22</v>
      </c>
      <c r="I145" s="560">
        <v>22</v>
      </c>
      <c r="J145" s="562" t="s">
        <v>1115</v>
      </c>
      <c r="K145" s="377" t="s">
        <v>1112</v>
      </c>
      <c r="L145" s="449">
        <v>5</v>
      </c>
      <c r="M145" s="449">
        <v>35</v>
      </c>
      <c r="N145" s="448">
        <v>42284</v>
      </c>
    </row>
    <row r="146" spans="1:14">
      <c r="A146" s="559" t="s">
        <v>1428</v>
      </c>
      <c r="B146" s="829">
        <v>55</v>
      </c>
      <c r="C146" s="193">
        <v>42275</v>
      </c>
      <c r="D146" s="193">
        <v>42275</v>
      </c>
      <c r="E146" s="562" t="s">
        <v>171</v>
      </c>
      <c r="F146" s="562" t="s">
        <v>1110</v>
      </c>
      <c r="G146" s="563" t="s">
        <v>1116</v>
      </c>
      <c r="H146" s="562">
        <v>33</v>
      </c>
      <c r="I146" s="560">
        <v>33</v>
      </c>
      <c r="J146" s="562"/>
      <c r="K146" s="562" t="s">
        <v>1112</v>
      </c>
      <c r="L146" s="447">
        <v>2</v>
      </c>
      <c r="M146" s="447">
        <v>8</v>
      </c>
      <c r="N146" s="448">
        <v>42285</v>
      </c>
    </row>
    <row r="147" spans="1:14">
      <c r="A147" s="559" t="s">
        <v>1445</v>
      </c>
      <c r="B147" s="560">
        <v>52</v>
      </c>
      <c r="C147" s="193">
        <v>42305</v>
      </c>
      <c r="D147" s="193">
        <v>42305</v>
      </c>
      <c r="E147" s="561" t="s">
        <v>195</v>
      </c>
      <c r="F147" s="562" t="s">
        <v>1110</v>
      </c>
      <c r="G147" s="563" t="s">
        <v>1111</v>
      </c>
      <c r="H147" s="562">
        <v>722</v>
      </c>
      <c r="I147" s="560">
        <v>722</v>
      </c>
      <c r="J147" s="562"/>
      <c r="K147" s="377" t="s">
        <v>1112</v>
      </c>
      <c r="L147" s="447">
        <v>6</v>
      </c>
      <c r="M147" s="447">
        <v>42</v>
      </c>
      <c r="N147" s="448">
        <v>42312</v>
      </c>
    </row>
    <row r="148" spans="1:14">
      <c r="A148" s="559" t="s">
        <v>1445</v>
      </c>
      <c r="B148" s="560">
        <v>52</v>
      </c>
      <c r="C148" s="193">
        <v>42305</v>
      </c>
      <c r="D148" s="193">
        <v>42305</v>
      </c>
      <c r="E148" s="562" t="s">
        <v>171</v>
      </c>
      <c r="F148" s="562" t="s">
        <v>1110</v>
      </c>
      <c r="G148" s="563" t="s">
        <v>1116</v>
      </c>
      <c r="H148" s="562">
        <v>11</v>
      </c>
      <c r="I148" s="560">
        <v>11</v>
      </c>
      <c r="J148" s="562"/>
      <c r="K148" s="562" t="s">
        <v>1112</v>
      </c>
      <c r="L148" s="447">
        <v>2</v>
      </c>
      <c r="M148" s="447">
        <v>8</v>
      </c>
      <c r="N148" s="448">
        <v>42312</v>
      </c>
    </row>
    <row r="149" spans="1:14">
      <c r="A149" s="562" t="s">
        <v>1446</v>
      </c>
      <c r="B149" s="560">
        <v>53</v>
      </c>
      <c r="C149" s="193">
        <v>42305</v>
      </c>
      <c r="D149" s="193">
        <v>42305</v>
      </c>
      <c r="E149" s="561" t="s">
        <v>195</v>
      </c>
      <c r="F149" s="562" t="s">
        <v>1110</v>
      </c>
      <c r="G149" s="563" t="s">
        <v>1111</v>
      </c>
      <c r="H149" s="562">
        <v>622</v>
      </c>
      <c r="I149" s="560">
        <v>622</v>
      </c>
      <c r="J149" s="562"/>
      <c r="K149" s="377" t="s">
        <v>1112</v>
      </c>
      <c r="L149" s="447">
        <v>6</v>
      </c>
      <c r="M149" s="447">
        <v>42</v>
      </c>
      <c r="N149" s="448">
        <v>42312</v>
      </c>
    </row>
    <row r="150" spans="1:14">
      <c r="A150" s="562" t="s">
        <v>1446</v>
      </c>
      <c r="B150" s="560">
        <v>53</v>
      </c>
      <c r="C150" s="193">
        <v>42305</v>
      </c>
      <c r="D150" s="193">
        <v>42305</v>
      </c>
      <c r="E150" s="562" t="s">
        <v>171</v>
      </c>
      <c r="F150" s="562" t="s">
        <v>1110</v>
      </c>
      <c r="G150" s="563" t="s">
        <v>1116</v>
      </c>
      <c r="H150" s="562">
        <v>18</v>
      </c>
      <c r="I150" s="560">
        <v>18</v>
      </c>
      <c r="J150" s="562"/>
      <c r="K150" s="562" t="s">
        <v>1112</v>
      </c>
      <c r="L150" s="447">
        <v>2</v>
      </c>
      <c r="M150" s="447">
        <v>8</v>
      </c>
      <c r="N150" s="448">
        <v>42312</v>
      </c>
    </row>
    <row r="151" spans="1:14">
      <c r="A151" s="559" t="s">
        <v>1447</v>
      </c>
      <c r="B151" s="560">
        <v>54</v>
      </c>
      <c r="C151" s="193">
        <v>42305</v>
      </c>
      <c r="D151" s="193">
        <v>42305</v>
      </c>
      <c r="E151" s="561" t="s">
        <v>195</v>
      </c>
      <c r="F151" s="562" t="s">
        <v>1110</v>
      </c>
      <c r="G151" s="563" t="s">
        <v>1111</v>
      </c>
      <c r="H151" s="562">
        <v>700</v>
      </c>
      <c r="I151" s="560">
        <v>700</v>
      </c>
      <c r="J151" s="562"/>
      <c r="K151" s="377" t="s">
        <v>1112</v>
      </c>
      <c r="L151" s="447">
        <v>6</v>
      </c>
      <c r="M151" s="447">
        <v>42</v>
      </c>
      <c r="N151" s="448">
        <v>42312</v>
      </c>
    </row>
    <row r="152" spans="1:14">
      <c r="A152" s="559" t="s">
        <v>1447</v>
      </c>
      <c r="B152" s="560">
        <v>54</v>
      </c>
      <c r="C152" s="193">
        <v>42305</v>
      </c>
      <c r="D152" s="193">
        <v>42305</v>
      </c>
      <c r="E152" s="562" t="s">
        <v>171</v>
      </c>
      <c r="F152" s="562" t="s">
        <v>1110</v>
      </c>
      <c r="G152" s="563" t="s">
        <v>1116</v>
      </c>
      <c r="H152" s="562">
        <v>55</v>
      </c>
      <c r="I152" s="560">
        <v>55</v>
      </c>
      <c r="J152" s="562"/>
      <c r="K152" s="562" t="s">
        <v>1112</v>
      </c>
      <c r="L152" s="447">
        <v>2</v>
      </c>
      <c r="M152" s="447">
        <v>8</v>
      </c>
      <c r="N152" s="448">
        <v>42312</v>
      </c>
    </row>
    <row r="153" spans="1:14">
      <c r="A153" s="559" t="s">
        <v>1448</v>
      </c>
      <c r="B153" s="560">
        <v>55</v>
      </c>
      <c r="C153" s="193">
        <v>42305</v>
      </c>
      <c r="D153" s="193">
        <v>42305</v>
      </c>
      <c r="E153" s="561" t="s">
        <v>195</v>
      </c>
      <c r="F153" s="562" t="s">
        <v>1110</v>
      </c>
      <c r="G153" s="563" t="s">
        <v>1111</v>
      </c>
      <c r="H153" s="562">
        <v>832</v>
      </c>
      <c r="I153" s="560">
        <v>832</v>
      </c>
      <c r="J153" s="562"/>
      <c r="K153" s="377" t="s">
        <v>1112</v>
      </c>
      <c r="L153" s="447">
        <v>6</v>
      </c>
      <c r="M153" s="447">
        <v>42</v>
      </c>
      <c r="N153" s="448">
        <v>42312</v>
      </c>
    </row>
    <row r="154" spans="1:14">
      <c r="A154" s="559" t="s">
        <v>1448</v>
      </c>
      <c r="B154" s="560">
        <v>55</v>
      </c>
      <c r="C154" s="193">
        <v>42305</v>
      </c>
      <c r="D154" s="193">
        <v>42305</v>
      </c>
      <c r="E154" s="562" t="s">
        <v>171</v>
      </c>
      <c r="F154" s="562" t="s">
        <v>1110</v>
      </c>
      <c r="G154" s="563" t="s">
        <v>1116</v>
      </c>
      <c r="H154" s="562">
        <v>72</v>
      </c>
      <c r="I154" s="560">
        <v>72</v>
      </c>
      <c r="J154" s="562"/>
      <c r="K154" s="562" t="s">
        <v>1112</v>
      </c>
      <c r="L154" s="447">
        <v>2</v>
      </c>
      <c r="M154" s="447">
        <v>8</v>
      </c>
      <c r="N154" s="448">
        <v>42312</v>
      </c>
    </row>
    <row r="155" spans="1:14">
      <c r="A155" s="577" t="s">
        <v>1553</v>
      </c>
      <c r="B155" s="560">
        <v>52</v>
      </c>
      <c r="C155" s="193">
        <v>42324</v>
      </c>
      <c r="D155" s="193">
        <v>42324</v>
      </c>
      <c r="E155" s="561" t="s">
        <v>195</v>
      </c>
      <c r="F155" s="562" t="s">
        <v>1110</v>
      </c>
      <c r="G155" s="563" t="s">
        <v>1111</v>
      </c>
      <c r="H155" s="562">
        <v>870</v>
      </c>
      <c r="I155" s="560">
        <v>870</v>
      </c>
      <c r="J155" s="562"/>
      <c r="K155" s="377" t="s">
        <v>1112</v>
      </c>
      <c r="L155" s="447">
        <v>6</v>
      </c>
      <c r="M155" s="447">
        <v>42</v>
      </c>
      <c r="N155" s="448">
        <v>42340</v>
      </c>
    </row>
    <row r="156" spans="1:14">
      <c r="A156" s="577" t="s">
        <v>1553</v>
      </c>
      <c r="B156" s="560">
        <v>52</v>
      </c>
      <c r="C156" s="193">
        <v>42324</v>
      </c>
      <c r="D156" s="193">
        <v>42324</v>
      </c>
      <c r="E156" s="562" t="s">
        <v>171</v>
      </c>
      <c r="F156" s="562" t="s">
        <v>1110</v>
      </c>
      <c r="G156" s="563" t="s">
        <v>1116</v>
      </c>
      <c r="H156" s="562">
        <v>51</v>
      </c>
      <c r="I156" s="560">
        <v>51</v>
      </c>
      <c r="J156" s="562"/>
      <c r="K156" s="562" t="s">
        <v>1112</v>
      </c>
      <c r="L156" s="447">
        <v>2</v>
      </c>
      <c r="M156" s="447">
        <v>8</v>
      </c>
      <c r="N156" s="448">
        <v>42340</v>
      </c>
    </row>
    <row r="157" spans="1:14">
      <c r="A157" s="559" t="s">
        <v>1554</v>
      </c>
      <c r="B157" s="560">
        <v>53</v>
      </c>
      <c r="C157" s="193">
        <v>42324</v>
      </c>
      <c r="D157" s="193">
        <v>42324</v>
      </c>
      <c r="E157" s="561" t="s">
        <v>195</v>
      </c>
      <c r="F157" s="562" t="s">
        <v>1110</v>
      </c>
      <c r="G157" s="563" t="s">
        <v>1111</v>
      </c>
      <c r="H157" s="562">
        <v>669</v>
      </c>
      <c r="I157" s="560">
        <v>669</v>
      </c>
      <c r="J157" s="562"/>
      <c r="K157" s="377" t="s">
        <v>1112</v>
      </c>
      <c r="L157" s="447">
        <v>6</v>
      </c>
      <c r="M157" s="447">
        <v>42</v>
      </c>
      <c r="N157" s="448">
        <v>42340</v>
      </c>
    </row>
    <row r="158" spans="1:14">
      <c r="A158" s="559" t="s">
        <v>1554</v>
      </c>
      <c r="B158" s="560">
        <v>53</v>
      </c>
      <c r="C158" s="193">
        <v>42324</v>
      </c>
      <c r="D158" s="193">
        <v>42324</v>
      </c>
      <c r="E158" s="562" t="s">
        <v>171</v>
      </c>
      <c r="F158" s="562" t="s">
        <v>1110</v>
      </c>
      <c r="G158" s="563" t="s">
        <v>1116</v>
      </c>
      <c r="H158" s="562">
        <v>6</v>
      </c>
      <c r="I158" s="560">
        <v>6</v>
      </c>
      <c r="J158" s="562" t="s">
        <v>1115</v>
      </c>
      <c r="K158" s="562" t="s">
        <v>1112</v>
      </c>
      <c r="L158" s="447">
        <v>2</v>
      </c>
      <c r="M158" s="447">
        <v>8</v>
      </c>
      <c r="N158" s="448">
        <v>42340</v>
      </c>
    </row>
    <row r="159" spans="1:14">
      <c r="A159" s="577" t="s">
        <v>1555</v>
      </c>
      <c r="B159" s="560">
        <v>54</v>
      </c>
      <c r="C159" s="193">
        <v>42324</v>
      </c>
      <c r="D159" s="193">
        <v>42324</v>
      </c>
      <c r="E159" s="561" t="s">
        <v>195</v>
      </c>
      <c r="F159" s="562" t="s">
        <v>1110</v>
      </c>
      <c r="G159" s="563" t="s">
        <v>1111</v>
      </c>
      <c r="H159" s="562">
        <v>665</v>
      </c>
      <c r="I159" s="560">
        <v>665</v>
      </c>
      <c r="J159" s="562"/>
      <c r="K159" s="377" t="s">
        <v>1112</v>
      </c>
      <c r="L159" s="447">
        <v>6</v>
      </c>
      <c r="M159" s="447">
        <v>42</v>
      </c>
      <c r="N159" s="448">
        <v>42340</v>
      </c>
    </row>
    <row r="160" spans="1:14">
      <c r="A160" s="577" t="s">
        <v>1555</v>
      </c>
      <c r="B160" s="560">
        <v>54</v>
      </c>
      <c r="C160" s="193">
        <v>42324</v>
      </c>
      <c r="D160" s="193">
        <v>42324</v>
      </c>
      <c r="E160" s="562" t="s">
        <v>171</v>
      </c>
      <c r="F160" s="562" t="s">
        <v>1110</v>
      </c>
      <c r="G160" s="563" t="s">
        <v>1116</v>
      </c>
      <c r="H160" s="562">
        <v>47</v>
      </c>
      <c r="I160" s="560">
        <v>47</v>
      </c>
      <c r="J160" s="562"/>
      <c r="K160" s="562" t="s">
        <v>1112</v>
      </c>
      <c r="L160" s="447">
        <v>2</v>
      </c>
      <c r="M160" s="447">
        <v>8</v>
      </c>
      <c r="N160" s="448">
        <v>42340</v>
      </c>
    </row>
    <row r="161" spans="1:14">
      <c r="A161" s="559" t="s">
        <v>1556</v>
      </c>
      <c r="B161" s="560">
        <v>55</v>
      </c>
      <c r="C161" s="193">
        <v>42324</v>
      </c>
      <c r="D161" s="193">
        <v>42324</v>
      </c>
      <c r="E161" s="561" t="s">
        <v>195</v>
      </c>
      <c r="F161" s="562" t="s">
        <v>1110</v>
      </c>
      <c r="G161" s="563" t="s">
        <v>1111</v>
      </c>
      <c r="H161" s="562">
        <v>820</v>
      </c>
      <c r="I161" s="560">
        <v>820</v>
      </c>
      <c r="J161" s="562"/>
      <c r="K161" s="377" t="s">
        <v>1112</v>
      </c>
      <c r="L161" s="447">
        <v>6</v>
      </c>
      <c r="M161" s="447">
        <v>42</v>
      </c>
      <c r="N161" s="448">
        <v>42340</v>
      </c>
    </row>
    <row r="162" spans="1:14">
      <c r="A162" s="559" t="s">
        <v>1556</v>
      </c>
      <c r="B162" s="560">
        <v>55</v>
      </c>
      <c r="C162" s="193">
        <v>42324</v>
      </c>
      <c r="D162" s="193">
        <v>42324</v>
      </c>
      <c r="E162" s="562" t="s">
        <v>171</v>
      </c>
      <c r="F162" s="562" t="s">
        <v>1110</v>
      </c>
      <c r="G162" s="563" t="s">
        <v>1116</v>
      </c>
      <c r="H162" s="562">
        <v>41</v>
      </c>
      <c r="I162" s="560">
        <v>41</v>
      </c>
      <c r="J162" s="562"/>
      <c r="K162" s="562" t="s">
        <v>1112</v>
      </c>
      <c r="L162" s="447">
        <v>2</v>
      </c>
      <c r="M162" s="447">
        <v>8</v>
      </c>
      <c r="N162" s="448">
        <v>42340</v>
      </c>
    </row>
    <row r="163" spans="1:14">
      <c r="A163" s="577" t="s">
        <v>1567</v>
      </c>
      <c r="B163" s="560">
        <v>52</v>
      </c>
      <c r="C163" s="193">
        <v>42345</v>
      </c>
      <c r="D163" s="193">
        <v>42345</v>
      </c>
      <c r="E163" s="561" t="s">
        <v>195</v>
      </c>
      <c r="F163" s="562" t="s">
        <v>1110</v>
      </c>
      <c r="G163" s="563" t="s">
        <v>1111</v>
      </c>
      <c r="H163" s="562">
        <v>1038</v>
      </c>
      <c r="I163" s="560">
        <v>1038</v>
      </c>
      <c r="J163" s="562"/>
      <c r="K163" s="377" t="s">
        <v>1112</v>
      </c>
      <c r="L163" s="447">
        <v>6</v>
      </c>
      <c r="M163" s="447">
        <v>42</v>
      </c>
      <c r="N163" s="448">
        <v>42348</v>
      </c>
    </row>
    <row r="164" spans="1:14">
      <c r="A164" s="577" t="s">
        <v>1567</v>
      </c>
      <c r="B164" s="560">
        <v>52</v>
      </c>
      <c r="C164" s="193">
        <v>42345</v>
      </c>
      <c r="D164" s="193">
        <v>42345</v>
      </c>
      <c r="E164" s="562" t="s">
        <v>171</v>
      </c>
      <c r="F164" s="562" t="s">
        <v>1110</v>
      </c>
      <c r="G164" s="563" t="s">
        <v>1116</v>
      </c>
      <c r="H164" s="562">
        <v>13</v>
      </c>
      <c r="I164" s="560">
        <v>13</v>
      </c>
      <c r="J164" s="562"/>
      <c r="K164" s="562" t="s">
        <v>1112</v>
      </c>
      <c r="L164" s="447">
        <v>2</v>
      </c>
      <c r="M164" s="447">
        <v>8</v>
      </c>
      <c r="N164" s="448">
        <v>42348</v>
      </c>
    </row>
    <row r="165" spans="1:14">
      <c r="A165" s="559" t="s">
        <v>1568</v>
      </c>
      <c r="B165" s="560">
        <v>53</v>
      </c>
      <c r="C165" s="193">
        <v>42345</v>
      </c>
      <c r="D165" s="193">
        <v>42345</v>
      </c>
      <c r="E165" s="561" t="s">
        <v>195</v>
      </c>
      <c r="F165" s="562" t="s">
        <v>1110</v>
      </c>
      <c r="G165" s="563" t="s">
        <v>1111</v>
      </c>
      <c r="H165" s="562">
        <v>913</v>
      </c>
      <c r="I165" s="560">
        <v>913</v>
      </c>
      <c r="J165" s="562"/>
      <c r="K165" s="377" t="s">
        <v>1112</v>
      </c>
      <c r="L165" s="447">
        <v>6</v>
      </c>
      <c r="M165" s="447">
        <v>42</v>
      </c>
      <c r="N165" s="448">
        <v>42348</v>
      </c>
    </row>
    <row r="166" spans="1:14">
      <c r="A166" s="559" t="s">
        <v>1568</v>
      </c>
      <c r="B166" s="560">
        <v>53</v>
      </c>
      <c r="C166" s="193">
        <v>42345</v>
      </c>
      <c r="D166" s="193">
        <v>42345</v>
      </c>
      <c r="E166" s="562" t="s">
        <v>171</v>
      </c>
      <c r="F166" s="562" t="s">
        <v>1110</v>
      </c>
      <c r="G166" s="563" t="s">
        <v>1116</v>
      </c>
      <c r="H166" s="562">
        <v>15</v>
      </c>
      <c r="I166" s="560">
        <v>15</v>
      </c>
      <c r="J166" s="562"/>
      <c r="K166" s="562" t="s">
        <v>1112</v>
      </c>
      <c r="L166" s="447">
        <v>2</v>
      </c>
      <c r="M166" s="447">
        <v>8</v>
      </c>
      <c r="N166" s="448">
        <v>42348</v>
      </c>
    </row>
    <row r="167" spans="1:14">
      <c r="A167" s="577" t="s">
        <v>1569</v>
      </c>
      <c r="B167" s="560">
        <v>54</v>
      </c>
      <c r="C167" s="193">
        <v>42345</v>
      </c>
      <c r="D167" s="193">
        <v>42345</v>
      </c>
      <c r="E167" s="561" t="s">
        <v>195</v>
      </c>
      <c r="F167" s="562" t="s">
        <v>1110</v>
      </c>
      <c r="G167" s="563" t="s">
        <v>1111</v>
      </c>
      <c r="H167" s="562">
        <v>948</v>
      </c>
      <c r="I167" s="560">
        <v>948</v>
      </c>
      <c r="J167" s="562"/>
      <c r="K167" s="377" t="s">
        <v>1112</v>
      </c>
      <c r="L167" s="447">
        <v>6</v>
      </c>
      <c r="M167" s="447">
        <v>42</v>
      </c>
      <c r="N167" s="448">
        <v>42348</v>
      </c>
    </row>
    <row r="168" spans="1:14">
      <c r="A168" s="577" t="s">
        <v>1569</v>
      </c>
      <c r="B168" s="560">
        <v>54</v>
      </c>
      <c r="C168" s="193">
        <v>42345</v>
      </c>
      <c r="D168" s="193">
        <v>42345</v>
      </c>
      <c r="E168" s="562" t="s">
        <v>171</v>
      </c>
      <c r="F168" s="562" t="s">
        <v>1110</v>
      </c>
      <c r="G168" s="563" t="s">
        <v>1116</v>
      </c>
      <c r="H168" s="562">
        <v>23</v>
      </c>
      <c r="I168" s="560">
        <v>23</v>
      </c>
      <c r="J168" s="562"/>
      <c r="K168" s="562" t="s">
        <v>1112</v>
      </c>
      <c r="L168" s="447">
        <v>2</v>
      </c>
      <c r="M168" s="447">
        <v>8</v>
      </c>
      <c r="N168" s="448">
        <v>42348</v>
      </c>
    </row>
    <row r="169" spans="1:14">
      <c r="A169" s="559" t="s">
        <v>1570</v>
      </c>
      <c r="B169" s="560">
        <v>55</v>
      </c>
      <c r="C169" s="193">
        <v>42345</v>
      </c>
      <c r="D169" s="193">
        <v>42345</v>
      </c>
      <c r="E169" s="561" t="s">
        <v>195</v>
      </c>
      <c r="F169" s="562" t="s">
        <v>1110</v>
      </c>
      <c r="G169" s="563" t="s">
        <v>1111</v>
      </c>
      <c r="H169" s="562">
        <v>1273</v>
      </c>
      <c r="I169" s="560">
        <v>1273</v>
      </c>
      <c r="J169" s="562"/>
      <c r="K169" s="377" t="s">
        <v>1112</v>
      </c>
      <c r="L169" s="447">
        <v>6</v>
      </c>
      <c r="M169" s="447">
        <v>42</v>
      </c>
      <c r="N169" s="448">
        <v>42348</v>
      </c>
    </row>
    <row r="170" spans="1:14">
      <c r="A170" s="559" t="s">
        <v>1570</v>
      </c>
      <c r="B170" s="560">
        <v>55</v>
      </c>
      <c r="C170" s="193">
        <v>42345</v>
      </c>
      <c r="D170" s="193">
        <v>42345</v>
      </c>
      <c r="E170" s="562" t="s">
        <v>171</v>
      </c>
      <c r="F170" s="562" t="s">
        <v>1110</v>
      </c>
      <c r="G170" s="563" t="s">
        <v>1116</v>
      </c>
      <c r="H170" s="562">
        <v>76</v>
      </c>
      <c r="I170" s="560">
        <v>76</v>
      </c>
      <c r="J170" s="562"/>
      <c r="K170" s="562" t="s">
        <v>1112</v>
      </c>
      <c r="L170" s="447">
        <v>2</v>
      </c>
      <c r="M170" s="447">
        <v>8</v>
      </c>
      <c r="N170" s="448">
        <v>42348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A1:N90"/>
  <sheetViews>
    <sheetView topLeftCell="A5" workbookViewId="0">
      <selection activeCell="H50" sqref="H50:H53"/>
    </sheetView>
  </sheetViews>
  <sheetFormatPr defaultRowHeight="14"/>
  <cols>
    <col min="1" max="1" width="10.453125" bestFit="1" customWidth="1"/>
    <col min="2" max="2" width="9.36328125" bestFit="1" customWidth="1"/>
    <col min="5" max="5" width="24.453125" bestFit="1" customWidth="1"/>
    <col min="7" max="7" width="16.453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</cols>
  <sheetData>
    <row r="1" spans="1:14">
      <c r="A1" s="966" t="s">
        <v>1097</v>
      </c>
      <c r="B1" s="966" t="s">
        <v>1098</v>
      </c>
      <c r="C1" s="443" t="s">
        <v>1099</v>
      </c>
      <c r="D1" s="443" t="s">
        <v>1100</v>
      </c>
      <c r="E1" s="966" t="s">
        <v>1101</v>
      </c>
      <c r="F1" s="966" t="s">
        <v>1102</v>
      </c>
      <c r="G1" s="966" t="s">
        <v>1103</v>
      </c>
      <c r="H1" s="966" t="s">
        <v>1104</v>
      </c>
      <c r="I1" s="967" t="s">
        <v>1104</v>
      </c>
      <c r="J1" s="966" t="s">
        <v>1105</v>
      </c>
      <c r="K1" s="966" t="s">
        <v>1106</v>
      </c>
      <c r="L1" s="444" t="s">
        <v>1107</v>
      </c>
      <c r="M1" s="444" t="s">
        <v>652</v>
      </c>
      <c r="N1" s="443" t="s">
        <v>975</v>
      </c>
    </row>
    <row r="2" spans="1:14">
      <c r="A2" s="559" t="s">
        <v>1296</v>
      </c>
      <c r="B2" s="560">
        <v>36</v>
      </c>
      <c r="C2" s="193">
        <v>42173</v>
      </c>
      <c r="D2" s="193">
        <v>42173</v>
      </c>
      <c r="E2" s="561" t="s">
        <v>195</v>
      </c>
      <c r="F2" s="562" t="s">
        <v>1110</v>
      </c>
      <c r="G2" s="563" t="s">
        <v>1111</v>
      </c>
      <c r="H2" s="562">
        <v>326</v>
      </c>
      <c r="I2" s="560">
        <v>326</v>
      </c>
      <c r="J2" s="562"/>
      <c r="K2" s="377" t="s">
        <v>1112</v>
      </c>
      <c r="L2" s="447">
        <v>6</v>
      </c>
      <c r="M2" s="447">
        <v>42</v>
      </c>
      <c r="N2" s="448">
        <v>42184</v>
      </c>
    </row>
    <row r="3" spans="1:14">
      <c r="A3" s="559" t="s">
        <v>1296</v>
      </c>
      <c r="B3" s="560">
        <v>36</v>
      </c>
      <c r="C3" s="193">
        <v>42173</v>
      </c>
      <c r="D3" s="193">
        <v>42173</v>
      </c>
      <c r="E3" s="562" t="s">
        <v>177</v>
      </c>
      <c r="F3" s="562" t="s">
        <v>1110</v>
      </c>
      <c r="G3" s="562" t="s">
        <v>1113</v>
      </c>
      <c r="H3" s="562">
        <v>129</v>
      </c>
      <c r="I3" s="560">
        <v>129</v>
      </c>
      <c r="J3" s="562"/>
      <c r="K3" s="562" t="s">
        <v>1112</v>
      </c>
      <c r="L3" s="447">
        <v>2</v>
      </c>
      <c r="M3" s="447">
        <v>8</v>
      </c>
      <c r="N3" s="448">
        <v>42178</v>
      </c>
    </row>
    <row r="4" spans="1:14">
      <c r="A4" s="559" t="s">
        <v>1296</v>
      </c>
      <c r="B4" s="560">
        <v>36</v>
      </c>
      <c r="C4" s="193">
        <v>42173</v>
      </c>
      <c r="D4" s="193">
        <v>42173</v>
      </c>
      <c r="E4" s="562" t="s">
        <v>223</v>
      </c>
      <c r="F4" s="562" t="s">
        <v>1110</v>
      </c>
      <c r="G4" s="562" t="s">
        <v>1114</v>
      </c>
      <c r="H4" s="562">
        <v>44</v>
      </c>
      <c r="I4" s="560">
        <v>44</v>
      </c>
      <c r="J4" s="562"/>
      <c r="K4" s="377" t="s">
        <v>1112</v>
      </c>
      <c r="L4" s="449">
        <v>5</v>
      </c>
      <c r="M4" s="449">
        <v>35</v>
      </c>
      <c r="N4" s="448">
        <v>42187</v>
      </c>
    </row>
    <row r="5" spans="1:14">
      <c r="A5" s="559" t="s">
        <v>1296</v>
      </c>
      <c r="B5" s="560">
        <v>36</v>
      </c>
      <c r="C5" s="193">
        <v>42173</v>
      </c>
      <c r="D5" s="193">
        <v>42173</v>
      </c>
      <c r="E5" s="562" t="s">
        <v>171</v>
      </c>
      <c r="F5" s="562" t="s">
        <v>1110</v>
      </c>
      <c r="G5" s="563" t="s">
        <v>1116</v>
      </c>
      <c r="H5" s="562">
        <v>10</v>
      </c>
      <c r="I5" s="560">
        <v>10</v>
      </c>
      <c r="J5" s="562"/>
      <c r="K5" s="562" t="s">
        <v>1112</v>
      </c>
      <c r="L5" s="447">
        <v>2</v>
      </c>
      <c r="M5" s="447">
        <v>8</v>
      </c>
      <c r="N5" s="448">
        <v>42184</v>
      </c>
    </row>
    <row r="6" spans="1:14">
      <c r="A6" s="559" t="s">
        <v>1297</v>
      </c>
      <c r="B6" s="560">
        <v>37</v>
      </c>
      <c r="C6" s="193">
        <v>42173</v>
      </c>
      <c r="D6" s="193">
        <v>42173</v>
      </c>
      <c r="E6" s="561" t="s">
        <v>195</v>
      </c>
      <c r="F6" s="562" t="s">
        <v>1110</v>
      </c>
      <c r="G6" s="563" t="s">
        <v>1111</v>
      </c>
      <c r="H6" s="562">
        <v>326</v>
      </c>
      <c r="I6" s="560">
        <v>436</v>
      </c>
      <c r="J6" s="562"/>
      <c r="K6" s="377" t="s">
        <v>1112</v>
      </c>
      <c r="L6" s="447">
        <v>6</v>
      </c>
      <c r="M6" s="447">
        <v>42</v>
      </c>
      <c r="N6" s="448">
        <v>42184</v>
      </c>
    </row>
    <row r="7" spans="1:14">
      <c r="A7" s="559" t="s">
        <v>1297</v>
      </c>
      <c r="B7" s="560">
        <v>37</v>
      </c>
      <c r="C7" s="193">
        <v>42173</v>
      </c>
      <c r="D7" s="193">
        <v>42173</v>
      </c>
      <c r="E7" s="562" t="s">
        <v>177</v>
      </c>
      <c r="F7" s="562" t="s">
        <v>1110</v>
      </c>
      <c r="G7" s="562" t="s">
        <v>1113</v>
      </c>
      <c r="H7" s="562">
        <v>129</v>
      </c>
      <c r="I7" s="560">
        <v>138</v>
      </c>
      <c r="J7" s="562"/>
      <c r="K7" s="562" t="s">
        <v>1112</v>
      </c>
      <c r="L7" s="447">
        <v>2</v>
      </c>
      <c r="M7" s="447">
        <v>8</v>
      </c>
      <c r="N7" s="448">
        <v>42178</v>
      </c>
    </row>
    <row r="8" spans="1:14">
      <c r="A8" s="559" t="s">
        <v>1297</v>
      </c>
      <c r="B8" s="560">
        <v>37</v>
      </c>
      <c r="C8" s="193">
        <v>42173</v>
      </c>
      <c r="D8" s="193">
        <v>42173</v>
      </c>
      <c r="E8" s="562" t="s">
        <v>223</v>
      </c>
      <c r="F8" s="562" t="s">
        <v>1110</v>
      </c>
      <c r="G8" s="562" t="s">
        <v>1114</v>
      </c>
      <c r="H8" s="562">
        <v>44</v>
      </c>
      <c r="I8" s="560">
        <v>42</v>
      </c>
      <c r="J8" s="562"/>
      <c r="K8" s="377" t="s">
        <v>1112</v>
      </c>
      <c r="L8" s="449">
        <v>5</v>
      </c>
      <c r="M8" s="449">
        <v>35</v>
      </c>
      <c r="N8" s="448">
        <v>42187</v>
      </c>
    </row>
    <row r="9" spans="1:14">
      <c r="A9" s="559" t="s">
        <v>1297</v>
      </c>
      <c r="B9" s="560">
        <v>37</v>
      </c>
      <c r="C9" s="193">
        <v>42173</v>
      </c>
      <c r="D9" s="193">
        <v>42173</v>
      </c>
      <c r="E9" s="562" t="s">
        <v>171</v>
      </c>
      <c r="F9" s="562" t="s">
        <v>1110</v>
      </c>
      <c r="G9" s="563" t="s">
        <v>1116</v>
      </c>
      <c r="H9" s="562">
        <v>10</v>
      </c>
      <c r="I9" s="560">
        <v>13</v>
      </c>
      <c r="J9" s="562"/>
      <c r="K9" s="562" t="s">
        <v>1112</v>
      </c>
      <c r="L9" s="447">
        <v>2</v>
      </c>
      <c r="M9" s="447">
        <v>8</v>
      </c>
      <c r="N9" s="448">
        <v>42184</v>
      </c>
    </row>
    <row r="10" spans="1:14">
      <c r="A10" s="562" t="s">
        <v>1298</v>
      </c>
      <c r="B10" s="560">
        <v>63</v>
      </c>
      <c r="C10" s="193">
        <v>42173</v>
      </c>
      <c r="D10" s="193">
        <v>42173</v>
      </c>
      <c r="E10" s="561" t="s">
        <v>195</v>
      </c>
      <c r="F10" s="562" t="s">
        <v>1110</v>
      </c>
      <c r="G10" s="563" t="s">
        <v>1111</v>
      </c>
      <c r="H10" s="562">
        <v>720</v>
      </c>
      <c r="I10" s="560">
        <v>720</v>
      </c>
      <c r="J10" s="562"/>
      <c r="K10" s="377" t="s">
        <v>1112</v>
      </c>
      <c r="L10" s="447">
        <v>6</v>
      </c>
      <c r="M10" s="447">
        <v>42</v>
      </c>
      <c r="N10" s="448">
        <v>42184</v>
      </c>
    </row>
    <row r="11" spans="1:14">
      <c r="A11" s="562" t="s">
        <v>1298</v>
      </c>
      <c r="B11" s="560">
        <v>63</v>
      </c>
      <c r="C11" s="193">
        <v>42173</v>
      </c>
      <c r="D11" s="193">
        <v>42173</v>
      </c>
      <c r="E11" s="562" t="s">
        <v>177</v>
      </c>
      <c r="F11" s="562" t="s">
        <v>1110</v>
      </c>
      <c r="G11" s="562" t="s">
        <v>1113</v>
      </c>
      <c r="H11" s="562"/>
      <c r="I11" s="560"/>
      <c r="J11" s="562" t="s">
        <v>1121</v>
      </c>
      <c r="K11" s="562" t="s">
        <v>1112</v>
      </c>
      <c r="L11" s="447">
        <v>2</v>
      </c>
      <c r="M11" s="447">
        <v>8</v>
      </c>
      <c r="N11" s="448">
        <v>42178</v>
      </c>
    </row>
    <row r="12" spans="1:14">
      <c r="A12" s="562" t="s">
        <v>1298</v>
      </c>
      <c r="B12" s="560">
        <v>63</v>
      </c>
      <c r="C12" s="193">
        <v>42173</v>
      </c>
      <c r="D12" s="193">
        <v>42173</v>
      </c>
      <c r="E12" s="562" t="s">
        <v>223</v>
      </c>
      <c r="F12" s="562" t="s">
        <v>1110</v>
      </c>
      <c r="G12" s="562" t="s">
        <v>1114</v>
      </c>
      <c r="H12" s="562">
        <v>30</v>
      </c>
      <c r="I12" s="560">
        <v>30</v>
      </c>
      <c r="J12" s="562" t="s">
        <v>1115</v>
      </c>
      <c r="K12" s="377" t="s">
        <v>1112</v>
      </c>
      <c r="L12" s="449">
        <v>5</v>
      </c>
      <c r="M12" s="449">
        <v>35</v>
      </c>
      <c r="N12" s="448">
        <v>42187</v>
      </c>
    </row>
    <row r="13" spans="1:14">
      <c r="A13" s="562" t="s">
        <v>1298</v>
      </c>
      <c r="B13" s="560">
        <v>63</v>
      </c>
      <c r="C13" s="193">
        <v>42173</v>
      </c>
      <c r="D13" s="193">
        <v>42173</v>
      </c>
      <c r="E13" s="562" t="s">
        <v>171</v>
      </c>
      <c r="F13" s="562" t="s">
        <v>1110</v>
      </c>
      <c r="G13" s="563" t="s">
        <v>1116</v>
      </c>
      <c r="H13" s="562">
        <v>71</v>
      </c>
      <c r="I13" s="560">
        <v>71</v>
      </c>
      <c r="J13" s="562"/>
      <c r="K13" s="562" t="s">
        <v>1112</v>
      </c>
      <c r="L13" s="447">
        <v>2</v>
      </c>
      <c r="M13" s="447">
        <v>8</v>
      </c>
      <c r="N13" s="448">
        <v>42184</v>
      </c>
    </row>
    <row r="14" spans="1:14">
      <c r="A14" s="559" t="s">
        <v>1299</v>
      </c>
      <c r="B14" s="560">
        <v>65</v>
      </c>
      <c r="C14" s="193">
        <v>42173</v>
      </c>
      <c r="D14" s="193">
        <v>42173</v>
      </c>
      <c r="E14" s="561" t="s">
        <v>195</v>
      </c>
      <c r="F14" s="562" t="s">
        <v>1110</v>
      </c>
      <c r="G14" s="563" t="s">
        <v>1111</v>
      </c>
      <c r="H14" s="562">
        <v>343</v>
      </c>
      <c r="I14" s="560">
        <v>343</v>
      </c>
      <c r="J14" s="562"/>
      <c r="K14" s="377" t="s">
        <v>1112</v>
      </c>
      <c r="L14" s="447">
        <v>6</v>
      </c>
      <c r="M14" s="447">
        <v>42</v>
      </c>
      <c r="N14" s="448">
        <v>42184</v>
      </c>
    </row>
    <row r="15" spans="1:14">
      <c r="A15" s="559" t="s">
        <v>1299</v>
      </c>
      <c r="B15" s="560">
        <v>65</v>
      </c>
      <c r="C15" s="193">
        <v>42173</v>
      </c>
      <c r="D15" s="193">
        <v>42173</v>
      </c>
      <c r="E15" s="562" t="s">
        <v>177</v>
      </c>
      <c r="F15" s="562" t="s">
        <v>1110</v>
      </c>
      <c r="G15" s="562" t="s">
        <v>1113</v>
      </c>
      <c r="H15" s="562">
        <v>118</v>
      </c>
      <c r="I15" s="560">
        <v>118</v>
      </c>
      <c r="J15" s="562"/>
      <c r="K15" s="562" t="s">
        <v>1112</v>
      </c>
      <c r="L15" s="447">
        <v>2</v>
      </c>
      <c r="M15" s="447">
        <v>8</v>
      </c>
      <c r="N15" s="448">
        <v>42178</v>
      </c>
    </row>
    <row r="16" spans="1:14">
      <c r="A16" s="559" t="s">
        <v>1299</v>
      </c>
      <c r="B16" s="560">
        <v>65</v>
      </c>
      <c r="C16" s="193">
        <v>42173</v>
      </c>
      <c r="D16" s="193">
        <v>42173</v>
      </c>
      <c r="E16" s="562" t="s">
        <v>223</v>
      </c>
      <c r="F16" s="562" t="s">
        <v>1110</v>
      </c>
      <c r="G16" s="562" t="s">
        <v>1114</v>
      </c>
      <c r="H16" s="562">
        <v>46</v>
      </c>
      <c r="I16" s="560">
        <v>46</v>
      </c>
      <c r="J16" s="562"/>
      <c r="K16" s="377" t="s">
        <v>1112</v>
      </c>
      <c r="L16" s="449">
        <v>5</v>
      </c>
      <c r="M16" s="449">
        <v>35</v>
      </c>
      <c r="N16" s="448">
        <v>42187</v>
      </c>
    </row>
    <row r="17" spans="1:14">
      <c r="A17" s="559" t="s">
        <v>1299</v>
      </c>
      <c r="B17" s="560">
        <v>65</v>
      </c>
      <c r="C17" s="193">
        <v>42173</v>
      </c>
      <c r="D17" s="193">
        <v>42173</v>
      </c>
      <c r="E17" s="562" t="s">
        <v>171</v>
      </c>
      <c r="F17" s="562" t="s">
        <v>1110</v>
      </c>
      <c r="G17" s="563" t="s">
        <v>1116</v>
      </c>
      <c r="H17" s="562">
        <v>10</v>
      </c>
      <c r="I17" s="560">
        <v>10</v>
      </c>
      <c r="J17" s="562"/>
      <c r="K17" s="562" t="s">
        <v>1112</v>
      </c>
      <c r="L17" s="447">
        <v>2</v>
      </c>
      <c r="M17" s="447">
        <v>8</v>
      </c>
      <c r="N17" s="448">
        <v>42184</v>
      </c>
    </row>
    <row r="18" spans="1:14">
      <c r="A18" s="559" t="s">
        <v>1300</v>
      </c>
      <c r="B18" s="560">
        <v>74</v>
      </c>
      <c r="C18" s="193">
        <v>42173</v>
      </c>
      <c r="D18" s="193">
        <v>42173</v>
      </c>
      <c r="E18" s="561" t="s">
        <v>195</v>
      </c>
      <c r="F18" s="562" t="s">
        <v>1110</v>
      </c>
      <c r="G18" s="563" t="s">
        <v>1111</v>
      </c>
      <c r="H18" s="562">
        <v>807</v>
      </c>
      <c r="I18" s="560">
        <v>807</v>
      </c>
      <c r="J18" s="562"/>
      <c r="K18" s="377" t="s">
        <v>1112</v>
      </c>
      <c r="L18" s="447">
        <v>6</v>
      </c>
      <c r="M18" s="447">
        <v>42</v>
      </c>
      <c r="N18" s="448">
        <v>42184</v>
      </c>
    </row>
    <row r="19" spans="1:14">
      <c r="A19" s="559" t="s">
        <v>1300</v>
      </c>
      <c r="B19" s="560">
        <v>74</v>
      </c>
      <c r="C19" s="193">
        <v>42173</v>
      </c>
      <c r="D19" s="193">
        <v>42173</v>
      </c>
      <c r="E19" s="562" t="s">
        <v>171</v>
      </c>
      <c r="F19" s="562" t="s">
        <v>1110</v>
      </c>
      <c r="G19" s="563" t="s">
        <v>1116</v>
      </c>
      <c r="H19" s="562">
        <v>112</v>
      </c>
      <c r="I19" s="560">
        <v>112</v>
      </c>
      <c r="J19" s="562"/>
      <c r="K19" s="562" t="s">
        <v>1112</v>
      </c>
      <c r="L19" s="447">
        <v>2</v>
      </c>
      <c r="M19" s="447">
        <v>8</v>
      </c>
      <c r="N19" s="448">
        <v>42184</v>
      </c>
    </row>
    <row r="20" spans="1:14">
      <c r="A20" s="559" t="s">
        <v>1301</v>
      </c>
      <c r="B20" s="560">
        <v>75</v>
      </c>
      <c r="C20" s="193">
        <v>42173</v>
      </c>
      <c r="D20" s="193">
        <v>42173</v>
      </c>
      <c r="E20" s="561" t="s">
        <v>195</v>
      </c>
      <c r="F20" s="562" t="s">
        <v>1110</v>
      </c>
      <c r="G20" s="563" t="s">
        <v>1111</v>
      </c>
      <c r="H20" s="562">
        <v>596</v>
      </c>
      <c r="I20" s="560">
        <v>596</v>
      </c>
      <c r="J20" s="562"/>
      <c r="K20" s="377" t="s">
        <v>1112</v>
      </c>
      <c r="L20" s="447">
        <v>6</v>
      </c>
      <c r="M20" s="447">
        <v>42</v>
      </c>
      <c r="N20" s="448">
        <v>42184</v>
      </c>
    </row>
    <row r="21" spans="1:14">
      <c r="A21" s="559" t="s">
        <v>1301</v>
      </c>
      <c r="B21" s="560">
        <v>75</v>
      </c>
      <c r="C21" s="193">
        <v>42173</v>
      </c>
      <c r="D21" s="193">
        <v>42173</v>
      </c>
      <c r="E21" s="562" t="s">
        <v>171</v>
      </c>
      <c r="F21" s="562" t="s">
        <v>1110</v>
      </c>
      <c r="G21" s="563" t="s">
        <v>1116</v>
      </c>
      <c r="H21" s="562">
        <v>35</v>
      </c>
      <c r="I21" s="560">
        <v>35</v>
      </c>
      <c r="J21" s="562"/>
      <c r="K21" s="562" t="s">
        <v>1112</v>
      </c>
      <c r="L21" s="447">
        <v>2</v>
      </c>
      <c r="M21" s="447">
        <v>8</v>
      </c>
      <c r="N21" s="448">
        <v>42184</v>
      </c>
    </row>
    <row r="22" spans="1:14">
      <c r="A22" s="559" t="s">
        <v>1302</v>
      </c>
      <c r="B22" s="560">
        <v>76</v>
      </c>
      <c r="C22" s="193">
        <v>42173</v>
      </c>
      <c r="D22" s="193">
        <v>42173</v>
      </c>
      <c r="E22" s="561" t="s">
        <v>195</v>
      </c>
      <c r="F22" s="562" t="s">
        <v>1110</v>
      </c>
      <c r="G22" s="563" t="s">
        <v>1111</v>
      </c>
      <c r="H22" s="562">
        <v>1454</v>
      </c>
      <c r="I22" s="560">
        <v>1454</v>
      </c>
      <c r="J22" s="562"/>
      <c r="K22" s="377" t="s">
        <v>1112</v>
      </c>
      <c r="L22" s="447">
        <v>6</v>
      </c>
      <c r="M22" s="447">
        <v>42</v>
      </c>
      <c r="N22" s="448">
        <v>42184</v>
      </c>
    </row>
    <row r="23" spans="1:14">
      <c r="A23" s="559" t="s">
        <v>1302</v>
      </c>
      <c r="B23" s="560">
        <v>76</v>
      </c>
      <c r="C23" s="193">
        <v>42173</v>
      </c>
      <c r="D23" s="193">
        <v>42173</v>
      </c>
      <c r="E23" s="562" t="s">
        <v>171</v>
      </c>
      <c r="F23" s="562" t="s">
        <v>1110</v>
      </c>
      <c r="G23" s="563" t="s">
        <v>1116</v>
      </c>
      <c r="H23" s="562">
        <v>100</v>
      </c>
      <c r="I23" s="560">
        <v>100</v>
      </c>
      <c r="J23" s="562"/>
      <c r="K23" s="562" t="s">
        <v>1112</v>
      </c>
      <c r="L23" s="447">
        <v>2</v>
      </c>
      <c r="M23" s="447">
        <v>8</v>
      </c>
      <c r="N23" s="448">
        <v>42184</v>
      </c>
    </row>
    <row r="24" spans="1:14">
      <c r="A24" s="559" t="s">
        <v>1303</v>
      </c>
      <c r="B24" s="560">
        <v>80</v>
      </c>
      <c r="C24" s="193">
        <v>42173</v>
      </c>
      <c r="D24" s="193">
        <v>42173</v>
      </c>
      <c r="E24" s="561" t="s">
        <v>195</v>
      </c>
      <c r="F24" s="562" t="s">
        <v>1110</v>
      </c>
      <c r="G24" s="563" t="s">
        <v>1111</v>
      </c>
      <c r="H24" s="562">
        <v>1654</v>
      </c>
      <c r="I24" s="560">
        <v>1654</v>
      </c>
      <c r="J24" s="562"/>
      <c r="K24" s="377" t="s">
        <v>1112</v>
      </c>
      <c r="L24" s="447">
        <v>6</v>
      </c>
      <c r="M24" s="447">
        <v>42</v>
      </c>
      <c r="N24" s="448">
        <v>42184</v>
      </c>
    </row>
    <row r="25" spans="1:14">
      <c r="A25" s="559" t="s">
        <v>1303</v>
      </c>
      <c r="B25" s="560">
        <v>80</v>
      </c>
      <c r="C25" s="193">
        <v>42173</v>
      </c>
      <c r="D25" s="193">
        <v>42173</v>
      </c>
      <c r="E25" s="562" t="s">
        <v>171</v>
      </c>
      <c r="F25" s="562" t="s">
        <v>1110</v>
      </c>
      <c r="G25" s="563" t="s">
        <v>1116</v>
      </c>
      <c r="H25" s="562">
        <v>75</v>
      </c>
      <c r="I25" s="560">
        <v>75</v>
      </c>
      <c r="J25" s="562"/>
      <c r="K25" s="562" t="s">
        <v>1112</v>
      </c>
      <c r="L25" s="447">
        <v>2</v>
      </c>
      <c r="M25" s="447">
        <v>8</v>
      </c>
      <c r="N25" s="448">
        <v>42184</v>
      </c>
    </row>
    <row r="26" spans="1:14">
      <c r="A26" s="577" t="s">
        <v>1268</v>
      </c>
      <c r="B26" s="560">
        <v>36</v>
      </c>
      <c r="C26" s="193">
        <v>42201</v>
      </c>
      <c r="D26" s="193">
        <v>42201</v>
      </c>
      <c r="E26" s="561" t="s">
        <v>195</v>
      </c>
      <c r="F26" s="562" t="s">
        <v>1110</v>
      </c>
      <c r="G26" s="563" t="s">
        <v>1111</v>
      </c>
      <c r="H26" s="562">
        <v>317</v>
      </c>
      <c r="I26" s="560">
        <v>317</v>
      </c>
      <c r="J26" s="562"/>
      <c r="K26" s="377" t="s">
        <v>1112</v>
      </c>
      <c r="L26" s="447">
        <v>6</v>
      </c>
      <c r="M26" s="447">
        <v>42</v>
      </c>
      <c r="N26" s="448">
        <v>42207</v>
      </c>
    </row>
    <row r="27" spans="1:14">
      <c r="A27" s="577" t="s">
        <v>1268</v>
      </c>
      <c r="B27" s="560">
        <v>36</v>
      </c>
      <c r="C27" s="193">
        <v>42201</v>
      </c>
      <c r="D27" s="193">
        <v>42201</v>
      </c>
      <c r="E27" s="562" t="s">
        <v>177</v>
      </c>
      <c r="F27" s="562" t="s">
        <v>1110</v>
      </c>
      <c r="G27" s="562" t="s">
        <v>1113</v>
      </c>
      <c r="H27" s="562">
        <v>121</v>
      </c>
      <c r="I27" s="560">
        <v>121</v>
      </c>
      <c r="J27" s="562"/>
      <c r="K27" s="562" t="s">
        <v>1112</v>
      </c>
      <c r="L27" s="447">
        <v>2</v>
      </c>
      <c r="M27" s="447">
        <v>8</v>
      </c>
      <c r="N27" s="448">
        <v>42208</v>
      </c>
    </row>
    <row r="28" spans="1:14">
      <c r="A28" s="577" t="s">
        <v>1268</v>
      </c>
      <c r="B28" s="560">
        <v>36</v>
      </c>
      <c r="C28" s="193">
        <v>42201</v>
      </c>
      <c r="D28" s="193">
        <v>42201</v>
      </c>
      <c r="E28" s="562" t="s">
        <v>223</v>
      </c>
      <c r="F28" s="562" t="s">
        <v>1110</v>
      </c>
      <c r="G28" s="562" t="s">
        <v>1114</v>
      </c>
      <c r="H28" s="562">
        <v>39</v>
      </c>
      <c r="I28" s="560">
        <v>39</v>
      </c>
      <c r="J28" s="562"/>
      <c r="K28" s="377" t="s">
        <v>1112</v>
      </c>
      <c r="L28" s="449">
        <v>5</v>
      </c>
      <c r="M28" s="449">
        <v>35</v>
      </c>
      <c r="N28" s="448">
        <v>42209</v>
      </c>
    </row>
    <row r="29" spans="1:14">
      <c r="A29" s="577" t="s">
        <v>1268</v>
      </c>
      <c r="B29" s="560">
        <v>36</v>
      </c>
      <c r="C29" s="193">
        <v>42201</v>
      </c>
      <c r="D29" s="193">
        <v>42201</v>
      </c>
      <c r="E29" s="562" t="s">
        <v>171</v>
      </c>
      <c r="F29" s="562" t="s">
        <v>1110</v>
      </c>
      <c r="G29" s="563" t="s">
        <v>1116</v>
      </c>
      <c r="H29" s="562">
        <v>15</v>
      </c>
      <c r="I29" s="560">
        <v>15</v>
      </c>
      <c r="J29" s="562"/>
      <c r="K29" s="562" t="s">
        <v>1112</v>
      </c>
      <c r="L29" s="447">
        <v>2</v>
      </c>
      <c r="M29" s="447">
        <v>8</v>
      </c>
      <c r="N29" s="448">
        <v>42207</v>
      </c>
    </row>
    <row r="30" spans="1:14">
      <c r="A30" s="559" t="s">
        <v>1269</v>
      </c>
      <c r="B30" s="560">
        <v>37</v>
      </c>
      <c r="C30" s="193">
        <v>42201</v>
      </c>
      <c r="D30" s="193">
        <v>42201</v>
      </c>
      <c r="E30" s="561" t="s">
        <v>195</v>
      </c>
      <c r="F30" s="562" t="s">
        <v>1110</v>
      </c>
      <c r="G30" s="563" t="s">
        <v>1111</v>
      </c>
      <c r="H30" s="562">
        <v>305</v>
      </c>
      <c r="I30" s="560">
        <v>305</v>
      </c>
      <c r="J30" s="562"/>
      <c r="K30" s="377" t="s">
        <v>1112</v>
      </c>
      <c r="L30" s="447">
        <v>6</v>
      </c>
      <c r="M30" s="447">
        <v>42</v>
      </c>
      <c r="N30" s="448">
        <v>42207</v>
      </c>
    </row>
    <row r="31" spans="1:14">
      <c r="A31" s="577" t="s">
        <v>1269</v>
      </c>
      <c r="B31" s="560">
        <v>37</v>
      </c>
      <c r="C31" s="193">
        <v>42201</v>
      </c>
      <c r="D31" s="193">
        <v>42201</v>
      </c>
      <c r="E31" s="562" t="s">
        <v>177</v>
      </c>
      <c r="F31" s="562" t="s">
        <v>1110</v>
      </c>
      <c r="G31" s="562" t="s">
        <v>1113</v>
      </c>
      <c r="H31" s="562">
        <v>130</v>
      </c>
      <c r="I31" s="560">
        <v>130</v>
      </c>
      <c r="J31" s="562"/>
      <c r="K31" s="562" t="s">
        <v>1112</v>
      </c>
      <c r="L31" s="447">
        <v>2</v>
      </c>
      <c r="M31" s="447">
        <v>8</v>
      </c>
      <c r="N31" s="448">
        <v>42208</v>
      </c>
    </row>
    <row r="32" spans="1:14">
      <c r="A32" s="577" t="s">
        <v>1269</v>
      </c>
      <c r="B32" s="560">
        <v>37</v>
      </c>
      <c r="C32" s="193">
        <v>42201</v>
      </c>
      <c r="D32" s="193">
        <v>42201</v>
      </c>
      <c r="E32" s="562" t="s">
        <v>223</v>
      </c>
      <c r="F32" s="562" t="s">
        <v>1110</v>
      </c>
      <c r="G32" s="562" t="s">
        <v>1114</v>
      </c>
      <c r="H32" s="562">
        <v>42</v>
      </c>
      <c r="I32" s="560">
        <v>42</v>
      </c>
      <c r="J32" s="562"/>
      <c r="K32" s="377" t="s">
        <v>1112</v>
      </c>
      <c r="L32" s="449">
        <v>5</v>
      </c>
      <c r="M32" s="449">
        <v>35</v>
      </c>
      <c r="N32" s="448">
        <v>42209</v>
      </c>
    </row>
    <row r="33" spans="1:14">
      <c r="A33" s="577" t="s">
        <v>1269</v>
      </c>
      <c r="B33" s="560">
        <v>37</v>
      </c>
      <c r="C33" s="193">
        <v>42201</v>
      </c>
      <c r="D33" s="193">
        <v>42201</v>
      </c>
      <c r="E33" s="562" t="s">
        <v>171</v>
      </c>
      <c r="F33" s="562" t="s">
        <v>1110</v>
      </c>
      <c r="G33" s="563" t="s">
        <v>1116</v>
      </c>
      <c r="H33" s="562">
        <v>12</v>
      </c>
      <c r="I33" s="560">
        <v>12</v>
      </c>
      <c r="J33" s="562"/>
      <c r="K33" s="562" t="s">
        <v>1112</v>
      </c>
      <c r="L33" s="447">
        <v>2</v>
      </c>
      <c r="M33" s="447">
        <v>8</v>
      </c>
      <c r="N33" s="448">
        <v>42207</v>
      </c>
    </row>
    <row r="34" spans="1:14">
      <c r="A34" s="562" t="s">
        <v>1270</v>
      </c>
      <c r="B34" s="560">
        <v>63</v>
      </c>
      <c r="C34" s="193">
        <v>42201</v>
      </c>
      <c r="D34" s="193">
        <v>42201</v>
      </c>
      <c r="E34" s="561" t="s">
        <v>195</v>
      </c>
      <c r="F34" s="562" t="s">
        <v>1110</v>
      </c>
      <c r="G34" s="563" t="s">
        <v>1111</v>
      </c>
      <c r="H34" s="562">
        <v>404</v>
      </c>
      <c r="I34" s="560">
        <v>404</v>
      </c>
      <c r="J34" s="562"/>
      <c r="K34" s="377" t="s">
        <v>1112</v>
      </c>
      <c r="L34" s="447">
        <v>6</v>
      </c>
      <c r="M34" s="447">
        <v>42</v>
      </c>
      <c r="N34" s="448">
        <v>42207</v>
      </c>
    </row>
    <row r="35" spans="1:14">
      <c r="A35" s="559" t="s">
        <v>1270</v>
      </c>
      <c r="B35" s="560">
        <v>63</v>
      </c>
      <c r="C35" s="193">
        <v>42201</v>
      </c>
      <c r="D35" s="193">
        <v>42201</v>
      </c>
      <c r="E35" s="562" t="s">
        <v>177</v>
      </c>
      <c r="F35" s="562" t="s">
        <v>1110</v>
      </c>
      <c r="G35" s="562" t="s">
        <v>1113</v>
      </c>
      <c r="H35" s="562"/>
      <c r="I35" s="560"/>
      <c r="J35" s="562" t="s">
        <v>1121</v>
      </c>
      <c r="K35" s="562" t="s">
        <v>1112</v>
      </c>
      <c r="L35" s="447">
        <v>2</v>
      </c>
      <c r="M35" s="447">
        <v>8</v>
      </c>
      <c r="N35" s="448">
        <v>42208</v>
      </c>
    </row>
    <row r="36" spans="1:14">
      <c r="A36" s="559" t="s">
        <v>1270</v>
      </c>
      <c r="B36" s="560">
        <v>63</v>
      </c>
      <c r="C36" s="193">
        <v>42201</v>
      </c>
      <c r="D36" s="193">
        <v>42201</v>
      </c>
      <c r="E36" s="562" t="s">
        <v>223</v>
      </c>
      <c r="F36" s="562" t="s">
        <v>1110</v>
      </c>
      <c r="G36" s="562" t="s">
        <v>1114</v>
      </c>
      <c r="H36" s="562">
        <v>29</v>
      </c>
      <c r="I36" s="560">
        <v>29</v>
      </c>
      <c r="J36" s="562" t="s">
        <v>1115</v>
      </c>
      <c r="K36" s="377" t="s">
        <v>1112</v>
      </c>
      <c r="L36" s="449">
        <v>5</v>
      </c>
      <c r="M36" s="449">
        <v>35</v>
      </c>
      <c r="N36" s="448">
        <v>42209</v>
      </c>
    </row>
    <row r="37" spans="1:14">
      <c r="A37" s="559" t="s">
        <v>1270</v>
      </c>
      <c r="B37" s="560">
        <v>63</v>
      </c>
      <c r="C37" s="193">
        <v>42201</v>
      </c>
      <c r="D37" s="193">
        <v>42201</v>
      </c>
      <c r="E37" s="562" t="s">
        <v>171</v>
      </c>
      <c r="F37" s="562" t="s">
        <v>1110</v>
      </c>
      <c r="G37" s="563" t="s">
        <v>1116</v>
      </c>
      <c r="H37" s="562">
        <v>318</v>
      </c>
      <c r="I37" s="560">
        <v>318</v>
      </c>
      <c r="J37" s="562"/>
      <c r="K37" s="562" t="s">
        <v>1112</v>
      </c>
      <c r="L37" s="447">
        <v>2</v>
      </c>
      <c r="M37" s="447">
        <v>8</v>
      </c>
      <c r="N37" s="448">
        <v>42207</v>
      </c>
    </row>
    <row r="38" spans="1:14">
      <c r="A38" s="559" t="s">
        <v>1271</v>
      </c>
      <c r="B38" s="829">
        <v>65</v>
      </c>
      <c r="C38" s="193">
        <v>42201</v>
      </c>
      <c r="D38" s="193">
        <v>42201</v>
      </c>
      <c r="E38" s="561" t="s">
        <v>195</v>
      </c>
      <c r="F38" s="562" t="s">
        <v>1110</v>
      </c>
      <c r="G38" s="563" t="s">
        <v>1111</v>
      </c>
      <c r="H38" s="562">
        <v>302</v>
      </c>
      <c r="I38" s="560">
        <v>302</v>
      </c>
      <c r="J38" s="562"/>
      <c r="K38" s="377" t="s">
        <v>1112</v>
      </c>
      <c r="L38" s="447">
        <v>6</v>
      </c>
      <c r="M38" s="447">
        <v>42</v>
      </c>
      <c r="N38" s="448">
        <v>42207</v>
      </c>
    </row>
    <row r="39" spans="1:14">
      <c r="A39" s="562" t="s">
        <v>1271</v>
      </c>
      <c r="B39" s="829">
        <v>65</v>
      </c>
      <c r="C39" s="193">
        <v>42201</v>
      </c>
      <c r="D39" s="193">
        <v>42201</v>
      </c>
      <c r="E39" s="562" t="s">
        <v>177</v>
      </c>
      <c r="F39" s="562" t="s">
        <v>1110</v>
      </c>
      <c r="G39" s="562" t="s">
        <v>1113</v>
      </c>
      <c r="H39" s="562">
        <v>119</v>
      </c>
      <c r="I39" s="560">
        <v>119</v>
      </c>
      <c r="J39" s="562"/>
      <c r="K39" s="562" t="s">
        <v>1112</v>
      </c>
      <c r="L39" s="447">
        <v>2</v>
      </c>
      <c r="M39" s="447">
        <v>8</v>
      </c>
      <c r="N39" s="448">
        <v>42208</v>
      </c>
    </row>
    <row r="40" spans="1:14">
      <c r="A40" s="577" t="s">
        <v>1271</v>
      </c>
      <c r="B40" s="829">
        <v>65</v>
      </c>
      <c r="C40" s="193">
        <v>42201</v>
      </c>
      <c r="D40" s="193">
        <v>42201</v>
      </c>
      <c r="E40" s="562" t="s">
        <v>223</v>
      </c>
      <c r="F40" s="562" t="s">
        <v>1110</v>
      </c>
      <c r="G40" s="562" t="s">
        <v>1114</v>
      </c>
      <c r="H40" s="562">
        <v>37</v>
      </c>
      <c r="I40" s="560">
        <v>37</v>
      </c>
      <c r="J40" s="562"/>
      <c r="K40" s="377" t="s">
        <v>1112</v>
      </c>
      <c r="L40" s="449">
        <v>5</v>
      </c>
      <c r="M40" s="449">
        <v>35</v>
      </c>
      <c r="N40" s="448">
        <v>42209</v>
      </c>
    </row>
    <row r="41" spans="1:14">
      <c r="A41" s="562" t="s">
        <v>1271</v>
      </c>
      <c r="B41" s="829">
        <v>65</v>
      </c>
      <c r="C41" s="193">
        <v>42201</v>
      </c>
      <c r="D41" s="193">
        <v>42201</v>
      </c>
      <c r="E41" s="562" t="s">
        <v>171</v>
      </c>
      <c r="F41" s="562" t="s">
        <v>1110</v>
      </c>
      <c r="G41" s="563" t="s">
        <v>1116</v>
      </c>
      <c r="H41" s="562">
        <v>13</v>
      </c>
      <c r="I41" s="560">
        <v>13</v>
      </c>
      <c r="J41" s="562"/>
      <c r="K41" s="562" t="s">
        <v>1112</v>
      </c>
      <c r="L41" s="447">
        <v>2</v>
      </c>
      <c r="M41" s="447">
        <v>8</v>
      </c>
      <c r="N41" s="448">
        <v>42207</v>
      </c>
    </row>
    <row r="42" spans="1:14">
      <c r="A42" s="562" t="s">
        <v>1272</v>
      </c>
      <c r="B42" s="560">
        <v>74</v>
      </c>
      <c r="C42" s="193">
        <v>42201</v>
      </c>
      <c r="D42" s="193">
        <v>42201</v>
      </c>
      <c r="E42" s="561" t="s">
        <v>195</v>
      </c>
      <c r="F42" s="562" t="s">
        <v>1110</v>
      </c>
      <c r="G42" s="563" t="s">
        <v>1111</v>
      </c>
      <c r="H42" s="562">
        <v>444</v>
      </c>
      <c r="I42" s="560">
        <v>444</v>
      </c>
      <c r="J42" s="562"/>
      <c r="K42" s="377" t="s">
        <v>1112</v>
      </c>
      <c r="L42" s="447">
        <v>6</v>
      </c>
      <c r="M42" s="447">
        <v>42</v>
      </c>
      <c r="N42" s="448">
        <v>42207</v>
      </c>
    </row>
    <row r="43" spans="1:14">
      <c r="A43" s="562" t="s">
        <v>1272</v>
      </c>
      <c r="B43" s="560">
        <v>74</v>
      </c>
      <c r="C43" s="193">
        <v>42201</v>
      </c>
      <c r="D43" s="193">
        <v>42201</v>
      </c>
      <c r="E43" s="562" t="s">
        <v>171</v>
      </c>
      <c r="F43" s="562" t="s">
        <v>1110</v>
      </c>
      <c r="G43" s="563" t="s">
        <v>1116</v>
      </c>
      <c r="H43" s="562">
        <v>11</v>
      </c>
      <c r="I43" s="560">
        <v>11</v>
      </c>
      <c r="J43" s="562"/>
      <c r="K43" s="562" t="s">
        <v>1112</v>
      </c>
      <c r="L43" s="447">
        <v>2</v>
      </c>
      <c r="M43" s="447">
        <v>8</v>
      </c>
      <c r="N43" s="448">
        <v>42207</v>
      </c>
    </row>
    <row r="44" spans="1:14">
      <c r="A44" s="577" t="s">
        <v>1273</v>
      </c>
      <c r="B44" s="560">
        <v>75</v>
      </c>
      <c r="C44" s="193">
        <v>42201</v>
      </c>
      <c r="D44" s="193">
        <v>42201</v>
      </c>
      <c r="E44" s="561" t="s">
        <v>195</v>
      </c>
      <c r="F44" s="562" t="s">
        <v>1110</v>
      </c>
      <c r="G44" s="563" t="s">
        <v>1111</v>
      </c>
      <c r="H44" s="562">
        <v>404</v>
      </c>
      <c r="I44" s="560">
        <v>404</v>
      </c>
      <c r="J44" s="562"/>
      <c r="K44" s="377" t="s">
        <v>1112</v>
      </c>
      <c r="L44" s="447">
        <v>6</v>
      </c>
      <c r="M44" s="447">
        <v>42</v>
      </c>
      <c r="N44" s="448">
        <v>42207</v>
      </c>
    </row>
    <row r="45" spans="1:14">
      <c r="A45" s="577" t="s">
        <v>1273</v>
      </c>
      <c r="B45" s="560">
        <v>75</v>
      </c>
      <c r="C45" s="193">
        <v>42201</v>
      </c>
      <c r="D45" s="193">
        <v>42201</v>
      </c>
      <c r="E45" s="562" t="s">
        <v>171</v>
      </c>
      <c r="F45" s="562" t="s">
        <v>1110</v>
      </c>
      <c r="G45" s="563" t="s">
        <v>1116</v>
      </c>
      <c r="H45" s="562">
        <v>17</v>
      </c>
      <c r="I45" s="560">
        <v>17</v>
      </c>
      <c r="J45" s="562"/>
      <c r="K45" s="562" t="s">
        <v>1112</v>
      </c>
      <c r="L45" s="447">
        <v>2</v>
      </c>
      <c r="M45" s="447">
        <v>8</v>
      </c>
      <c r="N45" s="448">
        <v>42207</v>
      </c>
    </row>
    <row r="46" spans="1:14">
      <c r="A46" s="559" t="s">
        <v>1274</v>
      </c>
      <c r="B46" s="560">
        <v>76</v>
      </c>
      <c r="C46" s="193">
        <v>42201</v>
      </c>
      <c r="D46" s="193">
        <v>42201</v>
      </c>
      <c r="E46" s="561" t="s">
        <v>195</v>
      </c>
      <c r="F46" s="562" t="s">
        <v>1110</v>
      </c>
      <c r="G46" s="563" t="s">
        <v>1111</v>
      </c>
      <c r="H46" s="562">
        <v>282</v>
      </c>
      <c r="I46" s="560">
        <v>282</v>
      </c>
      <c r="J46" s="562"/>
      <c r="K46" s="377" t="s">
        <v>1112</v>
      </c>
      <c r="L46" s="447">
        <v>6</v>
      </c>
      <c r="M46" s="447">
        <v>42</v>
      </c>
      <c r="N46" s="448">
        <v>42207</v>
      </c>
    </row>
    <row r="47" spans="1:14">
      <c r="A47" s="559" t="s">
        <v>1274</v>
      </c>
      <c r="B47" s="560">
        <v>76</v>
      </c>
      <c r="C47" s="193">
        <v>42201</v>
      </c>
      <c r="D47" s="193">
        <v>42201</v>
      </c>
      <c r="E47" s="562" t="s">
        <v>171</v>
      </c>
      <c r="F47" s="562" t="s">
        <v>1110</v>
      </c>
      <c r="G47" s="563" t="s">
        <v>1116</v>
      </c>
      <c r="H47" s="562">
        <v>15</v>
      </c>
      <c r="I47" s="560">
        <v>15</v>
      </c>
      <c r="J47" s="562"/>
      <c r="K47" s="562" t="s">
        <v>1112</v>
      </c>
      <c r="L47" s="447">
        <v>2</v>
      </c>
      <c r="M47" s="447">
        <v>8</v>
      </c>
      <c r="N47" s="448">
        <v>42207</v>
      </c>
    </row>
    <row r="48" spans="1:14">
      <c r="A48" s="562" t="s">
        <v>1275</v>
      </c>
      <c r="B48" s="560">
        <v>61</v>
      </c>
      <c r="C48" s="193">
        <v>42201</v>
      </c>
      <c r="D48" s="193">
        <v>42201</v>
      </c>
      <c r="E48" s="561" t="s">
        <v>195</v>
      </c>
      <c r="F48" s="562" t="s">
        <v>1110</v>
      </c>
      <c r="G48" s="563" t="s">
        <v>1111</v>
      </c>
      <c r="H48" s="562">
        <v>185</v>
      </c>
      <c r="I48" s="560">
        <v>185</v>
      </c>
      <c r="J48" s="562"/>
      <c r="K48" s="377" t="s">
        <v>1112</v>
      </c>
      <c r="L48" s="447">
        <v>6</v>
      </c>
      <c r="M48" s="447">
        <v>42</v>
      </c>
      <c r="N48" s="448">
        <v>42207</v>
      </c>
    </row>
    <row r="49" spans="1:14">
      <c r="A49" s="562" t="s">
        <v>1275</v>
      </c>
      <c r="B49" s="560">
        <v>61</v>
      </c>
      <c r="C49" s="193">
        <v>42201</v>
      </c>
      <c r="D49" s="193">
        <v>42201</v>
      </c>
      <c r="E49" s="562" t="s">
        <v>171</v>
      </c>
      <c r="F49" s="562" t="s">
        <v>1110</v>
      </c>
      <c r="G49" s="563" t="s">
        <v>1116</v>
      </c>
      <c r="H49" s="562">
        <v>31</v>
      </c>
      <c r="I49" s="560">
        <v>31</v>
      </c>
      <c r="J49" s="562"/>
      <c r="K49" s="562" t="s">
        <v>1112</v>
      </c>
      <c r="L49" s="447">
        <v>2</v>
      </c>
      <c r="M49" s="447">
        <v>8</v>
      </c>
      <c r="N49" s="448">
        <v>42207</v>
      </c>
    </row>
    <row r="50" spans="1:14">
      <c r="A50" s="559" t="s">
        <v>1276</v>
      </c>
      <c r="B50" s="829">
        <v>81</v>
      </c>
      <c r="C50" s="193">
        <v>42201</v>
      </c>
      <c r="D50" s="193">
        <v>42201</v>
      </c>
      <c r="E50" s="561" t="s">
        <v>195</v>
      </c>
      <c r="F50" s="562" t="s">
        <v>1110</v>
      </c>
      <c r="G50" s="563" t="s">
        <v>1111</v>
      </c>
      <c r="H50" s="562">
        <v>212</v>
      </c>
      <c r="I50" s="560">
        <v>212</v>
      </c>
      <c r="J50" s="562"/>
      <c r="K50" s="377" t="s">
        <v>1112</v>
      </c>
      <c r="L50" s="447">
        <v>6</v>
      </c>
      <c r="M50" s="447">
        <v>42</v>
      </c>
      <c r="N50" s="448">
        <v>42207</v>
      </c>
    </row>
    <row r="51" spans="1:14">
      <c r="A51" s="559" t="s">
        <v>1276</v>
      </c>
      <c r="B51" s="829">
        <v>81</v>
      </c>
      <c r="C51" s="193">
        <v>42201</v>
      </c>
      <c r="D51" s="193">
        <v>42201</v>
      </c>
      <c r="E51" s="562" t="s">
        <v>171</v>
      </c>
      <c r="F51" s="562" t="s">
        <v>1110</v>
      </c>
      <c r="G51" s="563" t="s">
        <v>1116</v>
      </c>
      <c r="H51" s="562">
        <v>17</v>
      </c>
      <c r="I51" s="560">
        <v>17</v>
      </c>
      <c r="J51" s="562"/>
      <c r="K51" s="562" t="s">
        <v>1112</v>
      </c>
      <c r="L51" s="447">
        <v>2</v>
      </c>
      <c r="M51" s="447">
        <v>8</v>
      </c>
      <c r="N51" s="448">
        <v>42207</v>
      </c>
    </row>
    <row r="52" spans="1:14">
      <c r="A52" s="562" t="s">
        <v>1277</v>
      </c>
      <c r="B52" s="560">
        <v>82</v>
      </c>
      <c r="C52" s="193">
        <v>42201</v>
      </c>
      <c r="D52" s="193">
        <v>42201</v>
      </c>
      <c r="E52" s="561" t="s">
        <v>195</v>
      </c>
      <c r="F52" s="562" t="s">
        <v>1110</v>
      </c>
      <c r="G52" s="563" t="s">
        <v>1111</v>
      </c>
      <c r="H52" s="562">
        <v>365</v>
      </c>
      <c r="I52" s="560">
        <v>365</v>
      </c>
      <c r="J52" s="562"/>
      <c r="K52" s="377" t="s">
        <v>1112</v>
      </c>
      <c r="L52" s="447">
        <v>6</v>
      </c>
      <c r="M52" s="447">
        <v>42</v>
      </c>
      <c r="N52" s="448">
        <v>42207</v>
      </c>
    </row>
    <row r="53" spans="1:14">
      <c r="A53" s="562" t="s">
        <v>1277</v>
      </c>
      <c r="B53" s="560">
        <v>82</v>
      </c>
      <c r="C53" s="193">
        <v>42201</v>
      </c>
      <c r="D53" s="193">
        <v>42201</v>
      </c>
      <c r="E53" s="562" t="s">
        <v>171</v>
      </c>
      <c r="F53" s="562" t="s">
        <v>1110</v>
      </c>
      <c r="G53" s="563" t="s">
        <v>1116</v>
      </c>
      <c r="H53" s="562">
        <v>20</v>
      </c>
      <c r="I53" s="560">
        <v>20</v>
      </c>
      <c r="J53" s="562"/>
      <c r="K53" s="562" t="s">
        <v>1112</v>
      </c>
      <c r="L53" s="447">
        <v>2</v>
      </c>
      <c r="M53" s="447">
        <v>8</v>
      </c>
      <c r="N53" s="448">
        <v>42207</v>
      </c>
    </row>
    <row r="54" spans="1:14">
      <c r="A54" s="577" t="s">
        <v>1278</v>
      </c>
      <c r="B54" s="560">
        <v>36</v>
      </c>
      <c r="C54" s="193">
        <v>42236</v>
      </c>
      <c r="D54" s="193">
        <v>42236</v>
      </c>
      <c r="E54" s="561" t="s">
        <v>195</v>
      </c>
      <c r="F54" s="562" t="s">
        <v>1110</v>
      </c>
      <c r="G54" s="563" t="s">
        <v>1111</v>
      </c>
      <c r="H54" s="562">
        <v>308</v>
      </c>
      <c r="I54" s="560">
        <v>308</v>
      </c>
      <c r="J54" s="562"/>
      <c r="K54" s="377" t="s">
        <v>1112</v>
      </c>
      <c r="L54" s="447">
        <v>6</v>
      </c>
      <c r="M54" s="447">
        <v>42</v>
      </c>
      <c r="N54" s="448">
        <v>42243</v>
      </c>
    </row>
    <row r="55" spans="1:14">
      <c r="A55" s="577" t="s">
        <v>1278</v>
      </c>
      <c r="B55" s="560">
        <v>36</v>
      </c>
      <c r="C55" s="193">
        <v>42236</v>
      </c>
      <c r="D55" s="193">
        <v>42236</v>
      </c>
      <c r="E55" s="562" t="s">
        <v>177</v>
      </c>
      <c r="F55" s="562" t="s">
        <v>1110</v>
      </c>
      <c r="G55" s="562" t="s">
        <v>1113</v>
      </c>
      <c r="H55" s="562">
        <v>149</v>
      </c>
      <c r="I55" s="560">
        <v>149</v>
      </c>
      <c r="J55" s="562"/>
      <c r="K55" s="562" t="s">
        <v>1112</v>
      </c>
      <c r="L55" s="447">
        <v>2</v>
      </c>
      <c r="M55" s="447">
        <v>8</v>
      </c>
      <c r="N55" s="448">
        <v>42237</v>
      </c>
    </row>
    <row r="56" spans="1:14">
      <c r="A56" s="577" t="s">
        <v>1278</v>
      </c>
      <c r="B56" s="560">
        <v>36</v>
      </c>
      <c r="C56" s="193">
        <v>42236</v>
      </c>
      <c r="D56" s="193">
        <v>42236</v>
      </c>
      <c r="E56" s="562" t="s">
        <v>223</v>
      </c>
      <c r="F56" s="562" t="s">
        <v>1110</v>
      </c>
      <c r="G56" s="562" t="s">
        <v>1114</v>
      </c>
      <c r="H56" s="562">
        <v>20</v>
      </c>
      <c r="I56" s="560">
        <v>20</v>
      </c>
      <c r="J56" s="562" t="s">
        <v>1115</v>
      </c>
      <c r="K56" s="377" t="s">
        <v>1112</v>
      </c>
      <c r="L56" s="449">
        <v>5</v>
      </c>
      <c r="M56" s="449">
        <v>35</v>
      </c>
      <c r="N56" s="448">
        <v>42242</v>
      </c>
    </row>
    <row r="57" spans="1:14">
      <c r="A57" s="577" t="s">
        <v>1278</v>
      </c>
      <c r="B57" s="560">
        <v>36</v>
      </c>
      <c r="C57" s="193">
        <v>42236</v>
      </c>
      <c r="D57" s="193">
        <v>42236</v>
      </c>
      <c r="E57" s="562" t="s">
        <v>171</v>
      </c>
      <c r="F57" s="562" t="s">
        <v>1110</v>
      </c>
      <c r="G57" s="563" t="s">
        <v>1116</v>
      </c>
      <c r="H57" s="562">
        <v>3</v>
      </c>
      <c r="I57" s="560">
        <v>3</v>
      </c>
      <c r="J57" s="562" t="s">
        <v>1115</v>
      </c>
      <c r="K57" s="562" t="s">
        <v>1112</v>
      </c>
      <c r="L57" s="447">
        <v>2</v>
      </c>
      <c r="M57" s="447">
        <v>8</v>
      </c>
      <c r="N57" s="448">
        <v>42243</v>
      </c>
    </row>
    <row r="58" spans="1:14">
      <c r="A58" s="559" t="s">
        <v>1279</v>
      </c>
      <c r="B58" s="560">
        <v>37</v>
      </c>
      <c r="C58" s="193">
        <v>42236</v>
      </c>
      <c r="D58" s="193">
        <v>42236</v>
      </c>
      <c r="E58" s="561" t="s">
        <v>195</v>
      </c>
      <c r="F58" s="562" t="s">
        <v>1110</v>
      </c>
      <c r="G58" s="563" t="s">
        <v>1111</v>
      </c>
      <c r="H58" s="562">
        <v>346</v>
      </c>
      <c r="I58" s="560">
        <v>346</v>
      </c>
      <c r="J58" s="562"/>
      <c r="K58" s="377" t="s">
        <v>1112</v>
      </c>
      <c r="L58" s="447">
        <v>6</v>
      </c>
      <c r="M58" s="447">
        <v>42</v>
      </c>
      <c r="N58" s="448">
        <v>42243</v>
      </c>
    </row>
    <row r="59" spans="1:14">
      <c r="A59" s="559" t="s">
        <v>1279</v>
      </c>
      <c r="B59" s="560">
        <v>37</v>
      </c>
      <c r="C59" s="193">
        <v>42236</v>
      </c>
      <c r="D59" s="193">
        <v>42236</v>
      </c>
      <c r="E59" s="562" t="s">
        <v>177</v>
      </c>
      <c r="F59" s="562" t="s">
        <v>1110</v>
      </c>
      <c r="G59" s="562" t="s">
        <v>1113</v>
      </c>
      <c r="H59" s="562">
        <v>189</v>
      </c>
      <c r="I59" s="560">
        <v>189</v>
      </c>
      <c r="J59" s="562"/>
      <c r="K59" s="562" t="s">
        <v>1112</v>
      </c>
      <c r="L59" s="447">
        <v>2</v>
      </c>
      <c r="M59" s="447">
        <v>8</v>
      </c>
      <c r="N59" s="448">
        <v>42237</v>
      </c>
    </row>
    <row r="60" spans="1:14">
      <c r="A60" s="559" t="s">
        <v>1279</v>
      </c>
      <c r="B60" s="560">
        <v>37</v>
      </c>
      <c r="C60" s="193">
        <v>42236</v>
      </c>
      <c r="D60" s="193">
        <v>42236</v>
      </c>
      <c r="E60" s="562" t="s">
        <v>223</v>
      </c>
      <c r="F60" s="562" t="s">
        <v>1110</v>
      </c>
      <c r="G60" s="562" t="s">
        <v>1114</v>
      </c>
      <c r="H60" s="562">
        <v>16</v>
      </c>
      <c r="I60" s="560">
        <v>16</v>
      </c>
      <c r="J60" s="562" t="s">
        <v>1115</v>
      </c>
      <c r="K60" s="377" t="s">
        <v>1112</v>
      </c>
      <c r="L60" s="449">
        <v>5</v>
      </c>
      <c r="M60" s="449">
        <v>35</v>
      </c>
      <c r="N60" s="448">
        <v>42242</v>
      </c>
    </row>
    <row r="61" spans="1:14">
      <c r="A61" s="559" t="s">
        <v>1279</v>
      </c>
      <c r="B61" s="560">
        <v>37</v>
      </c>
      <c r="C61" s="193">
        <v>42236</v>
      </c>
      <c r="D61" s="193">
        <v>42236</v>
      </c>
      <c r="E61" s="562" t="s">
        <v>171</v>
      </c>
      <c r="F61" s="562" t="s">
        <v>1110</v>
      </c>
      <c r="G61" s="563" t="s">
        <v>1116</v>
      </c>
      <c r="H61" s="562">
        <v>3</v>
      </c>
      <c r="I61" s="560">
        <v>3</v>
      </c>
      <c r="J61" s="562" t="s">
        <v>1115</v>
      </c>
      <c r="K61" s="562" t="s">
        <v>1112</v>
      </c>
      <c r="L61" s="447">
        <v>2</v>
      </c>
      <c r="M61" s="447">
        <v>8</v>
      </c>
      <c r="N61" s="448">
        <v>42243</v>
      </c>
    </row>
    <row r="62" spans="1:14">
      <c r="A62" s="562" t="s">
        <v>1280</v>
      </c>
      <c r="B62" s="560">
        <v>63</v>
      </c>
      <c r="C62" s="193">
        <v>42236</v>
      </c>
      <c r="D62" s="193">
        <v>42236</v>
      </c>
      <c r="E62" s="561" t="s">
        <v>195</v>
      </c>
      <c r="F62" s="562" t="s">
        <v>1110</v>
      </c>
      <c r="G62" s="563" t="s">
        <v>1111</v>
      </c>
      <c r="H62" s="562">
        <v>126</v>
      </c>
      <c r="I62" s="560">
        <v>126</v>
      </c>
      <c r="J62" s="562"/>
      <c r="K62" s="377" t="s">
        <v>1112</v>
      </c>
      <c r="L62" s="447">
        <v>6</v>
      </c>
      <c r="M62" s="447">
        <v>42</v>
      </c>
      <c r="N62" s="448">
        <v>42263</v>
      </c>
    </row>
    <row r="63" spans="1:14">
      <c r="A63" s="562" t="s">
        <v>1280</v>
      </c>
      <c r="B63" s="560">
        <v>63</v>
      </c>
      <c r="C63" s="193">
        <v>42236</v>
      </c>
      <c r="D63" s="193">
        <v>42236</v>
      </c>
      <c r="E63" s="562" t="s">
        <v>177</v>
      </c>
      <c r="F63" s="562" t="s">
        <v>1110</v>
      </c>
      <c r="G63" s="562" t="s">
        <v>1113</v>
      </c>
      <c r="H63" s="562"/>
      <c r="I63" s="560"/>
      <c r="J63" s="562" t="s">
        <v>1121</v>
      </c>
      <c r="K63" s="562" t="s">
        <v>1112</v>
      </c>
      <c r="L63" s="447">
        <v>2</v>
      </c>
      <c r="M63" s="447">
        <v>8</v>
      </c>
      <c r="N63" s="448">
        <v>42237</v>
      </c>
    </row>
    <row r="64" spans="1:14">
      <c r="A64" s="562" t="s">
        <v>1280</v>
      </c>
      <c r="B64" s="560">
        <v>63</v>
      </c>
      <c r="C64" s="193">
        <v>42236</v>
      </c>
      <c r="D64" s="193">
        <v>42236</v>
      </c>
      <c r="E64" s="562" t="s">
        <v>223</v>
      </c>
      <c r="F64" s="562" t="s">
        <v>1110</v>
      </c>
      <c r="G64" s="562" t="s">
        <v>1114</v>
      </c>
      <c r="H64" s="562">
        <v>29</v>
      </c>
      <c r="I64" s="560">
        <v>29</v>
      </c>
      <c r="J64" s="562" t="s">
        <v>1115</v>
      </c>
      <c r="K64" s="377" t="s">
        <v>1112</v>
      </c>
      <c r="L64" s="449">
        <v>5</v>
      </c>
      <c r="M64" s="449">
        <v>35</v>
      </c>
      <c r="N64" s="448">
        <v>42242</v>
      </c>
    </row>
    <row r="65" spans="1:14">
      <c r="A65" s="562" t="s">
        <v>1280</v>
      </c>
      <c r="B65" s="560">
        <v>63</v>
      </c>
      <c r="C65" s="193">
        <v>42236</v>
      </c>
      <c r="D65" s="193">
        <v>42236</v>
      </c>
      <c r="E65" s="562" t="s">
        <v>171</v>
      </c>
      <c r="F65" s="562" t="s">
        <v>1110</v>
      </c>
      <c r="G65" s="563" t="s">
        <v>1116</v>
      </c>
      <c r="H65" s="562">
        <v>406</v>
      </c>
      <c r="I65" s="560">
        <v>406</v>
      </c>
      <c r="J65" s="562"/>
      <c r="K65" s="562" t="s">
        <v>1112</v>
      </c>
      <c r="L65" s="447">
        <v>2</v>
      </c>
      <c r="M65" s="447">
        <v>8</v>
      </c>
      <c r="N65" s="448">
        <v>42263</v>
      </c>
    </row>
    <row r="66" spans="1:14">
      <c r="A66" s="559" t="s">
        <v>1281</v>
      </c>
      <c r="B66" s="829">
        <v>65</v>
      </c>
      <c r="C66" s="193">
        <v>42236</v>
      </c>
      <c r="D66" s="193">
        <v>42236</v>
      </c>
      <c r="E66" s="561" t="s">
        <v>195</v>
      </c>
      <c r="F66" s="562" t="s">
        <v>1110</v>
      </c>
      <c r="G66" s="563" t="s">
        <v>1111</v>
      </c>
      <c r="H66" s="562">
        <v>295</v>
      </c>
      <c r="I66" s="560">
        <v>295</v>
      </c>
      <c r="J66" s="562"/>
      <c r="K66" s="377" t="s">
        <v>1112</v>
      </c>
      <c r="L66" s="447">
        <v>6</v>
      </c>
      <c r="M66" s="447">
        <v>42</v>
      </c>
      <c r="N66" s="448">
        <v>42243</v>
      </c>
    </row>
    <row r="67" spans="1:14">
      <c r="A67" s="559" t="s">
        <v>1281</v>
      </c>
      <c r="B67" s="829">
        <v>65</v>
      </c>
      <c r="C67" s="193">
        <v>42236</v>
      </c>
      <c r="D67" s="193">
        <v>42236</v>
      </c>
      <c r="E67" s="562" t="s">
        <v>177</v>
      </c>
      <c r="F67" s="562" t="s">
        <v>1110</v>
      </c>
      <c r="G67" s="562" t="s">
        <v>1113</v>
      </c>
      <c r="H67" s="562">
        <v>144</v>
      </c>
      <c r="I67" s="560">
        <v>144</v>
      </c>
      <c r="J67" s="562"/>
      <c r="K67" s="562" t="s">
        <v>1112</v>
      </c>
      <c r="L67" s="447">
        <v>2</v>
      </c>
      <c r="M67" s="447">
        <v>8</v>
      </c>
      <c r="N67" s="448">
        <v>42237</v>
      </c>
    </row>
    <row r="68" spans="1:14">
      <c r="A68" s="559" t="s">
        <v>1281</v>
      </c>
      <c r="B68" s="829">
        <v>65</v>
      </c>
      <c r="C68" s="193">
        <v>42236</v>
      </c>
      <c r="D68" s="193">
        <v>42236</v>
      </c>
      <c r="E68" s="562" t="s">
        <v>223</v>
      </c>
      <c r="F68" s="562" t="s">
        <v>1110</v>
      </c>
      <c r="G68" s="562" t="s">
        <v>1114</v>
      </c>
      <c r="H68" s="562">
        <v>19</v>
      </c>
      <c r="I68" s="560">
        <v>19</v>
      </c>
      <c r="J68" s="562" t="s">
        <v>1115</v>
      </c>
      <c r="K68" s="377" t="s">
        <v>1112</v>
      </c>
      <c r="L68" s="449">
        <v>5</v>
      </c>
      <c r="M68" s="449">
        <v>35</v>
      </c>
      <c r="N68" s="448">
        <v>42242</v>
      </c>
    </row>
    <row r="69" spans="1:14">
      <c r="A69" s="559" t="s">
        <v>1281</v>
      </c>
      <c r="B69" s="829">
        <v>65</v>
      </c>
      <c r="C69" s="193">
        <v>42236</v>
      </c>
      <c r="D69" s="193">
        <v>42236</v>
      </c>
      <c r="E69" s="562" t="s">
        <v>171</v>
      </c>
      <c r="F69" s="562" t="s">
        <v>1110</v>
      </c>
      <c r="G69" s="563" t="s">
        <v>1116</v>
      </c>
      <c r="H69" s="562">
        <v>2</v>
      </c>
      <c r="I69" s="560">
        <v>2</v>
      </c>
      <c r="J69" s="562" t="s">
        <v>1115</v>
      </c>
      <c r="K69" s="562" t="s">
        <v>1112</v>
      </c>
      <c r="L69" s="447">
        <v>2</v>
      </c>
      <c r="M69" s="447">
        <v>8</v>
      </c>
      <c r="N69" s="448">
        <v>42243</v>
      </c>
    </row>
    <row r="70" spans="1:14">
      <c r="A70" s="968" t="s">
        <v>1282</v>
      </c>
      <c r="B70" s="969" t="s">
        <v>1283</v>
      </c>
      <c r="C70" s="970">
        <v>42236</v>
      </c>
      <c r="D70" s="970">
        <v>42236</v>
      </c>
      <c r="E70" s="971" t="s">
        <v>195</v>
      </c>
      <c r="F70" s="968" t="s">
        <v>1110</v>
      </c>
      <c r="G70" s="972" t="s">
        <v>1111</v>
      </c>
      <c r="H70" s="968">
        <v>71</v>
      </c>
      <c r="I70" s="973" t="s">
        <v>1284</v>
      </c>
      <c r="J70" s="974"/>
      <c r="K70" s="968" t="s">
        <v>1112</v>
      </c>
      <c r="L70" s="975">
        <v>6</v>
      </c>
      <c r="M70" s="975">
        <v>42</v>
      </c>
      <c r="N70" s="976">
        <v>42263</v>
      </c>
    </row>
    <row r="71" spans="1:14">
      <c r="A71" s="968" t="s">
        <v>1282</v>
      </c>
      <c r="B71" s="969" t="s">
        <v>1283</v>
      </c>
      <c r="C71" s="970">
        <v>42236</v>
      </c>
      <c r="D71" s="970">
        <v>42236</v>
      </c>
      <c r="E71" s="968" t="s">
        <v>177</v>
      </c>
      <c r="F71" s="968" t="s">
        <v>1110</v>
      </c>
      <c r="G71" s="968" t="s">
        <v>1113</v>
      </c>
      <c r="H71" s="974"/>
      <c r="I71" s="973"/>
      <c r="J71" s="974" t="s">
        <v>1121</v>
      </c>
      <c r="K71" s="968" t="s">
        <v>1112</v>
      </c>
      <c r="L71" s="975">
        <v>2</v>
      </c>
      <c r="M71" s="975">
        <v>8</v>
      </c>
      <c r="N71" s="976">
        <v>42237</v>
      </c>
    </row>
    <row r="72" spans="1:14">
      <c r="A72" s="968" t="s">
        <v>1282</v>
      </c>
      <c r="B72" s="969" t="s">
        <v>1283</v>
      </c>
      <c r="C72" s="970">
        <v>42236</v>
      </c>
      <c r="D72" s="970">
        <v>42236</v>
      </c>
      <c r="E72" s="968" t="s">
        <v>223</v>
      </c>
      <c r="F72" s="968" t="s">
        <v>1110</v>
      </c>
      <c r="G72" s="968" t="s">
        <v>1114</v>
      </c>
      <c r="H72" s="968">
        <v>7</v>
      </c>
      <c r="I72" s="973" t="s">
        <v>1285</v>
      </c>
      <c r="J72" s="968" t="s">
        <v>1115</v>
      </c>
      <c r="K72" s="968" t="s">
        <v>1112</v>
      </c>
      <c r="L72" s="977">
        <v>5</v>
      </c>
      <c r="M72" s="977">
        <v>35</v>
      </c>
      <c r="N72" s="976">
        <v>42242</v>
      </c>
    </row>
    <row r="73" spans="1:14">
      <c r="A73" s="968" t="s">
        <v>1282</v>
      </c>
      <c r="B73" s="969" t="s">
        <v>1283</v>
      </c>
      <c r="C73" s="970">
        <v>42236</v>
      </c>
      <c r="D73" s="970">
        <v>42236</v>
      </c>
      <c r="E73" s="968" t="s">
        <v>171</v>
      </c>
      <c r="F73" s="968" t="s">
        <v>1110</v>
      </c>
      <c r="G73" s="972" t="s">
        <v>1116</v>
      </c>
      <c r="H73" s="968">
        <v>490</v>
      </c>
      <c r="I73" s="973" t="s">
        <v>1295</v>
      </c>
      <c r="J73" s="974"/>
      <c r="K73" s="968" t="s">
        <v>1112</v>
      </c>
      <c r="L73" s="975">
        <v>2</v>
      </c>
      <c r="M73" s="975">
        <v>8</v>
      </c>
      <c r="N73" s="976">
        <v>42263</v>
      </c>
    </row>
    <row r="74" spans="1:14">
      <c r="A74" s="968" t="s">
        <v>1286</v>
      </c>
      <c r="B74" s="978" t="s">
        <v>1287</v>
      </c>
      <c r="C74" s="970">
        <v>42236</v>
      </c>
      <c r="D74" s="970">
        <v>42236</v>
      </c>
      <c r="E74" s="971" t="s">
        <v>1288</v>
      </c>
      <c r="F74" s="968" t="s">
        <v>1110</v>
      </c>
      <c r="G74" s="972" t="s">
        <v>1289</v>
      </c>
      <c r="H74" s="974">
        <v>18</v>
      </c>
      <c r="I74" s="973" t="s">
        <v>1290</v>
      </c>
      <c r="J74" s="974"/>
      <c r="K74" s="968" t="s">
        <v>1112</v>
      </c>
      <c r="L74" s="979">
        <v>2</v>
      </c>
      <c r="M74" s="979">
        <v>8</v>
      </c>
      <c r="N74" s="980">
        <v>42237</v>
      </c>
    </row>
    <row r="75" spans="1:14">
      <c r="A75" s="577" t="s">
        <v>1291</v>
      </c>
      <c r="B75" s="560">
        <v>36</v>
      </c>
      <c r="C75" s="193">
        <v>42264</v>
      </c>
      <c r="D75" s="193">
        <v>42264</v>
      </c>
      <c r="E75" s="561" t="s">
        <v>195</v>
      </c>
      <c r="F75" s="562" t="s">
        <v>1110</v>
      </c>
      <c r="G75" s="563" t="s">
        <v>1111</v>
      </c>
      <c r="H75" s="562">
        <v>304</v>
      </c>
      <c r="I75" s="560">
        <v>304</v>
      </c>
      <c r="J75" s="562"/>
      <c r="K75" s="377" t="s">
        <v>1112</v>
      </c>
      <c r="L75" s="447">
        <v>6</v>
      </c>
      <c r="M75" s="447">
        <v>42</v>
      </c>
      <c r="N75" s="448">
        <v>42274</v>
      </c>
    </row>
    <row r="76" spans="1:14">
      <c r="A76" s="577" t="s">
        <v>1291</v>
      </c>
      <c r="B76" s="560">
        <v>36</v>
      </c>
      <c r="C76" s="193">
        <v>42264</v>
      </c>
      <c r="D76" s="193">
        <v>42264</v>
      </c>
      <c r="E76" s="562" t="s">
        <v>177</v>
      </c>
      <c r="F76" s="562" t="s">
        <v>1110</v>
      </c>
      <c r="G76" s="562" t="s">
        <v>1113</v>
      </c>
      <c r="H76" s="562">
        <v>152</v>
      </c>
      <c r="I76" s="560">
        <v>152</v>
      </c>
      <c r="J76" s="562"/>
      <c r="K76" s="562" t="s">
        <v>1112</v>
      </c>
      <c r="L76" s="447">
        <v>2</v>
      </c>
      <c r="M76" s="447">
        <v>8</v>
      </c>
      <c r="N76" s="448">
        <v>42265</v>
      </c>
    </row>
    <row r="77" spans="1:14">
      <c r="A77" s="577" t="s">
        <v>1291</v>
      </c>
      <c r="B77" s="560">
        <v>36</v>
      </c>
      <c r="C77" s="193">
        <v>42264</v>
      </c>
      <c r="D77" s="193">
        <v>42264</v>
      </c>
      <c r="E77" s="562" t="s">
        <v>223</v>
      </c>
      <c r="F77" s="562" t="s">
        <v>1110</v>
      </c>
      <c r="G77" s="562" t="s">
        <v>1114</v>
      </c>
      <c r="H77" s="562">
        <v>20</v>
      </c>
      <c r="I77" s="560">
        <v>20</v>
      </c>
      <c r="J77" s="562" t="s">
        <v>1115</v>
      </c>
      <c r="K77" s="377" t="s">
        <v>1112</v>
      </c>
      <c r="L77" s="449">
        <v>5</v>
      </c>
      <c r="M77" s="449">
        <v>35</v>
      </c>
      <c r="N77" s="448">
        <v>42268</v>
      </c>
    </row>
    <row r="78" spans="1:14">
      <c r="A78" s="577" t="s">
        <v>1291</v>
      </c>
      <c r="B78" s="560">
        <v>36</v>
      </c>
      <c r="C78" s="193">
        <v>42264</v>
      </c>
      <c r="D78" s="193">
        <v>42264</v>
      </c>
      <c r="E78" s="562" t="s">
        <v>171</v>
      </c>
      <c r="F78" s="562" t="s">
        <v>1110</v>
      </c>
      <c r="G78" s="563" t="s">
        <v>1116</v>
      </c>
      <c r="H78" s="562"/>
      <c r="I78" s="560"/>
      <c r="J78" s="562" t="s">
        <v>1121</v>
      </c>
      <c r="K78" s="562" t="s">
        <v>1112</v>
      </c>
      <c r="L78" s="447">
        <v>2</v>
      </c>
      <c r="M78" s="447">
        <v>8</v>
      </c>
      <c r="N78" s="448">
        <v>42274</v>
      </c>
    </row>
    <row r="79" spans="1:14">
      <c r="A79" s="559" t="s">
        <v>1292</v>
      </c>
      <c r="B79" s="560">
        <v>37</v>
      </c>
      <c r="C79" s="193">
        <v>42264</v>
      </c>
      <c r="D79" s="193">
        <v>42264</v>
      </c>
      <c r="E79" s="561" t="s">
        <v>195</v>
      </c>
      <c r="F79" s="562" t="s">
        <v>1110</v>
      </c>
      <c r="G79" s="563" t="s">
        <v>1111</v>
      </c>
      <c r="H79" s="562">
        <v>313</v>
      </c>
      <c r="I79" s="560">
        <v>313</v>
      </c>
      <c r="J79" s="562"/>
      <c r="K79" s="377" t="s">
        <v>1112</v>
      </c>
      <c r="L79" s="447">
        <v>6</v>
      </c>
      <c r="M79" s="447">
        <v>42</v>
      </c>
      <c r="N79" s="448">
        <v>42274</v>
      </c>
    </row>
    <row r="80" spans="1:14">
      <c r="A80" s="559" t="s">
        <v>1292</v>
      </c>
      <c r="B80" s="560">
        <v>37</v>
      </c>
      <c r="C80" s="193">
        <v>42264</v>
      </c>
      <c r="D80" s="193">
        <v>42264</v>
      </c>
      <c r="E80" s="562" t="s">
        <v>177</v>
      </c>
      <c r="F80" s="562" t="s">
        <v>1110</v>
      </c>
      <c r="G80" s="562" t="s">
        <v>1113</v>
      </c>
      <c r="H80" s="562">
        <v>182</v>
      </c>
      <c r="I80" s="560">
        <v>182</v>
      </c>
      <c r="J80" s="562"/>
      <c r="K80" s="562" t="s">
        <v>1112</v>
      </c>
      <c r="L80" s="447">
        <v>2</v>
      </c>
      <c r="M80" s="447">
        <v>8</v>
      </c>
      <c r="N80" s="448">
        <v>42265</v>
      </c>
    </row>
    <row r="81" spans="1:14">
      <c r="A81" s="559" t="s">
        <v>1292</v>
      </c>
      <c r="B81" s="560">
        <v>37</v>
      </c>
      <c r="C81" s="193">
        <v>42264</v>
      </c>
      <c r="D81" s="193">
        <v>42264</v>
      </c>
      <c r="E81" s="562" t="s">
        <v>223</v>
      </c>
      <c r="F81" s="562" t="s">
        <v>1110</v>
      </c>
      <c r="G81" s="562" t="s">
        <v>1114</v>
      </c>
      <c r="H81" s="562"/>
      <c r="I81" s="560"/>
      <c r="J81" s="562" t="s">
        <v>1121</v>
      </c>
      <c r="K81" s="377" t="s">
        <v>1112</v>
      </c>
      <c r="L81" s="449">
        <v>5</v>
      </c>
      <c r="M81" s="449">
        <v>35</v>
      </c>
      <c r="N81" s="448">
        <v>42268</v>
      </c>
    </row>
    <row r="82" spans="1:14">
      <c r="A82" s="559" t="s">
        <v>1292</v>
      </c>
      <c r="B82" s="560">
        <v>37</v>
      </c>
      <c r="C82" s="193">
        <v>42264</v>
      </c>
      <c r="D82" s="193">
        <v>42264</v>
      </c>
      <c r="E82" s="562" t="s">
        <v>171</v>
      </c>
      <c r="F82" s="562" t="s">
        <v>1110</v>
      </c>
      <c r="G82" s="563" t="s">
        <v>1116</v>
      </c>
      <c r="H82" s="562"/>
      <c r="I82" s="560"/>
      <c r="J82" s="562" t="s">
        <v>1121</v>
      </c>
      <c r="K82" s="562" t="s">
        <v>1112</v>
      </c>
      <c r="L82" s="447">
        <v>2</v>
      </c>
      <c r="M82" s="447">
        <v>8</v>
      </c>
      <c r="N82" s="448">
        <v>42274</v>
      </c>
    </row>
    <row r="83" spans="1:14">
      <c r="A83" s="562" t="s">
        <v>1293</v>
      </c>
      <c r="B83" s="560">
        <v>63</v>
      </c>
      <c r="C83" s="193">
        <v>42264</v>
      </c>
      <c r="D83" s="193">
        <v>42264</v>
      </c>
      <c r="E83" s="561" t="s">
        <v>195</v>
      </c>
      <c r="F83" s="562" t="s">
        <v>1110</v>
      </c>
      <c r="G83" s="563" t="s">
        <v>1111</v>
      </c>
      <c r="H83" s="562">
        <v>119</v>
      </c>
      <c r="I83" s="560">
        <v>119</v>
      </c>
      <c r="J83" s="562"/>
      <c r="K83" s="377" t="s">
        <v>1112</v>
      </c>
      <c r="L83" s="447">
        <v>6</v>
      </c>
      <c r="M83" s="447">
        <v>42</v>
      </c>
      <c r="N83" s="448">
        <v>42274</v>
      </c>
    </row>
    <row r="84" spans="1:14">
      <c r="A84" s="562" t="s">
        <v>1293</v>
      </c>
      <c r="B84" s="560">
        <v>63</v>
      </c>
      <c r="C84" s="193">
        <v>42264</v>
      </c>
      <c r="D84" s="193">
        <v>42264</v>
      </c>
      <c r="E84" s="562" t="s">
        <v>177</v>
      </c>
      <c r="F84" s="562" t="s">
        <v>1110</v>
      </c>
      <c r="G84" s="562" t="s">
        <v>1113</v>
      </c>
      <c r="H84" s="562"/>
      <c r="I84" s="560"/>
      <c r="J84" s="562" t="s">
        <v>1121</v>
      </c>
      <c r="K84" s="562" t="s">
        <v>1112</v>
      </c>
      <c r="L84" s="447">
        <v>2</v>
      </c>
      <c r="M84" s="447">
        <v>8</v>
      </c>
      <c r="N84" s="448">
        <v>42265</v>
      </c>
    </row>
    <row r="85" spans="1:14">
      <c r="A85" s="562" t="s">
        <v>1293</v>
      </c>
      <c r="B85" s="560">
        <v>63</v>
      </c>
      <c r="C85" s="193">
        <v>42264</v>
      </c>
      <c r="D85" s="193">
        <v>42264</v>
      </c>
      <c r="E85" s="562" t="s">
        <v>223</v>
      </c>
      <c r="F85" s="562" t="s">
        <v>1110</v>
      </c>
      <c r="G85" s="562" t="s">
        <v>1114</v>
      </c>
      <c r="H85" s="562">
        <v>8</v>
      </c>
      <c r="I85" s="560">
        <v>8</v>
      </c>
      <c r="J85" s="562" t="s">
        <v>1115</v>
      </c>
      <c r="K85" s="377" t="s">
        <v>1112</v>
      </c>
      <c r="L85" s="449">
        <v>5</v>
      </c>
      <c r="M85" s="449">
        <v>35</v>
      </c>
      <c r="N85" s="448">
        <v>42268</v>
      </c>
    </row>
    <row r="86" spans="1:14">
      <c r="A86" s="562" t="s">
        <v>1293</v>
      </c>
      <c r="B86" s="560">
        <v>63</v>
      </c>
      <c r="C86" s="193">
        <v>42264</v>
      </c>
      <c r="D86" s="193">
        <v>42264</v>
      </c>
      <c r="E86" s="562" t="s">
        <v>171</v>
      </c>
      <c r="F86" s="562" t="s">
        <v>1110</v>
      </c>
      <c r="G86" s="563" t="s">
        <v>1116</v>
      </c>
      <c r="H86" s="562">
        <v>116</v>
      </c>
      <c r="I86" s="560">
        <v>116</v>
      </c>
      <c r="J86" s="562"/>
      <c r="K86" s="562" t="s">
        <v>1112</v>
      </c>
      <c r="L86" s="447">
        <v>2</v>
      </c>
      <c r="M86" s="447">
        <v>8</v>
      </c>
      <c r="N86" s="448">
        <v>42274</v>
      </c>
    </row>
    <row r="87" spans="1:14">
      <c r="A87" s="559" t="s">
        <v>1294</v>
      </c>
      <c r="B87" s="829">
        <v>65</v>
      </c>
      <c r="C87" s="193">
        <v>42264</v>
      </c>
      <c r="D87" s="193">
        <v>42264</v>
      </c>
      <c r="E87" s="561" t="s">
        <v>195</v>
      </c>
      <c r="F87" s="562" t="s">
        <v>1110</v>
      </c>
      <c r="G87" s="563" t="s">
        <v>1111</v>
      </c>
      <c r="H87" s="562">
        <v>298</v>
      </c>
      <c r="I87" s="560">
        <v>298</v>
      </c>
      <c r="J87" s="562"/>
      <c r="K87" s="377" t="s">
        <v>1112</v>
      </c>
      <c r="L87" s="447">
        <v>6</v>
      </c>
      <c r="M87" s="447">
        <v>42</v>
      </c>
      <c r="N87" s="448">
        <v>42274</v>
      </c>
    </row>
    <row r="88" spans="1:14">
      <c r="A88" s="559" t="s">
        <v>1294</v>
      </c>
      <c r="B88" s="829">
        <v>65</v>
      </c>
      <c r="C88" s="193">
        <v>42264</v>
      </c>
      <c r="D88" s="193">
        <v>42264</v>
      </c>
      <c r="E88" s="562" t="s">
        <v>177</v>
      </c>
      <c r="F88" s="562" t="s">
        <v>1110</v>
      </c>
      <c r="G88" s="562" t="s">
        <v>1113</v>
      </c>
      <c r="H88" s="562">
        <v>155</v>
      </c>
      <c r="I88" s="560">
        <v>155</v>
      </c>
      <c r="J88" s="562"/>
      <c r="K88" s="562" t="s">
        <v>1112</v>
      </c>
      <c r="L88" s="447">
        <v>2</v>
      </c>
      <c r="M88" s="447">
        <v>8</v>
      </c>
      <c r="N88" s="448">
        <v>42265</v>
      </c>
    </row>
    <row r="89" spans="1:14">
      <c r="A89" s="559" t="s">
        <v>1294</v>
      </c>
      <c r="B89" s="829">
        <v>65</v>
      </c>
      <c r="C89" s="193">
        <v>42264</v>
      </c>
      <c r="D89" s="193">
        <v>42264</v>
      </c>
      <c r="E89" s="562" t="s">
        <v>223</v>
      </c>
      <c r="F89" s="562" t="s">
        <v>1110</v>
      </c>
      <c r="G89" s="562" t="s">
        <v>1114</v>
      </c>
      <c r="H89" s="562">
        <v>18</v>
      </c>
      <c r="I89" s="560">
        <v>18</v>
      </c>
      <c r="J89" s="562" t="s">
        <v>1115</v>
      </c>
      <c r="K89" s="377" t="s">
        <v>1112</v>
      </c>
      <c r="L89" s="449">
        <v>5</v>
      </c>
      <c r="M89" s="449">
        <v>35</v>
      </c>
      <c r="N89" s="448">
        <v>42268</v>
      </c>
    </row>
    <row r="90" spans="1:14">
      <c r="A90" s="559" t="s">
        <v>1294</v>
      </c>
      <c r="B90" s="829">
        <v>65</v>
      </c>
      <c r="C90" s="193">
        <v>42264</v>
      </c>
      <c r="D90" s="193">
        <v>42264</v>
      </c>
      <c r="E90" s="562" t="s">
        <v>171</v>
      </c>
      <c r="F90" s="562" t="s">
        <v>1110</v>
      </c>
      <c r="G90" s="563" t="s">
        <v>1116</v>
      </c>
      <c r="H90" s="562"/>
      <c r="I90" s="560"/>
      <c r="J90" s="562" t="s">
        <v>1121</v>
      </c>
      <c r="K90" s="562" t="s">
        <v>1112</v>
      </c>
      <c r="L90" s="447">
        <v>2</v>
      </c>
      <c r="M90" s="447">
        <v>8</v>
      </c>
      <c r="N90" s="448">
        <v>42274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59999389629810485"/>
  </sheetPr>
  <dimension ref="B2:AH110"/>
  <sheetViews>
    <sheetView topLeftCell="I34" zoomScaleNormal="100" workbookViewId="0">
      <selection activeCell="K3" sqref="K3:Q3"/>
    </sheetView>
  </sheetViews>
  <sheetFormatPr defaultRowHeight="16.5" customHeight="1"/>
  <cols>
    <col min="1" max="1" width="9.08984375" bestFit="1" customWidth="1"/>
    <col min="2" max="2" width="29.90625" bestFit="1" customWidth="1"/>
    <col min="3" max="3" width="9.08984375" customWidth="1"/>
    <col min="4" max="4" width="10.6328125" customWidth="1"/>
    <col min="5" max="5" width="9.08984375" bestFit="1" customWidth="1"/>
    <col min="6" max="6" width="9.90625" customWidth="1"/>
    <col min="8" max="8" width="8.90625" style="710"/>
    <col min="9" max="9" width="23" style="710" bestFit="1" customWidth="1"/>
    <col min="10" max="10" width="9.08984375" bestFit="1" customWidth="1"/>
    <col min="11" max="11" width="24.08984375" customWidth="1"/>
    <col min="12" max="12" width="29.54296875" bestFit="1" customWidth="1"/>
    <col min="13" max="14" width="9.54296875" bestFit="1" customWidth="1"/>
    <col min="15" max="16" width="7.90625" bestFit="1" customWidth="1"/>
    <col min="17" max="17" width="13.453125" bestFit="1" customWidth="1"/>
    <col min="19" max="19" width="9.54296875" customWidth="1"/>
    <col min="20" max="20" width="10.81640625" customWidth="1"/>
    <col min="24" max="24" width="12" customWidth="1"/>
    <col min="26" max="26" width="4.54296875" bestFit="1" customWidth="1"/>
    <col min="27" max="27" width="16.08984375" customWidth="1"/>
    <col min="28" max="28" width="4.453125" bestFit="1" customWidth="1"/>
    <col min="29" max="29" width="4.54296875" bestFit="1" customWidth="1"/>
    <col min="30" max="30" width="6.453125" bestFit="1" customWidth="1"/>
    <col min="31" max="31" width="4.453125" bestFit="1" customWidth="1"/>
  </cols>
  <sheetData>
    <row r="2" spans="2:31" ht="16.5" customHeight="1">
      <c r="K2" s="200" t="s">
        <v>10</v>
      </c>
      <c r="L2" s="200" t="s">
        <v>9</v>
      </c>
      <c r="M2" s="994">
        <v>42173</v>
      </c>
      <c r="N2" s="994">
        <v>42201</v>
      </c>
      <c r="O2" s="994">
        <v>42236</v>
      </c>
      <c r="P2" s="994">
        <v>42264</v>
      </c>
      <c r="Q2" s="408" t="s">
        <v>16</v>
      </c>
      <c r="S2" s="192" t="s">
        <v>291</v>
      </c>
      <c r="T2" s="1526" t="s">
        <v>955</v>
      </c>
      <c r="U2" s="1526"/>
      <c r="V2" s="1526"/>
      <c r="W2" s="1526"/>
      <c r="X2" s="1526"/>
      <c r="AA2" s="217">
        <v>41899</v>
      </c>
      <c r="AB2" s="192"/>
      <c r="AC2" s="192"/>
      <c r="AD2" s="192"/>
      <c r="AE2" s="192"/>
    </row>
    <row r="3" spans="2:31" ht="16.5" customHeight="1">
      <c r="K3" s="1535" t="s">
        <v>647</v>
      </c>
      <c r="L3" s="1535"/>
      <c r="M3" s="1535"/>
      <c r="N3" s="1535"/>
      <c r="O3" s="1535"/>
      <c r="P3" s="1535"/>
      <c r="Q3" s="1535"/>
      <c r="S3" s="192" t="s">
        <v>292</v>
      </c>
      <c r="T3" s="1511" t="s">
        <v>956</v>
      </c>
      <c r="U3" s="1511"/>
      <c r="V3" s="1511"/>
      <c r="W3" s="1511"/>
      <c r="X3" s="1511"/>
      <c r="AA3" s="1237" t="s">
        <v>10</v>
      </c>
      <c r="AB3" s="1237" t="s">
        <v>149</v>
      </c>
      <c r="AC3" s="1237" t="s">
        <v>150</v>
      </c>
      <c r="AD3" s="1237" t="s">
        <v>147</v>
      </c>
      <c r="AE3" s="1237" t="s">
        <v>148</v>
      </c>
    </row>
    <row r="4" spans="2:31" ht="16.5" customHeight="1">
      <c r="B4" s="388"/>
      <c r="C4" s="995">
        <v>42173</v>
      </c>
      <c r="D4" s="995">
        <v>42201</v>
      </c>
      <c r="E4" s="995">
        <v>42236</v>
      </c>
      <c r="F4" s="995">
        <v>42264</v>
      </c>
      <c r="G4" s="259"/>
      <c r="H4" s="259"/>
      <c r="I4" s="259"/>
      <c r="K4" s="330" t="s">
        <v>355</v>
      </c>
      <c r="L4" s="400" t="s">
        <v>648</v>
      </c>
      <c r="M4" s="638">
        <v>326</v>
      </c>
      <c r="N4" s="638">
        <v>317</v>
      </c>
      <c r="O4" s="638">
        <v>308</v>
      </c>
      <c r="P4" s="638">
        <v>304</v>
      </c>
      <c r="Q4" s="404">
        <f t="shared" ref="Q4:Q15" si="0">AVERAGE(M4:P4)</f>
        <v>313.75</v>
      </c>
      <c r="S4" s="192" t="s">
        <v>6</v>
      </c>
      <c r="T4" s="1511" t="s">
        <v>956</v>
      </c>
      <c r="U4" s="1511"/>
      <c r="V4" s="1511"/>
      <c r="W4" s="1511"/>
      <c r="X4" s="1511"/>
      <c r="AA4" s="551" t="s">
        <v>974</v>
      </c>
      <c r="AB4" s="553">
        <v>5.3</v>
      </c>
      <c r="AC4" s="554">
        <v>8.8000000000000007</v>
      </c>
      <c r="AD4" s="555">
        <v>2.58E-2</v>
      </c>
      <c r="AE4" s="554">
        <v>8.36</v>
      </c>
    </row>
    <row r="5" spans="2:31" ht="16.5" customHeight="1">
      <c r="B5" s="188"/>
      <c r="C5" s="1515" t="s">
        <v>341</v>
      </c>
      <c r="D5" s="1516"/>
      <c r="E5" s="1516"/>
      <c r="F5" s="1517"/>
      <c r="G5" s="54"/>
      <c r="H5" s="54"/>
      <c r="I5" s="54"/>
      <c r="K5" s="330" t="s">
        <v>355</v>
      </c>
      <c r="L5" s="401" t="s">
        <v>649</v>
      </c>
      <c r="M5" s="638">
        <v>129</v>
      </c>
      <c r="N5" s="638">
        <v>121</v>
      </c>
      <c r="O5" s="638">
        <v>149</v>
      </c>
      <c r="P5" s="638">
        <v>152</v>
      </c>
      <c r="Q5" s="404">
        <f t="shared" si="0"/>
        <v>137.75</v>
      </c>
      <c r="S5" s="192" t="s">
        <v>144</v>
      </c>
      <c r="T5" s="217">
        <v>42264</v>
      </c>
      <c r="U5" s="192"/>
      <c r="V5" s="192"/>
      <c r="W5" s="192"/>
      <c r="X5" s="192"/>
      <c r="AA5" s="552" t="s">
        <v>968</v>
      </c>
      <c r="AB5" s="556">
        <v>4.5</v>
      </c>
      <c r="AC5" s="557">
        <v>7.45</v>
      </c>
      <c r="AD5" s="555">
        <v>4.3999999999999997E-2</v>
      </c>
      <c r="AE5" s="554">
        <v>0.89</v>
      </c>
    </row>
    <row r="6" spans="2:31" ht="16.5" customHeight="1">
      <c r="B6" s="385" t="s">
        <v>146</v>
      </c>
      <c r="C6" s="391">
        <v>0.46388888888888885</v>
      </c>
      <c r="D6" s="392">
        <v>0.38472222222222219</v>
      </c>
      <c r="E6" s="392">
        <v>0.4069444444444445</v>
      </c>
      <c r="F6" s="393">
        <v>0.41666666666666669</v>
      </c>
      <c r="G6" s="260"/>
      <c r="H6" s="260"/>
      <c r="I6" s="260"/>
      <c r="K6" s="330" t="s">
        <v>355</v>
      </c>
      <c r="L6" s="401" t="s">
        <v>650</v>
      </c>
      <c r="M6" s="638">
        <v>44</v>
      </c>
      <c r="N6" s="638">
        <v>39</v>
      </c>
      <c r="O6" s="638">
        <v>20</v>
      </c>
      <c r="P6" s="638">
        <v>20</v>
      </c>
      <c r="Q6" s="404">
        <f t="shared" si="0"/>
        <v>30.75</v>
      </c>
      <c r="S6" s="200" t="s">
        <v>957</v>
      </c>
      <c r="T6" s="1529" t="s">
        <v>958</v>
      </c>
      <c r="U6" s="1530"/>
      <c r="V6" s="1530"/>
      <c r="W6" s="1530"/>
      <c r="X6" s="1531"/>
      <c r="AA6" s="551" t="s">
        <v>970</v>
      </c>
      <c r="AB6" s="553">
        <v>4.4000000000000004</v>
      </c>
      <c r="AC6" s="554">
        <v>7.12</v>
      </c>
      <c r="AD6" s="555">
        <v>3.9300000000000002E-2</v>
      </c>
      <c r="AE6" s="554">
        <v>1.32</v>
      </c>
    </row>
    <row r="7" spans="2:31" ht="16.5" customHeight="1">
      <c r="B7" s="385" t="s">
        <v>338</v>
      </c>
      <c r="C7" s="394">
        <v>1.7</v>
      </c>
      <c r="D7" s="395">
        <v>4.9000000000000004</v>
      </c>
      <c r="E7" s="395">
        <v>5.3</v>
      </c>
      <c r="F7" s="396">
        <v>4.2</v>
      </c>
      <c r="G7" s="261"/>
      <c r="H7" s="261"/>
      <c r="I7" s="261"/>
      <c r="K7" s="330" t="s">
        <v>355</v>
      </c>
      <c r="L7" s="401" t="s">
        <v>651</v>
      </c>
      <c r="M7" s="638">
        <v>10</v>
      </c>
      <c r="N7" s="638">
        <v>15</v>
      </c>
      <c r="O7" s="638">
        <v>3</v>
      </c>
      <c r="P7" s="638">
        <v>2</v>
      </c>
      <c r="Q7" s="404">
        <f t="shared" si="0"/>
        <v>7.5</v>
      </c>
      <c r="S7" s="204" t="s">
        <v>146</v>
      </c>
      <c r="T7" s="204"/>
      <c r="U7" s="403"/>
      <c r="V7" s="1527" t="s">
        <v>965</v>
      </c>
      <c r="W7" s="1528"/>
      <c r="X7" s="204" t="s">
        <v>1206</v>
      </c>
      <c r="AA7" s="551" t="s">
        <v>969</v>
      </c>
      <c r="AB7" s="553">
        <v>4.4000000000000004</v>
      </c>
      <c r="AC7" s="554">
        <v>7.43</v>
      </c>
      <c r="AD7" s="555">
        <v>2.4E-2</v>
      </c>
      <c r="AE7" s="554">
        <v>8</v>
      </c>
    </row>
    <row r="8" spans="2:31" ht="16.5" customHeight="1">
      <c r="B8" s="385" t="s">
        <v>150</v>
      </c>
      <c r="C8" s="394">
        <v>8.26</v>
      </c>
      <c r="D8" s="395">
        <v>9.0399999999999991</v>
      </c>
      <c r="E8" s="395">
        <v>9.0399999999999991</v>
      </c>
      <c r="F8" s="396">
        <v>8.99</v>
      </c>
      <c r="G8" s="261"/>
      <c r="H8" s="261"/>
      <c r="I8" s="261"/>
      <c r="K8" s="385" t="s">
        <v>685</v>
      </c>
      <c r="L8" s="400" t="s">
        <v>648</v>
      </c>
      <c r="M8" s="638">
        <v>343</v>
      </c>
      <c r="N8" s="638">
        <v>302</v>
      </c>
      <c r="O8" s="638">
        <v>295</v>
      </c>
      <c r="P8" s="638">
        <v>298</v>
      </c>
      <c r="Q8" s="404">
        <f t="shared" si="0"/>
        <v>309.5</v>
      </c>
      <c r="S8" s="203" t="s">
        <v>946</v>
      </c>
      <c r="T8" s="1520"/>
      <c r="U8" s="1521"/>
      <c r="V8" s="234" t="s">
        <v>150</v>
      </c>
      <c r="W8" s="234"/>
      <c r="X8" s="204"/>
      <c r="AA8" s="551" t="s">
        <v>971</v>
      </c>
      <c r="AB8" s="553">
        <v>4.5</v>
      </c>
      <c r="AC8" s="554">
        <v>7.19</v>
      </c>
      <c r="AD8" s="555">
        <v>3.5499999999999997E-2</v>
      </c>
      <c r="AE8" s="554">
        <v>1.91</v>
      </c>
    </row>
    <row r="9" spans="2:31" ht="16.5" customHeight="1">
      <c r="B9" s="385" t="s">
        <v>339</v>
      </c>
      <c r="C9" s="397">
        <v>1.2999999999999999E-2</v>
      </c>
      <c r="D9" s="398">
        <v>2.1999999999999999E-2</v>
      </c>
      <c r="E9" s="398">
        <v>2.1999999999999999E-2</v>
      </c>
      <c r="F9" s="399">
        <v>2.4E-2</v>
      </c>
      <c r="G9" s="261"/>
      <c r="H9" s="261"/>
      <c r="I9" s="261"/>
      <c r="K9" s="550" t="s">
        <v>685</v>
      </c>
      <c r="L9" s="401" t="s">
        <v>649</v>
      </c>
      <c r="M9" s="638">
        <v>118</v>
      </c>
      <c r="N9" s="638">
        <v>119</v>
      </c>
      <c r="O9" s="638">
        <v>144</v>
      </c>
      <c r="P9" s="638">
        <v>155</v>
      </c>
      <c r="Q9" s="404">
        <f t="shared" si="0"/>
        <v>134</v>
      </c>
      <c r="S9" s="204"/>
      <c r="T9" s="546" t="s">
        <v>964</v>
      </c>
      <c r="U9" s="233" t="s">
        <v>289</v>
      </c>
      <c r="V9" s="234" t="s">
        <v>149</v>
      </c>
      <c r="W9" s="234"/>
      <c r="X9" s="204"/>
      <c r="AA9" s="551" t="s">
        <v>972</v>
      </c>
      <c r="AB9" s="553">
        <v>6.8</v>
      </c>
      <c r="AC9" s="554">
        <v>7.35</v>
      </c>
      <c r="AD9" s="555">
        <v>2.35E-2</v>
      </c>
      <c r="AE9" s="554">
        <v>7.92</v>
      </c>
    </row>
    <row r="10" spans="2:31" ht="16.5" customHeight="1">
      <c r="B10" s="385" t="s">
        <v>340</v>
      </c>
      <c r="C10" s="394">
        <v>11.32</v>
      </c>
      <c r="D10" s="395">
        <v>10.79</v>
      </c>
      <c r="E10" s="395">
        <v>8.1</v>
      </c>
      <c r="F10" s="396">
        <v>10.34</v>
      </c>
      <c r="G10" s="261"/>
      <c r="H10" s="261"/>
      <c r="I10" s="261"/>
      <c r="K10" s="550" t="s">
        <v>685</v>
      </c>
      <c r="L10" s="401" t="s">
        <v>650</v>
      </c>
      <c r="M10" s="638">
        <v>46</v>
      </c>
      <c r="N10" s="638">
        <v>37</v>
      </c>
      <c r="O10" s="638">
        <v>19</v>
      </c>
      <c r="P10" s="638">
        <v>18</v>
      </c>
      <c r="Q10" s="404">
        <f t="shared" si="0"/>
        <v>30</v>
      </c>
      <c r="S10" s="204" t="s">
        <v>959</v>
      </c>
      <c r="T10" s="204"/>
      <c r="U10" s="204"/>
      <c r="V10" s="234" t="s">
        <v>148</v>
      </c>
      <c r="W10" s="234"/>
      <c r="X10" s="204"/>
      <c r="AA10" s="551" t="s">
        <v>973</v>
      </c>
      <c r="AB10" s="553">
        <v>4.5999999999999996</v>
      </c>
      <c r="AC10" s="554">
        <v>7.43</v>
      </c>
      <c r="AD10" s="555">
        <v>2.4E-2</v>
      </c>
      <c r="AE10" s="554">
        <v>6.83</v>
      </c>
    </row>
    <row r="11" spans="2:31" ht="16.5" customHeight="1">
      <c r="B11" s="188"/>
      <c r="C11" s="1518" t="s">
        <v>348</v>
      </c>
      <c r="D11" s="1518"/>
      <c r="E11" s="1518"/>
      <c r="F11" s="1519"/>
      <c r="G11" s="54"/>
      <c r="H11" s="54"/>
      <c r="I11" s="54"/>
      <c r="K11" s="550" t="s">
        <v>685</v>
      </c>
      <c r="L11" s="401" t="s">
        <v>651</v>
      </c>
      <c r="M11" s="638">
        <v>10</v>
      </c>
      <c r="N11" s="638">
        <v>13</v>
      </c>
      <c r="O11" s="638">
        <v>2</v>
      </c>
      <c r="P11" s="638">
        <v>2</v>
      </c>
      <c r="Q11" s="404">
        <f t="shared" si="0"/>
        <v>6.75</v>
      </c>
      <c r="R11" s="96"/>
      <c r="S11" s="204" t="s">
        <v>960</v>
      </c>
      <c r="T11" s="204"/>
      <c r="U11" s="204"/>
      <c r="V11" s="234" t="s">
        <v>147</v>
      </c>
      <c r="W11" s="234"/>
      <c r="X11" s="204"/>
    </row>
    <row r="12" spans="2:31" ht="16.5" customHeight="1">
      <c r="B12" s="386" t="s">
        <v>146</v>
      </c>
      <c r="C12" s="1339">
        <v>0.4916666666666667</v>
      </c>
      <c r="D12" s="1339">
        <v>0.40625</v>
      </c>
      <c r="E12" s="1340">
        <v>0.4236111111111111</v>
      </c>
      <c r="F12" s="1340">
        <v>0.4375</v>
      </c>
      <c r="G12" s="260"/>
      <c r="H12" s="260"/>
      <c r="I12" s="260"/>
      <c r="K12" s="402" t="s">
        <v>356</v>
      </c>
      <c r="L12" s="400" t="s">
        <v>648</v>
      </c>
      <c r="M12" s="638">
        <v>326</v>
      </c>
      <c r="N12" s="638">
        <v>305</v>
      </c>
      <c r="O12" s="638">
        <v>346</v>
      </c>
      <c r="P12" s="638">
        <v>313</v>
      </c>
      <c r="Q12" s="404">
        <f t="shared" si="0"/>
        <v>322.5</v>
      </c>
      <c r="R12" s="96"/>
      <c r="S12" s="1512" t="s">
        <v>961</v>
      </c>
      <c r="T12" s="1513"/>
      <c r="U12" s="1513"/>
      <c r="V12" s="1513"/>
      <c r="W12" s="1513"/>
      <c r="X12" s="1514"/>
    </row>
    <row r="13" spans="2:31" ht="16.5" customHeight="1">
      <c r="B13" s="386" t="s">
        <v>338</v>
      </c>
      <c r="C13" s="1341">
        <v>3.2</v>
      </c>
      <c r="D13" s="1341">
        <v>4.5999999999999996</v>
      </c>
      <c r="E13" s="1341">
        <v>4.9000000000000004</v>
      </c>
      <c r="F13" s="396">
        <v>5.2</v>
      </c>
      <c r="G13" s="261"/>
      <c r="H13" s="261"/>
      <c r="I13" s="261"/>
      <c r="K13" s="402" t="s">
        <v>356</v>
      </c>
      <c r="L13" s="401" t="s">
        <v>649</v>
      </c>
      <c r="M13" s="638">
        <v>129</v>
      </c>
      <c r="N13" s="638">
        <v>130</v>
      </c>
      <c r="O13" s="638">
        <v>189</v>
      </c>
      <c r="P13" s="638">
        <v>182</v>
      </c>
      <c r="Q13" s="404">
        <f t="shared" si="0"/>
        <v>157.5</v>
      </c>
      <c r="R13" s="96"/>
      <c r="S13" s="204" t="s">
        <v>146</v>
      </c>
      <c r="T13" s="890"/>
      <c r="U13" s="891"/>
      <c r="V13" s="901" t="s">
        <v>946</v>
      </c>
      <c r="W13" s="204"/>
      <c r="X13" s="204"/>
    </row>
    <row r="14" spans="2:31" ht="16.5" customHeight="1">
      <c r="B14" s="386" t="s">
        <v>150</v>
      </c>
      <c r="C14" s="1341">
        <v>7.43</v>
      </c>
      <c r="D14" s="1341">
        <v>8.1199999999999992</v>
      </c>
      <c r="E14" s="1341">
        <v>8.24</v>
      </c>
      <c r="F14" s="396">
        <v>8.1300000000000008</v>
      </c>
      <c r="G14" s="261"/>
      <c r="H14" s="261"/>
      <c r="I14" s="261"/>
      <c r="K14" s="402" t="s">
        <v>356</v>
      </c>
      <c r="L14" s="401" t="s">
        <v>650</v>
      </c>
      <c r="M14" s="638">
        <v>44</v>
      </c>
      <c r="N14" s="638">
        <v>42</v>
      </c>
      <c r="O14" s="638">
        <v>16</v>
      </c>
      <c r="P14" s="638">
        <v>5</v>
      </c>
      <c r="Q14" s="404">
        <f t="shared" si="0"/>
        <v>26.75</v>
      </c>
      <c r="R14" s="96"/>
      <c r="S14" s="887" t="s">
        <v>965</v>
      </c>
      <c r="T14" s="1503" t="s">
        <v>1206</v>
      </c>
      <c r="U14" s="1504"/>
      <c r="V14" s="204" t="s">
        <v>290</v>
      </c>
      <c r="W14" s="204"/>
      <c r="X14" s="204"/>
    </row>
    <row r="15" spans="2:31" ht="16.5" customHeight="1">
      <c r="B15" s="386" t="s">
        <v>339</v>
      </c>
      <c r="C15" s="1342">
        <v>1.4999999999999999E-2</v>
      </c>
      <c r="D15" s="1342">
        <v>2.1999999999999999E-2</v>
      </c>
      <c r="E15" s="1342">
        <v>2.3E-2</v>
      </c>
      <c r="F15" s="399">
        <v>2.4E-2</v>
      </c>
      <c r="G15" s="261"/>
      <c r="H15" s="261"/>
      <c r="I15" s="261"/>
      <c r="K15" s="402" t="s">
        <v>356</v>
      </c>
      <c r="L15" s="401" t="s">
        <v>651</v>
      </c>
      <c r="M15" s="638">
        <v>10</v>
      </c>
      <c r="N15" s="638">
        <v>12</v>
      </c>
      <c r="O15" s="638">
        <v>3</v>
      </c>
      <c r="P15" s="638">
        <v>2</v>
      </c>
      <c r="Q15" s="404">
        <f t="shared" si="0"/>
        <v>6.75</v>
      </c>
      <c r="S15" s="204"/>
      <c r="T15" s="232" t="s">
        <v>163</v>
      </c>
      <c r="U15" s="233" t="s">
        <v>289</v>
      </c>
    </row>
    <row r="16" spans="2:31" ht="16.5" customHeight="1">
      <c r="B16" s="386" t="s">
        <v>340</v>
      </c>
      <c r="C16" s="1341">
        <v>11.46</v>
      </c>
      <c r="D16" s="1341">
        <v>12.57</v>
      </c>
      <c r="E16" s="1341">
        <v>8.6300000000000008</v>
      </c>
      <c r="F16" s="396">
        <v>9.7799999999999994</v>
      </c>
      <c r="G16" s="261"/>
      <c r="H16" s="261"/>
      <c r="I16" s="261"/>
      <c r="K16" s="1535" t="s">
        <v>1323</v>
      </c>
      <c r="L16" s="1535"/>
      <c r="M16" s="1535"/>
      <c r="N16" s="1535"/>
      <c r="O16" s="1535"/>
      <c r="P16" s="1535"/>
      <c r="Q16" s="1535"/>
      <c r="S16" s="152">
        <v>2</v>
      </c>
      <c r="T16" s="204"/>
      <c r="U16" s="204"/>
      <c r="V16" s="234" t="s">
        <v>150</v>
      </c>
      <c r="W16" s="234"/>
      <c r="X16" s="538"/>
    </row>
    <row r="17" spans="2:25" ht="16.5" customHeight="1">
      <c r="B17" s="188"/>
      <c r="C17" s="1518" t="s">
        <v>342</v>
      </c>
      <c r="D17" s="1518"/>
      <c r="E17" s="1518"/>
      <c r="F17" s="1519"/>
      <c r="G17" s="54"/>
      <c r="H17" s="54"/>
      <c r="I17" s="54"/>
      <c r="K17" s="330" t="s">
        <v>1324</v>
      </c>
      <c r="L17" s="400" t="s">
        <v>648</v>
      </c>
      <c r="M17" s="638">
        <v>720</v>
      </c>
      <c r="N17" s="638">
        <v>404</v>
      </c>
      <c r="O17" s="638">
        <v>126</v>
      </c>
      <c r="P17" s="638">
        <v>119</v>
      </c>
      <c r="Q17" s="404">
        <f>AVERAGE(M17:P17)</f>
        <v>342.25</v>
      </c>
      <c r="S17" s="152">
        <v>4</v>
      </c>
      <c r="T17" s="204"/>
      <c r="U17" s="204"/>
      <c r="V17" s="234" t="s">
        <v>149</v>
      </c>
      <c r="W17" s="234"/>
      <c r="X17" s="204"/>
    </row>
    <row r="18" spans="2:25" ht="16.5" customHeight="1">
      <c r="B18" s="385" t="s">
        <v>146</v>
      </c>
      <c r="C18" s="1343">
        <v>0.47569444444444442</v>
      </c>
      <c r="D18" s="1340">
        <v>0.39166666666666666</v>
      </c>
      <c r="E18" s="1340">
        <v>0.41319444444444442</v>
      </c>
      <c r="F18" s="1340">
        <v>0.4236111111111111</v>
      </c>
      <c r="G18" s="54"/>
      <c r="H18" s="54"/>
      <c r="I18" s="54"/>
      <c r="K18" s="330" t="s">
        <v>1324</v>
      </c>
      <c r="L18" s="401" t="s">
        <v>649</v>
      </c>
      <c r="M18" s="638">
        <v>2</v>
      </c>
      <c r="N18" s="638">
        <v>2</v>
      </c>
      <c r="O18" s="638">
        <v>2</v>
      </c>
      <c r="P18" s="638">
        <v>2</v>
      </c>
      <c r="Q18" s="404">
        <f>AVERAGE(M18:P18)</f>
        <v>2</v>
      </c>
      <c r="S18" s="152">
        <v>6</v>
      </c>
      <c r="T18" s="204"/>
      <c r="U18" s="204"/>
      <c r="V18" s="234" t="s">
        <v>148</v>
      </c>
      <c r="W18" s="234"/>
      <c r="X18" s="204"/>
    </row>
    <row r="19" spans="2:25" ht="16.5" customHeight="1">
      <c r="B19" s="385" t="s">
        <v>338</v>
      </c>
      <c r="C19" s="1344">
        <v>7.5</v>
      </c>
      <c r="D19" s="1341">
        <v>4.4000000000000004</v>
      </c>
      <c r="E19" s="1341">
        <v>5.3</v>
      </c>
      <c r="F19" s="1341">
        <v>5.5</v>
      </c>
      <c r="G19" s="54"/>
      <c r="H19" s="54"/>
      <c r="I19" s="54"/>
      <c r="K19" s="330" t="s">
        <v>1324</v>
      </c>
      <c r="L19" s="401" t="s">
        <v>650</v>
      </c>
      <c r="M19" s="638">
        <v>30</v>
      </c>
      <c r="N19" s="638">
        <v>29</v>
      </c>
      <c r="O19" s="638">
        <v>29</v>
      </c>
      <c r="P19" s="638">
        <v>8</v>
      </c>
      <c r="Q19" s="404">
        <f>AVERAGE(M19:P19)</f>
        <v>24</v>
      </c>
      <c r="S19" s="152">
        <v>8</v>
      </c>
      <c r="T19" s="204"/>
      <c r="U19" s="204"/>
      <c r="V19" s="234" t="s">
        <v>147</v>
      </c>
      <c r="W19" s="234"/>
      <c r="X19" s="204"/>
    </row>
    <row r="20" spans="2:25" ht="16.5" customHeight="1">
      <c r="B20" s="386" t="s">
        <v>150</v>
      </c>
      <c r="C20" s="1344">
        <v>7.93</v>
      </c>
      <c r="D20" s="1341">
        <v>8.6199999999999992</v>
      </c>
      <c r="E20" s="1341">
        <v>8.67</v>
      </c>
      <c r="F20" s="1341">
        <v>8.43</v>
      </c>
      <c r="G20" s="54"/>
      <c r="H20" s="54"/>
      <c r="I20" s="54"/>
      <c r="K20" s="330" t="s">
        <v>1324</v>
      </c>
      <c r="L20" s="401" t="s">
        <v>651</v>
      </c>
      <c r="M20" s="638">
        <v>71</v>
      </c>
      <c r="N20" s="638">
        <v>318</v>
      </c>
      <c r="O20" s="638">
        <v>406</v>
      </c>
      <c r="P20" s="638">
        <v>116</v>
      </c>
      <c r="Q20" s="404">
        <f>AVERAGE(M20:P20)</f>
        <v>227.75</v>
      </c>
      <c r="S20" s="152">
        <v>10</v>
      </c>
      <c r="T20" s="204"/>
      <c r="U20" s="204"/>
      <c r="X20" s="205"/>
    </row>
    <row r="21" spans="2:25" ht="16.5" customHeight="1">
      <c r="B21" s="550" t="s">
        <v>339</v>
      </c>
      <c r="C21" s="1345">
        <v>2.5000000000000001E-2</v>
      </c>
      <c r="D21" s="1342">
        <v>0.03</v>
      </c>
      <c r="E21" s="1342">
        <v>3.5000000000000003E-2</v>
      </c>
      <c r="F21" s="1342">
        <v>4.1000000000000002E-2</v>
      </c>
      <c r="G21" s="54"/>
      <c r="H21" s="54"/>
      <c r="I21" s="54"/>
      <c r="K21" s="330"/>
      <c r="L21" s="403"/>
      <c r="M21" s="410"/>
      <c r="N21" s="410"/>
      <c r="O21" s="410"/>
      <c r="P21" s="410"/>
      <c r="Q21" s="404"/>
      <c r="S21" s="152">
        <v>12</v>
      </c>
      <c r="T21" s="83"/>
      <c r="U21" s="83"/>
    </row>
    <row r="22" spans="2:25" ht="16.5" customHeight="1">
      <c r="B22" s="385" t="s">
        <v>340</v>
      </c>
      <c r="C22" s="1344">
        <v>7.3</v>
      </c>
      <c r="D22" s="1341">
        <v>5.5</v>
      </c>
      <c r="E22" s="1341">
        <v>3.73</v>
      </c>
      <c r="F22" s="1341">
        <v>4.37</v>
      </c>
      <c r="G22" s="54"/>
      <c r="H22" s="54"/>
      <c r="I22" s="54"/>
      <c r="K22" s="330"/>
      <c r="L22" s="403"/>
      <c r="M22" s="410"/>
      <c r="N22" s="410"/>
      <c r="O22" s="410"/>
      <c r="P22" s="410"/>
      <c r="Q22" s="404"/>
      <c r="S22" s="1532" t="s">
        <v>342</v>
      </c>
      <c r="T22" s="1533"/>
      <c r="U22" s="1534"/>
      <c r="V22" s="1532" t="s">
        <v>962</v>
      </c>
      <c r="W22" s="1533"/>
      <c r="X22" s="1534"/>
    </row>
    <row r="23" spans="2:25" ht="16.5" customHeight="1">
      <c r="B23" s="188"/>
      <c r="C23" s="1522" t="s">
        <v>645</v>
      </c>
      <c r="D23" s="1518"/>
      <c r="E23" s="1518"/>
      <c r="F23" s="1519"/>
      <c r="G23" s="54"/>
      <c r="H23" s="54"/>
      <c r="I23" s="54"/>
      <c r="L23" s="1523" t="s">
        <v>675</v>
      </c>
      <c r="M23" s="1523"/>
      <c r="N23" s="1523"/>
      <c r="O23" s="1523"/>
      <c r="P23" s="1523"/>
      <c r="Q23" s="1523"/>
      <c r="S23" s="892" t="s">
        <v>146</v>
      </c>
      <c r="T23" s="888"/>
      <c r="U23" s="889"/>
      <c r="V23" s="892" t="s">
        <v>146</v>
      </c>
      <c r="W23" s="888"/>
      <c r="X23" s="900" t="s">
        <v>1205</v>
      </c>
    </row>
    <row r="24" spans="2:25" ht="16.5" customHeight="1">
      <c r="B24" s="385" t="s">
        <v>146</v>
      </c>
      <c r="C24" s="1343">
        <v>0.48125000000000001</v>
      </c>
      <c r="D24" s="1340">
        <v>0.39583333333333331</v>
      </c>
      <c r="E24" s="1340">
        <v>0.41666666666666669</v>
      </c>
      <c r="F24" s="1340">
        <v>0.43055555555555558</v>
      </c>
      <c r="G24" s="54"/>
      <c r="H24" s="54"/>
      <c r="I24" s="54"/>
      <c r="L24" s="406"/>
      <c r="M24" s="407" t="s">
        <v>309</v>
      </c>
      <c r="N24" s="86" t="s">
        <v>304</v>
      </c>
      <c r="O24" s="86" t="s">
        <v>75</v>
      </c>
      <c r="P24" s="86" t="s">
        <v>1747</v>
      </c>
      <c r="Q24" s="86" t="s">
        <v>674</v>
      </c>
      <c r="S24" s="887" t="s">
        <v>965</v>
      </c>
      <c r="T24" s="1503" t="s">
        <v>1206</v>
      </c>
      <c r="U24" s="1504"/>
      <c r="V24" s="127" t="s">
        <v>963</v>
      </c>
      <c r="W24" s="888"/>
      <c r="X24" s="903" t="s">
        <v>1206</v>
      </c>
      <c r="Y24" s="902"/>
    </row>
    <row r="25" spans="2:25" ht="21">
      <c r="B25" s="385" t="s">
        <v>338</v>
      </c>
      <c r="C25" s="1344">
        <v>3.8</v>
      </c>
      <c r="D25" s="1341">
        <v>5.3</v>
      </c>
      <c r="E25" s="1341">
        <v>5.2</v>
      </c>
      <c r="F25" s="1346">
        <v>3.3</v>
      </c>
      <c r="G25" s="54"/>
      <c r="H25" s="54"/>
      <c r="I25" s="54"/>
      <c r="L25" s="385" t="s">
        <v>664</v>
      </c>
      <c r="M25" s="1297">
        <f>(C30*1.983)*30</f>
        <v>153.48420000000002</v>
      </c>
      <c r="N25" s="1297">
        <f t="shared" ref="N25:O27" si="1">(D30*1.983)*31</f>
        <v>229.90902000000003</v>
      </c>
      <c r="O25" s="1297">
        <f t="shared" si="1"/>
        <v>129.70802999999998</v>
      </c>
      <c r="P25" s="1297">
        <f>(F30*1.983)*30</f>
        <v>55.9206</v>
      </c>
      <c r="Q25" s="1298">
        <f>SUM(M25:P25)</f>
        <v>569.02185000000009</v>
      </c>
      <c r="S25" s="535" t="s">
        <v>162</v>
      </c>
      <c r="T25" s="535" t="s">
        <v>163</v>
      </c>
      <c r="U25" s="536" t="s">
        <v>164</v>
      </c>
      <c r="V25" s="535" t="s">
        <v>162</v>
      </c>
      <c r="W25" s="535" t="s">
        <v>163</v>
      </c>
      <c r="X25" s="536" t="s">
        <v>164</v>
      </c>
    </row>
    <row r="26" spans="2:25" ht="15" customHeight="1">
      <c r="B26" s="385" t="s">
        <v>150</v>
      </c>
      <c r="C26" s="1344">
        <v>7.6</v>
      </c>
      <c r="D26" s="1341">
        <v>8.27</v>
      </c>
      <c r="E26" s="1341">
        <v>8.5</v>
      </c>
      <c r="F26" s="1346">
        <v>8.24</v>
      </c>
      <c r="G26" s="54"/>
      <c r="H26" s="54"/>
      <c r="I26" s="54"/>
      <c r="L26" s="385" t="s">
        <v>667</v>
      </c>
      <c r="M26" s="1297">
        <f>(C31*1.983)*30</f>
        <v>276.62850000000003</v>
      </c>
      <c r="N26" s="1297">
        <f t="shared" si="1"/>
        <v>375.60003000000006</v>
      </c>
      <c r="O26" s="1297">
        <f t="shared" si="1"/>
        <v>112.49559000000001</v>
      </c>
      <c r="P26" s="1297">
        <f>(F31*1.983)*30</f>
        <v>46.402200000000008</v>
      </c>
      <c r="Q26" s="1298">
        <f t="shared" ref="Q26:Q34" si="2">SUM(M26:P26)</f>
        <v>811.12632000000008</v>
      </c>
      <c r="S26" s="537">
        <v>1</v>
      </c>
      <c r="T26" s="533"/>
      <c r="U26" s="534"/>
      <c r="V26" s="537">
        <v>1</v>
      </c>
      <c r="W26" s="68"/>
      <c r="X26" s="50"/>
    </row>
    <row r="27" spans="2:25" ht="15.5">
      <c r="B27" s="385" t="s">
        <v>339</v>
      </c>
      <c r="C27" s="1345">
        <v>1.4999999999999999E-2</v>
      </c>
      <c r="D27" s="1342">
        <v>2.1999999999999999E-2</v>
      </c>
      <c r="E27" s="1342">
        <v>2.1999999999999999E-2</v>
      </c>
      <c r="F27" s="1342">
        <v>2.4E-2</v>
      </c>
      <c r="G27" s="54"/>
      <c r="H27" s="54"/>
      <c r="I27" s="54"/>
      <c r="K27" s="28" t="s">
        <v>669</v>
      </c>
      <c r="L27" s="385" t="s">
        <v>665</v>
      </c>
      <c r="M27" s="612">
        <f>(C32*1.983)*30</f>
        <v>0.89234999999999998</v>
      </c>
      <c r="N27" s="612">
        <f t="shared" si="1"/>
        <v>0.737676</v>
      </c>
      <c r="O27" s="612">
        <f t="shared" si="1"/>
        <v>3.0736500000000007</v>
      </c>
      <c r="P27" s="612">
        <f>(F32*1.983)*30</f>
        <v>1.4277600000000001</v>
      </c>
      <c r="Q27" s="1298">
        <f t="shared" si="2"/>
        <v>6.1314360000000008</v>
      </c>
      <c r="S27" s="332" t="s">
        <v>149</v>
      </c>
      <c r="T27" s="68"/>
      <c r="U27" s="68"/>
      <c r="V27" s="537">
        <v>2</v>
      </c>
      <c r="W27" s="68"/>
      <c r="X27" s="68"/>
    </row>
    <row r="28" spans="2:25" ht="18.649999999999999" customHeight="1">
      <c r="B28" s="385" t="s">
        <v>340</v>
      </c>
      <c r="C28" s="1344">
        <v>10.9</v>
      </c>
      <c r="D28" s="1341">
        <v>11.67</v>
      </c>
      <c r="E28" s="1341">
        <v>8.5500000000000007</v>
      </c>
      <c r="F28" s="1346">
        <v>10.41</v>
      </c>
      <c r="G28" s="54"/>
      <c r="H28" s="54"/>
      <c r="I28" s="54"/>
      <c r="L28" s="387" t="s">
        <v>668</v>
      </c>
      <c r="M28" s="1297">
        <f>M27*10.5</f>
        <v>9.3696749999999991</v>
      </c>
      <c r="N28" s="1297">
        <f>N27*14.5</f>
        <v>10.696301999999999</v>
      </c>
      <c r="O28" s="1297">
        <f t="shared" ref="O28" si="3">O27*10.5</f>
        <v>32.273325000000007</v>
      </c>
      <c r="P28" s="1297">
        <f>P27*9.5</f>
        <v>13.563720000000002</v>
      </c>
      <c r="Q28" s="1298">
        <f t="shared" si="2"/>
        <v>65.903022000000007</v>
      </c>
      <c r="S28" s="332" t="s">
        <v>150</v>
      </c>
      <c r="T28" s="68"/>
      <c r="U28" s="68"/>
      <c r="V28" s="65">
        <v>3</v>
      </c>
      <c r="W28" s="50"/>
      <c r="X28" s="50"/>
    </row>
    <row r="29" spans="2:25" ht="16.5" customHeight="1">
      <c r="B29" s="188"/>
      <c r="C29" s="1522" t="s">
        <v>643</v>
      </c>
      <c r="D29" s="1518"/>
      <c r="E29" s="1518"/>
      <c r="F29" s="1519"/>
      <c r="G29" s="54"/>
      <c r="H29" s="54"/>
      <c r="I29" s="54"/>
      <c r="L29" s="385" t="s">
        <v>676</v>
      </c>
      <c r="M29" s="1297">
        <f>(C33*1.983)*30</f>
        <v>255.21210000000002</v>
      </c>
      <c r="N29" s="1297">
        <f>(D33*1.983)*31</f>
        <v>213.92604000000003</v>
      </c>
      <c r="O29" s="1297">
        <f>(E33*1.983)*31</f>
        <v>115.56924000000001</v>
      </c>
      <c r="P29" s="1297">
        <f>(F33*1.983)*30</f>
        <v>52.351200000000006</v>
      </c>
      <c r="Q29" s="1298">
        <f t="shared" si="2"/>
        <v>637.05858000000012</v>
      </c>
      <c r="S29" s="332" t="s">
        <v>147</v>
      </c>
      <c r="T29" s="50"/>
      <c r="U29" s="50"/>
      <c r="V29" s="332" t="s">
        <v>149</v>
      </c>
      <c r="W29" s="68"/>
      <c r="X29" s="68"/>
    </row>
    <row r="30" spans="2:25" ht="16.5" customHeight="1">
      <c r="B30" s="385" t="s">
        <v>664</v>
      </c>
      <c r="C30" s="1344">
        <v>2.58</v>
      </c>
      <c r="D30" s="1341">
        <v>3.74</v>
      </c>
      <c r="E30" s="1341">
        <v>2.11</v>
      </c>
      <c r="F30" s="1341">
        <v>0.94</v>
      </c>
      <c r="G30" s="54"/>
      <c r="H30" s="54"/>
      <c r="I30" s="54"/>
      <c r="K30" s="405">
        <v>2.7230000000000002E-3</v>
      </c>
      <c r="L30" s="1509" t="s">
        <v>673</v>
      </c>
      <c r="M30" s="1509"/>
      <c r="N30" s="1509"/>
      <c r="O30" s="1509"/>
      <c r="P30" s="1509"/>
      <c r="Q30" s="1509"/>
      <c r="R30" s="17"/>
      <c r="S30" s="332" t="s">
        <v>148</v>
      </c>
      <c r="T30" s="50"/>
      <c r="U30" s="50"/>
      <c r="V30" s="332" t="s">
        <v>150</v>
      </c>
      <c r="W30" s="68"/>
      <c r="X30" s="68"/>
    </row>
    <row r="31" spans="2:25" ht="16.5" customHeight="1">
      <c r="B31" s="385" t="s">
        <v>667</v>
      </c>
      <c r="C31" s="1344">
        <v>4.6500000000000004</v>
      </c>
      <c r="D31" s="1341">
        <v>6.11</v>
      </c>
      <c r="E31" s="1341">
        <v>1.83</v>
      </c>
      <c r="F31" s="1341">
        <v>0.78</v>
      </c>
      <c r="G31" s="54"/>
      <c r="H31" s="54"/>
      <c r="I31" s="54"/>
      <c r="L31" s="385" t="s">
        <v>664</v>
      </c>
      <c r="M31" s="605">
        <f>M25*$K$30*M7</f>
        <v>4.1793747660000005</v>
      </c>
      <c r="N31" s="605">
        <f>N25*$K$30*N7</f>
        <v>9.390633921900001</v>
      </c>
      <c r="O31" s="605">
        <f>O25*$K$30*O7</f>
        <v>1.0595848970699999</v>
      </c>
      <c r="P31" s="605">
        <f>P25*$K$30*P7</f>
        <v>0.3045435876</v>
      </c>
      <c r="Q31" s="1298">
        <f t="shared" si="2"/>
        <v>14.934137172570001</v>
      </c>
      <c r="V31" s="332" t="s">
        <v>147</v>
      </c>
      <c r="W31" s="50"/>
      <c r="X31" s="50"/>
    </row>
    <row r="32" spans="2:25" ht="16.5" customHeight="1">
      <c r="B32" s="385" t="s">
        <v>665</v>
      </c>
      <c r="C32" s="1345">
        <v>1.4999999999999999E-2</v>
      </c>
      <c r="D32" s="1342">
        <v>1.2E-2</v>
      </c>
      <c r="E32" s="1342">
        <v>0.05</v>
      </c>
      <c r="F32" s="1342">
        <v>2.4E-2</v>
      </c>
      <c r="G32" s="54"/>
      <c r="H32" s="54"/>
      <c r="I32" s="54"/>
      <c r="L32" s="385" t="s">
        <v>667</v>
      </c>
      <c r="M32" s="605">
        <f>M26*$K$30*M11</f>
        <v>7.5325940550000015</v>
      </c>
      <c r="N32" s="605">
        <f>N26*$K$30*N11</f>
        <v>13.295865461970003</v>
      </c>
      <c r="O32" s="605">
        <f>O26*$K$30*O11</f>
        <v>0.6126509831400001</v>
      </c>
      <c r="P32" s="605">
        <f>P26*$K$30*P11</f>
        <v>0.25270638120000005</v>
      </c>
      <c r="Q32" s="1298">
        <f t="shared" si="2"/>
        <v>21.693816881310003</v>
      </c>
      <c r="V32" s="332" t="s">
        <v>148</v>
      </c>
      <c r="W32" s="50"/>
      <c r="X32" s="50"/>
    </row>
    <row r="33" spans="2:24" ht="16.5" customHeight="1">
      <c r="B33" s="385" t="s">
        <v>666</v>
      </c>
      <c r="C33" s="1344">
        <v>4.29</v>
      </c>
      <c r="D33" s="1342">
        <v>3.48</v>
      </c>
      <c r="E33" s="1341">
        <v>1.88</v>
      </c>
      <c r="F33" s="1341">
        <v>0.88</v>
      </c>
      <c r="G33" s="54"/>
      <c r="H33" s="54"/>
      <c r="I33" s="54"/>
      <c r="L33" s="387" t="s">
        <v>668</v>
      </c>
      <c r="M33" s="605">
        <f>M28*$K$30*M20</f>
        <v>1.811467376775</v>
      </c>
      <c r="N33" s="605">
        <f>N28*$K$30*N20</f>
        <v>9.2620776500280009</v>
      </c>
      <c r="O33" s="605">
        <f>O28*$K$30*O20</f>
        <v>35.67938717385001</v>
      </c>
      <c r="P33" s="605">
        <f>P28*$K$30*P20</f>
        <v>4.2843451089600011</v>
      </c>
      <c r="Q33" s="1298">
        <f t="shared" si="2"/>
        <v>51.03727730961301</v>
      </c>
      <c r="S33" s="1499" t="s">
        <v>966</v>
      </c>
      <c r="T33" s="1500"/>
      <c r="U33" s="1499" t="s">
        <v>967</v>
      </c>
      <c r="V33" s="1500"/>
      <c r="W33" s="1499" t="s">
        <v>1183</v>
      </c>
      <c r="X33" s="1500"/>
    </row>
    <row r="34" spans="2:24" ht="16.5" customHeight="1">
      <c r="B34" s="188"/>
      <c r="C34" s="1522" t="s">
        <v>646</v>
      </c>
      <c r="D34" s="1518"/>
      <c r="E34" s="1518"/>
      <c r="F34" s="1519"/>
      <c r="G34" s="54"/>
      <c r="H34" s="54"/>
      <c r="I34" s="54"/>
      <c r="L34" s="385" t="s">
        <v>666</v>
      </c>
      <c r="M34" s="605">
        <f>M29*$K$30*M11</f>
        <v>6.9494254830000015</v>
      </c>
      <c r="N34" s="605">
        <f t="shared" ref="N34:P34" si="4">N29*$K$30*N11</f>
        <v>7.5727678899600006</v>
      </c>
      <c r="O34" s="605">
        <f t="shared" si="4"/>
        <v>0.62939008104000005</v>
      </c>
      <c r="P34" s="605">
        <f t="shared" si="4"/>
        <v>0.28510463520000007</v>
      </c>
      <c r="Q34" s="1298">
        <f t="shared" si="2"/>
        <v>15.436688089200002</v>
      </c>
      <c r="S34" s="50" t="s">
        <v>146</v>
      </c>
      <c r="T34" s="50"/>
      <c r="U34" s="50" t="s">
        <v>146</v>
      </c>
      <c r="V34" s="50"/>
      <c r="W34" s="50" t="s">
        <v>146</v>
      </c>
      <c r="X34" s="50"/>
    </row>
    <row r="35" spans="2:24" ht="16.5" customHeight="1">
      <c r="B35" s="385" t="s">
        <v>662</v>
      </c>
      <c r="C35" s="389">
        <v>0</v>
      </c>
      <c r="D35" s="390">
        <v>0.01</v>
      </c>
      <c r="E35" s="390">
        <v>0.01</v>
      </c>
      <c r="F35" s="390">
        <v>0.01</v>
      </c>
      <c r="G35" s="54"/>
      <c r="H35" s="54"/>
      <c r="I35" s="54"/>
      <c r="L35" s="1510" t="s">
        <v>672</v>
      </c>
      <c r="M35" s="1510"/>
      <c r="N35" s="1510"/>
      <c r="O35" s="1510"/>
      <c r="P35" s="1510"/>
      <c r="Q35" s="1510"/>
      <c r="S35" s="549" t="s">
        <v>149</v>
      </c>
      <c r="T35" s="899"/>
      <c r="U35" s="549" t="s">
        <v>149</v>
      </c>
      <c r="V35" s="899"/>
      <c r="W35" s="549" t="s">
        <v>149</v>
      </c>
      <c r="X35" s="899"/>
    </row>
    <row r="36" spans="2:24" ht="16.5" customHeight="1">
      <c r="B36" s="385" t="s">
        <v>667</v>
      </c>
      <c r="C36" s="389">
        <v>0.05</v>
      </c>
      <c r="D36" s="390">
        <v>0.08</v>
      </c>
      <c r="E36" s="390">
        <v>0.12</v>
      </c>
      <c r="F36" s="390">
        <v>0.25</v>
      </c>
      <c r="G36" s="54"/>
      <c r="H36" s="54"/>
      <c r="I36" s="54"/>
      <c r="L36" s="385" t="s">
        <v>664</v>
      </c>
      <c r="M36" s="612">
        <f>M25*$K$30*M4</f>
        <v>136.24761737160003</v>
      </c>
      <c r="N36" s="612">
        <f>N25*$K$30*N4</f>
        <v>198.45539688282003</v>
      </c>
      <c r="O36" s="612">
        <f>O25*$K$30*O4</f>
        <v>108.78404943251999</v>
      </c>
      <c r="P36" s="612">
        <f>P25*$K$30*P4</f>
        <v>46.290625315200003</v>
      </c>
      <c r="Q36" s="1298">
        <f>SUM(M36:P36)</f>
        <v>489.77768900214005</v>
      </c>
      <c r="S36" s="332" t="s">
        <v>150</v>
      </c>
      <c r="T36" s="50"/>
      <c r="U36" s="332" t="s">
        <v>150</v>
      </c>
      <c r="V36" s="50"/>
      <c r="W36" s="332" t="s">
        <v>150</v>
      </c>
      <c r="X36" s="50"/>
    </row>
    <row r="37" spans="2:24" ht="16.5" customHeight="1">
      <c r="B37" s="385" t="s">
        <v>666</v>
      </c>
      <c r="C37" s="390">
        <v>0.05</v>
      </c>
      <c r="D37" s="390">
        <v>0.05</v>
      </c>
      <c r="E37" s="390">
        <v>0.08</v>
      </c>
      <c r="F37" s="390">
        <v>0.03</v>
      </c>
      <c r="G37" s="54"/>
      <c r="H37" s="54"/>
      <c r="I37" s="54"/>
      <c r="L37" s="385" t="s">
        <v>667</v>
      </c>
      <c r="M37" s="612">
        <f>M26*$K$30*M12</f>
        <v>245.56256619300004</v>
      </c>
      <c r="N37" s="612">
        <f>N26*$K$30*N12</f>
        <v>311.94145891545003</v>
      </c>
      <c r="O37" s="612">
        <f>O26*$K$30*O12</f>
        <v>105.98862008322001</v>
      </c>
      <c r="P37" s="612">
        <f>P26*$K$30*P12</f>
        <v>39.548548657800005</v>
      </c>
      <c r="Q37" s="1298">
        <f>SUM(M37:P37)</f>
        <v>703.04119384947001</v>
      </c>
      <c r="S37" s="332" t="s">
        <v>147</v>
      </c>
      <c r="T37" s="50"/>
      <c r="U37" s="332" t="s">
        <v>147</v>
      </c>
      <c r="V37" s="50"/>
      <c r="W37" s="332" t="s">
        <v>147</v>
      </c>
      <c r="X37" s="50"/>
    </row>
    <row r="38" spans="2:24" ht="16.5" customHeight="1">
      <c r="B38" s="387" t="s">
        <v>644</v>
      </c>
      <c r="C38" s="389">
        <v>0.03</v>
      </c>
      <c r="D38" s="390">
        <v>0.02</v>
      </c>
      <c r="E38" s="390">
        <v>0.35</v>
      </c>
      <c r="F38" s="390">
        <v>0.35</v>
      </c>
      <c r="G38" s="54"/>
      <c r="H38" s="54"/>
      <c r="I38" s="54"/>
      <c r="L38" s="387" t="s">
        <v>668</v>
      </c>
      <c r="M38" s="612">
        <f>M28*$K$30*M17</f>
        <v>18.369810017999999</v>
      </c>
      <c r="N38" s="612">
        <f t="shared" ref="N38:P38" si="5">N28*$K$30*N17</f>
        <v>11.766916259784001</v>
      </c>
      <c r="O38" s="612">
        <f t="shared" si="5"/>
        <v>11.072913260850003</v>
      </c>
      <c r="P38" s="612">
        <f t="shared" si="5"/>
        <v>4.3951471376400013</v>
      </c>
      <c r="Q38" s="1298">
        <f>SUM(M38:P38)</f>
        <v>45.604786676274003</v>
      </c>
      <c r="S38" s="332" t="s">
        <v>148</v>
      </c>
      <c r="T38" s="50"/>
      <c r="U38" s="332" t="s">
        <v>148</v>
      </c>
      <c r="V38" s="50"/>
      <c r="W38" s="332" t="s">
        <v>148</v>
      </c>
      <c r="X38" s="50"/>
    </row>
    <row r="39" spans="2:24" ht="16.5" customHeight="1">
      <c r="B39" s="50"/>
      <c r="C39" s="1508" t="s">
        <v>661</v>
      </c>
      <c r="D39" s="1508"/>
      <c r="E39" s="1508"/>
      <c r="F39" s="1508"/>
      <c r="G39" s="54"/>
      <c r="H39" s="54"/>
      <c r="I39" s="54"/>
      <c r="L39" s="385" t="s">
        <v>666</v>
      </c>
      <c r="M39" s="612">
        <f>M29*$K$30*M8</f>
        <v>238.36529406690005</v>
      </c>
      <c r="N39" s="612">
        <f>N29*$K$30*N8</f>
        <v>175.92122328984001</v>
      </c>
      <c r="O39" s="612">
        <f>O29*$K$30*O8</f>
        <v>92.835036953400007</v>
      </c>
      <c r="P39" s="612">
        <f>P29*$K$30*P8</f>
        <v>42.48059064480001</v>
      </c>
      <c r="Q39" s="1298">
        <f>SUM(M39:P39)</f>
        <v>549.60214495494006</v>
      </c>
      <c r="S39" s="1499" t="s">
        <v>1185</v>
      </c>
      <c r="T39" s="1500"/>
      <c r="U39" s="1501" t="s">
        <v>1204</v>
      </c>
      <c r="V39" s="1502"/>
      <c r="W39" s="1501" t="s">
        <v>1184</v>
      </c>
      <c r="X39" s="1502"/>
    </row>
    <row r="40" spans="2:24" ht="16.5" customHeight="1">
      <c r="B40" s="385" t="s">
        <v>662</v>
      </c>
      <c r="C40" s="722">
        <v>1</v>
      </c>
      <c r="D40" s="722">
        <v>11</v>
      </c>
      <c r="E40" s="722">
        <v>5</v>
      </c>
      <c r="F40" s="722">
        <v>3</v>
      </c>
      <c r="L40" s="1509" t="s">
        <v>670</v>
      </c>
      <c r="M40" s="1509"/>
      <c r="N40" s="1509"/>
      <c r="O40" s="1509"/>
      <c r="P40" s="1509"/>
      <c r="Q40" s="1509"/>
      <c r="S40" s="50" t="s">
        <v>146</v>
      </c>
      <c r="T40" s="50"/>
      <c r="U40" s="50" t="s">
        <v>146</v>
      </c>
      <c r="V40" s="50"/>
      <c r="W40" s="50" t="s">
        <v>146</v>
      </c>
      <c r="X40" s="50"/>
    </row>
    <row r="41" spans="2:24" ht="16.5" customHeight="1">
      <c r="B41" s="385" t="s">
        <v>667</v>
      </c>
      <c r="C41" s="722">
        <v>0</v>
      </c>
      <c r="D41" s="722">
        <v>3</v>
      </c>
      <c r="E41" s="722">
        <v>0</v>
      </c>
      <c r="F41" s="722">
        <v>0</v>
      </c>
      <c r="L41" s="385" t="s">
        <v>664</v>
      </c>
      <c r="M41" s="612">
        <f>M25*$K$30*M5</f>
        <v>53.913934481400013</v>
      </c>
      <c r="N41" s="612">
        <f>N25*$K$30*N5</f>
        <v>75.751113636660008</v>
      </c>
      <c r="O41" s="612">
        <f>O25*$K$30*O5</f>
        <v>52.626049887809998</v>
      </c>
      <c r="P41" s="612">
        <f>P25*$K$30*P5</f>
        <v>23.145312657600002</v>
      </c>
      <c r="Q41" s="1298">
        <f>SUM(M41:P41)</f>
        <v>205.43641066347004</v>
      </c>
      <c r="S41" s="549" t="s">
        <v>149</v>
      </c>
      <c r="T41" s="50"/>
      <c r="U41" s="549" t="s">
        <v>149</v>
      </c>
      <c r="V41" s="50"/>
      <c r="W41" s="549" t="s">
        <v>149</v>
      </c>
      <c r="X41" s="50"/>
    </row>
    <row r="42" spans="2:24" ht="16.5" customHeight="1">
      <c r="B42" s="385" t="s">
        <v>666</v>
      </c>
      <c r="C42" s="722">
        <v>0</v>
      </c>
      <c r="D42" s="722">
        <v>25</v>
      </c>
      <c r="E42" s="722">
        <v>0</v>
      </c>
      <c r="F42" s="722">
        <v>0</v>
      </c>
      <c r="L42" s="385" t="s">
        <v>667</v>
      </c>
      <c r="M42" s="612">
        <f>M26*$K$30*M13</f>
        <v>97.170463309500022</v>
      </c>
      <c r="N42" s="612">
        <f>N26*$K$30*N13</f>
        <v>132.95865461970001</v>
      </c>
      <c r="O42" s="612">
        <f>O26*$K$30*O13</f>
        <v>57.895517906730007</v>
      </c>
      <c r="P42" s="612">
        <f>P26*$K$30*P13</f>
        <v>22.996280689200006</v>
      </c>
      <c r="Q42" s="1298">
        <f>SUM(M42:P42)</f>
        <v>311.02091652513002</v>
      </c>
      <c r="S42" s="332" t="s">
        <v>150</v>
      </c>
      <c r="T42" s="50"/>
      <c r="U42" s="332" t="s">
        <v>150</v>
      </c>
      <c r="V42" s="50"/>
      <c r="W42" s="332" t="s">
        <v>150</v>
      </c>
      <c r="X42" s="50"/>
    </row>
    <row r="43" spans="2:24" ht="16.5" customHeight="1">
      <c r="B43" s="387" t="s">
        <v>644</v>
      </c>
      <c r="C43" s="722">
        <v>0</v>
      </c>
      <c r="D43" s="722">
        <v>1</v>
      </c>
      <c r="E43" s="722">
        <v>0</v>
      </c>
      <c r="F43" s="722">
        <v>0</v>
      </c>
      <c r="L43" s="387" t="s">
        <v>668</v>
      </c>
      <c r="M43" s="605">
        <f>M28*$K$30*M18</f>
        <v>5.102725005E-2</v>
      </c>
      <c r="N43" s="605">
        <f t="shared" ref="N43:P43" si="6">N28*$K$30*N18</f>
        <v>5.8252060692E-2</v>
      </c>
      <c r="O43" s="612">
        <f t="shared" si="6"/>
        <v>0.17576052795000005</v>
      </c>
      <c r="P43" s="612">
        <f t="shared" si="6"/>
        <v>7.3868019120000017E-2</v>
      </c>
      <c r="Q43" s="1005">
        <f>SUM(M43:P43)</f>
        <v>0.35890785781200008</v>
      </c>
      <c r="S43" s="332" t="s">
        <v>147</v>
      </c>
      <c r="T43" s="50"/>
      <c r="U43" s="332" t="s">
        <v>147</v>
      </c>
      <c r="V43" s="50"/>
      <c r="W43" s="332" t="s">
        <v>147</v>
      </c>
      <c r="X43" s="50"/>
    </row>
    <row r="44" spans="2:24" ht="16.5" customHeight="1">
      <c r="B44" s="387" t="s">
        <v>663</v>
      </c>
      <c r="C44" s="722">
        <v>0</v>
      </c>
      <c r="D44" s="722">
        <v>5</v>
      </c>
      <c r="E44" s="722">
        <v>1</v>
      </c>
      <c r="F44" s="722">
        <v>0</v>
      </c>
      <c r="L44" s="385" t="s">
        <v>666</v>
      </c>
      <c r="M44" s="612">
        <f>M29*$K$30*M19</f>
        <v>20.848276449000004</v>
      </c>
      <c r="N44" s="612">
        <f>N29*$K$30*N9</f>
        <v>69.319952223480016</v>
      </c>
      <c r="O44" s="612">
        <f>O29*$K$30*O9</f>
        <v>45.316085834880006</v>
      </c>
      <c r="P44" s="612">
        <f>P29*$K$30*P9</f>
        <v>22.095609228000004</v>
      </c>
      <c r="Q44" s="1298">
        <f>SUM(M44:P44)</f>
        <v>157.57992373536001</v>
      </c>
      <c r="S44" s="332" t="s">
        <v>148</v>
      </c>
      <c r="T44" s="50"/>
      <c r="U44" s="332" t="s">
        <v>148</v>
      </c>
      <c r="V44" s="50"/>
      <c r="W44" s="332" t="s">
        <v>148</v>
      </c>
      <c r="X44" s="50"/>
    </row>
    <row r="45" spans="2:24" ht="16.5" customHeight="1">
      <c r="L45" s="1507" t="s">
        <v>671</v>
      </c>
      <c r="M45" s="1507"/>
      <c r="N45" s="1507"/>
      <c r="O45" s="1507"/>
      <c r="P45" s="1507"/>
      <c r="Q45" s="1507"/>
    </row>
    <row r="46" spans="2:24" ht="16.5" customHeight="1">
      <c r="B46" s="651" t="s">
        <v>162</v>
      </c>
      <c r="C46" s="651" t="s">
        <v>163</v>
      </c>
      <c r="D46" s="651" t="s">
        <v>164</v>
      </c>
      <c r="E46" s="651" t="s">
        <v>165</v>
      </c>
      <c r="F46" s="651" t="s">
        <v>363</v>
      </c>
      <c r="L46" s="385" t="s">
        <v>664</v>
      </c>
      <c r="M46" s="612">
        <f>M25*$K$30*M6</f>
        <v>18.389248970400004</v>
      </c>
      <c r="N46" s="612">
        <f>N25*$K$30*N6</f>
        <v>24.415648196940005</v>
      </c>
      <c r="O46" s="612">
        <f>O25*$K$30*O6</f>
        <v>7.0638993137999995</v>
      </c>
      <c r="P46" s="612">
        <f>P25*$K$30*P6</f>
        <v>3.045435876</v>
      </c>
      <c r="Q46" s="1298">
        <f>SUM(M46:P46)</f>
        <v>52.914232357140008</v>
      </c>
    </row>
    <row r="47" spans="2:24" ht="16.5" customHeight="1">
      <c r="B47" s="271">
        <v>2</v>
      </c>
      <c r="C47" s="270">
        <v>0.16</v>
      </c>
      <c r="D47" s="270">
        <v>1.1000000000000001</v>
      </c>
      <c r="E47" s="270">
        <f>C47*3</f>
        <v>0.48</v>
      </c>
      <c r="F47" s="8">
        <f>D47*E47</f>
        <v>0.52800000000000002</v>
      </c>
      <c r="L47" s="385" t="s">
        <v>667</v>
      </c>
      <c r="M47" s="612">
        <f>M26*$K$30*M14</f>
        <v>33.143413842000008</v>
      </c>
      <c r="N47" s="612">
        <f>N26*$K$30*N14</f>
        <v>42.955873030980008</v>
      </c>
      <c r="O47" s="612">
        <f>O26*$K$30*O14</f>
        <v>4.9012078651200008</v>
      </c>
      <c r="P47" s="612">
        <f>P26*$K$30*P14</f>
        <v>0.63176595300000016</v>
      </c>
      <c r="Q47" s="1298">
        <f>SUM(M47:P47)</f>
        <v>81.632260691100015</v>
      </c>
    </row>
    <row r="48" spans="2:24" ht="16.5" customHeight="1">
      <c r="B48" s="272">
        <v>4</v>
      </c>
      <c r="C48" s="6">
        <v>0.18</v>
      </c>
      <c r="D48" s="6">
        <v>0.7</v>
      </c>
      <c r="E48" s="270">
        <f>C48*2</f>
        <v>0.36</v>
      </c>
      <c r="F48" s="270">
        <f>D48*E48</f>
        <v>0.252</v>
      </c>
      <c r="L48" s="387" t="s">
        <v>668</v>
      </c>
      <c r="M48" s="612">
        <f>M28*$K$30*M19</f>
        <v>0.76540875075000003</v>
      </c>
      <c r="N48" s="605">
        <f t="shared" ref="N48:P49" si="7">N28*$K$30*N18</f>
        <v>5.8252060692E-2</v>
      </c>
      <c r="O48" s="612">
        <f t="shared" si="7"/>
        <v>0.17576052795000005</v>
      </c>
      <c r="P48" s="612">
        <f t="shared" si="7"/>
        <v>7.3868019120000017E-2</v>
      </c>
      <c r="Q48" s="1005">
        <f>SUM(M48:P48)</f>
        <v>1.073289358512</v>
      </c>
    </row>
    <row r="49" spans="2:34" ht="16.5" customHeight="1">
      <c r="C49" s="6"/>
      <c r="D49" s="6">
        <v>1.52</v>
      </c>
      <c r="E49" s="270">
        <f>C49*2</f>
        <v>0</v>
      </c>
      <c r="F49" s="270">
        <f>D49*E49</f>
        <v>0</v>
      </c>
      <c r="L49" s="385" t="s">
        <v>666</v>
      </c>
      <c r="M49" s="612">
        <f>M29*$K$30*M10</f>
        <v>31.967357221800007</v>
      </c>
      <c r="N49" s="612">
        <f t="shared" si="7"/>
        <v>16.893097600680001</v>
      </c>
      <c r="O49" s="612">
        <f t="shared" si="7"/>
        <v>9.1261561750800002</v>
      </c>
      <c r="P49" s="612">
        <f t="shared" si="7"/>
        <v>1.1404185408000003</v>
      </c>
      <c r="Q49" s="1298">
        <f>SUM(M49:P49)</f>
        <v>59.127029538360006</v>
      </c>
    </row>
    <row r="50" spans="2:34" ht="16.5" customHeight="1">
      <c r="C50" s="6"/>
      <c r="D50" s="6">
        <v>2.2599999999999998</v>
      </c>
      <c r="E50" s="270">
        <f>C50*2</f>
        <v>0</v>
      </c>
      <c r="F50" s="270">
        <f>D50*E50</f>
        <v>0</v>
      </c>
      <c r="AC50" s="1509" t="s">
        <v>670</v>
      </c>
      <c r="AD50" s="1509"/>
      <c r="AE50" s="1509"/>
      <c r="AF50" s="1509"/>
      <c r="AG50" s="1509"/>
      <c r="AH50" s="1509"/>
    </row>
    <row r="51" spans="2:34" ht="16.5" customHeight="1">
      <c r="C51" s="6"/>
      <c r="D51" s="6">
        <v>1.2</v>
      </c>
      <c r="E51" s="270">
        <f>C51*2</f>
        <v>0</v>
      </c>
      <c r="F51" s="270">
        <f>D51*E51</f>
        <v>0</v>
      </c>
      <c r="J51" s="1498">
        <v>41899</v>
      </c>
      <c r="K51" s="1498"/>
      <c r="L51" s="1524">
        <v>42173</v>
      </c>
      <c r="M51" s="1524"/>
      <c r="N51" s="1524">
        <v>42201</v>
      </c>
      <c r="O51" s="1524"/>
    </row>
    <row r="52" spans="2:34" ht="16.5" customHeight="1">
      <c r="F52" s="619">
        <f>SUM(F47:F51)</f>
        <v>0.78</v>
      </c>
      <c r="I52" s="1296" t="s">
        <v>1304</v>
      </c>
      <c r="J52" s="1347" t="s">
        <v>1807</v>
      </c>
      <c r="K52" s="206" t="s">
        <v>1806</v>
      </c>
      <c r="L52" s="1347" t="s">
        <v>1807</v>
      </c>
      <c r="M52" s="206" t="s">
        <v>1806</v>
      </c>
      <c r="N52" s="1348" t="s">
        <v>1807</v>
      </c>
      <c r="O52" s="206" t="s">
        <v>1806</v>
      </c>
    </row>
    <row r="53" spans="2:34" ht="16.5" customHeight="1">
      <c r="I53" s="1292" t="s">
        <v>1804</v>
      </c>
      <c r="J53" s="50"/>
      <c r="K53" s="50"/>
      <c r="L53" s="5"/>
      <c r="M53" s="961"/>
      <c r="N53" s="620">
        <v>185</v>
      </c>
      <c r="O53" s="50">
        <v>31</v>
      </c>
    </row>
    <row r="54" spans="2:34" ht="16.5" customHeight="1">
      <c r="I54" s="1292" t="s">
        <v>1305</v>
      </c>
      <c r="J54" s="50">
        <v>529</v>
      </c>
      <c r="K54" s="50">
        <v>165</v>
      </c>
      <c r="L54" s="1299">
        <v>807</v>
      </c>
      <c r="M54" s="620">
        <v>112</v>
      </c>
      <c r="N54" s="620">
        <v>444</v>
      </c>
      <c r="O54" s="50">
        <v>11</v>
      </c>
    </row>
    <row r="55" spans="2:34" ht="16.5" customHeight="1">
      <c r="I55" s="1292" t="s">
        <v>1306</v>
      </c>
      <c r="J55" s="50">
        <v>225</v>
      </c>
      <c r="K55" s="50">
        <v>45</v>
      </c>
      <c r="L55" s="1299">
        <v>596</v>
      </c>
      <c r="M55" s="620">
        <v>35</v>
      </c>
      <c r="N55" s="620">
        <v>404</v>
      </c>
      <c r="O55" s="50">
        <v>17</v>
      </c>
    </row>
    <row r="56" spans="2:34" ht="16.5" customHeight="1">
      <c r="B56" s="983" t="s">
        <v>966</v>
      </c>
      <c r="C56" s="981">
        <v>42173</v>
      </c>
      <c r="D56" s="982">
        <v>42201</v>
      </c>
      <c r="I56" s="1292" t="s">
        <v>1307</v>
      </c>
      <c r="J56" s="50">
        <v>3754</v>
      </c>
      <c r="K56" s="50">
        <v>660</v>
      </c>
      <c r="L56" s="1299">
        <v>1454</v>
      </c>
      <c r="M56" s="620">
        <v>100</v>
      </c>
      <c r="N56" s="620">
        <v>282</v>
      </c>
      <c r="O56" s="50">
        <v>15</v>
      </c>
    </row>
    <row r="57" spans="2:34" ht="16.5" customHeight="1">
      <c r="B57" s="984" t="s">
        <v>146</v>
      </c>
      <c r="C57" s="985">
        <v>0.49305555555555558</v>
      </c>
      <c r="D57" s="985">
        <v>0.39444444444444443</v>
      </c>
      <c r="I57" s="1292" t="s">
        <v>1805</v>
      </c>
      <c r="J57" s="50"/>
      <c r="K57" s="50"/>
      <c r="L57" s="1299"/>
      <c r="M57" s="961"/>
      <c r="N57" s="620">
        <v>212</v>
      </c>
      <c r="O57" s="50">
        <v>17</v>
      </c>
      <c r="AC57" s="444"/>
      <c r="AD57" s="443"/>
    </row>
    <row r="58" spans="2:34" ht="16.5" customHeight="1">
      <c r="B58" s="984" t="s">
        <v>338</v>
      </c>
      <c r="C58" s="986">
        <v>4.8</v>
      </c>
      <c r="D58" s="986">
        <v>4</v>
      </c>
      <c r="I58" s="916" t="s">
        <v>1310</v>
      </c>
      <c r="J58" s="50"/>
      <c r="K58" s="50"/>
      <c r="L58" s="1299"/>
      <c r="M58" s="961"/>
      <c r="N58" s="620">
        <v>365</v>
      </c>
      <c r="O58" s="50">
        <v>20</v>
      </c>
      <c r="AC58" s="447"/>
      <c r="AD58" s="448"/>
    </row>
    <row r="59" spans="2:34" ht="16.5" customHeight="1">
      <c r="B59" s="987" t="s">
        <v>150</v>
      </c>
      <c r="C59" s="988">
        <v>7.8</v>
      </c>
      <c r="D59" s="988">
        <v>8.59</v>
      </c>
      <c r="K59" s="54"/>
      <c r="L59" s="5"/>
      <c r="M59" s="1525" t="s">
        <v>1808</v>
      </c>
      <c r="N59" s="1525"/>
      <c r="AC59" s="447"/>
      <c r="AD59" s="448"/>
    </row>
    <row r="60" spans="2:34" ht="16.5" customHeight="1">
      <c r="B60" s="984" t="s">
        <v>339</v>
      </c>
      <c r="C60" s="989">
        <v>2.1000000000000001E-2</v>
      </c>
      <c r="D60" s="989">
        <v>0.02</v>
      </c>
      <c r="K60" s="1293"/>
      <c r="L60" s="1506" t="s">
        <v>651</v>
      </c>
      <c r="M60" s="50" t="s">
        <v>1312</v>
      </c>
      <c r="N60" s="50">
        <f>MEDIAN(O53:O58,M54:M56,K54:K56)</f>
        <v>33</v>
      </c>
      <c r="AC60" s="449"/>
      <c r="AD60" s="448"/>
    </row>
    <row r="61" spans="2:34" ht="16.5" customHeight="1">
      <c r="B61" s="984" t="s">
        <v>340</v>
      </c>
      <c r="C61" s="988">
        <v>8.25</v>
      </c>
      <c r="D61" s="988">
        <v>8.4</v>
      </c>
      <c r="K61" s="54"/>
      <c r="L61" s="1506"/>
      <c r="M61" s="50" t="s">
        <v>16</v>
      </c>
      <c r="N61" s="50">
        <f>AVERAGE(O53:O58,M54:M56,K54:K56)</f>
        <v>102.33333333333333</v>
      </c>
      <c r="AC61" s="447"/>
      <c r="AD61" s="448"/>
    </row>
    <row r="62" spans="2:34" ht="16.5" customHeight="1">
      <c r="B62" s="983" t="s">
        <v>967</v>
      </c>
      <c r="C62" s="981">
        <v>42173</v>
      </c>
      <c r="D62" s="982">
        <v>42201</v>
      </c>
      <c r="K62" s="1293"/>
      <c r="L62" s="1505" t="s">
        <v>648</v>
      </c>
      <c r="M62" s="50" t="s">
        <v>1312</v>
      </c>
      <c r="N62" s="50">
        <f>MEDIAN(N53:N58,L54:L56,J54:J56)</f>
        <v>424</v>
      </c>
      <c r="AC62" s="447"/>
      <c r="AD62" s="448"/>
    </row>
    <row r="63" spans="2:34" ht="16.5" customHeight="1">
      <c r="B63" s="987" t="s">
        <v>146</v>
      </c>
      <c r="C63" s="985">
        <v>0.48749999999999999</v>
      </c>
      <c r="D63" s="985">
        <v>0.39999999999999997</v>
      </c>
      <c r="K63" s="54"/>
      <c r="L63" s="1505"/>
      <c r="M63" s="50" t="s">
        <v>16</v>
      </c>
      <c r="N63" s="50">
        <f>AVERAGE(N53:N58,L54:L56,J54:J56)</f>
        <v>771.41666666666663</v>
      </c>
      <c r="AC63" s="447"/>
      <c r="AD63" s="448"/>
    </row>
    <row r="64" spans="2:34" ht="16.5" customHeight="1">
      <c r="B64" s="987" t="s">
        <v>338</v>
      </c>
      <c r="C64" s="986">
        <v>4.8</v>
      </c>
      <c r="D64" s="986">
        <v>4.0999999999999996</v>
      </c>
      <c r="K64" s="920"/>
      <c r="L64" s="1294"/>
      <c r="M64" s="1232"/>
      <c r="N64" s="1295"/>
      <c r="AC64" s="449"/>
      <c r="AD64" s="448"/>
    </row>
    <row r="65" spans="2:30" ht="16.5" customHeight="1">
      <c r="B65" s="987" t="s">
        <v>150</v>
      </c>
      <c r="C65" s="988">
        <v>7.75</v>
      </c>
      <c r="D65" s="988">
        <v>8.4600000000000009</v>
      </c>
      <c r="AC65" s="447"/>
      <c r="AD65" s="448"/>
    </row>
    <row r="66" spans="2:30" ht="16.5" customHeight="1">
      <c r="B66" s="987" t="s">
        <v>339</v>
      </c>
      <c r="C66" s="989">
        <v>1.6E-2</v>
      </c>
      <c r="D66" s="989">
        <v>1.9E-2</v>
      </c>
      <c r="AC66" s="447"/>
      <c r="AD66" s="448"/>
    </row>
    <row r="67" spans="2:30" ht="16.5" customHeight="1">
      <c r="B67" s="987" t="s">
        <v>340</v>
      </c>
      <c r="C67" s="988">
        <v>8.75</v>
      </c>
      <c r="D67" s="988">
        <v>12.12</v>
      </c>
      <c r="AC67" s="447"/>
      <c r="AD67" s="448"/>
    </row>
    <row r="68" spans="2:30" ht="16.5" customHeight="1">
      <c r="B68" s="993" t="s">
        <v>1307</v>
      </c>
      <c r="C68" s="981">
        <v>42173</v>
      </c>
      <c r="D68" s="982">
        <v>42201</v>
      </c>
      <c r="AC68" s="449"/>
      <c r="AD68" s="448"/>
    </row>
    <row r="69" spans="2:30" ht="16.5" customHeight="1">
      <c r="B69" s="987" t="s">
        <v>146</v>
      </c>
      <c r="C69" s="985">
        <v>0.5</v>
      </c>
      <c r="D69" s="985">
        <v>0.40833333333333338</v>
      </c>
      <c r="AC69" s="447"/>
      <c r="AD69" s="448"/>
    </row>
    <row r="70" spans="2:30" ht="16.5" customHeight="1">
      <c r="B70" s="987" t="s">
        <v>338</v>
      </c>
      <c r="C70" s="986">
        <v>3.4</v>
      </c>
      <c r="D70" s="986">
        <v>5.0999999999999996</v>
      </c>
      <c r="AC70" s="447"/>
      <c r="AD70" s="448"/>
    </row>
    <row r="71" spans="2:30" ht="16.5" customHeight="1">
      <c r="B71" s="987" t="s">
        <v>150</v>
      </c>
      <c r="C71" s="988">
        <v>7.56</v>
      </c>
      <c r="D71" s="988">
        <v>8.35</v>
      </c>
      <c r="AC71" s="447"/>
      <c r="AD71" s="448"/>
    </row>
    <row r="72" spans="2:30" ht="16.5" customHeight="1">
      <c r="B72" s="987" t="s">
        <v>339</v>
      </c>
      <c r="C72" s="989">
        <v>2.1000000000000001E-2</v>
      </c>
      <c r="D72" s="989">
        <v>1.9E-2</v>
      </c>
      <c r="AC72" s="449"/>
      <c r="AD72" s="448"/>
    </row>
    <row r="73" spans="2:30" ht="16.5" customHeight="1">
      <c r="B73" s="987" t="s">
        <v>340</v>
      </c>
      <c r="C73" s="988">
        <v>7.85</v>
      </c>
      <c r="D73" s="988">
        <v>12.1</v>
      </c>
      <c r="AC73" s="447"/>
      <c r="AD73" s="448"/>
    </row>
    <row r="74" spans="2:30" ht="16.5" customHeight="1">
      <c r="B74" s="991" t="s">
        <v>1308</v>
      </c>
      <c r="C74" s="990"/>
      <c r="D74" s="982">
        <v>42201</v>
      </c>
      <c r="AC74" s="447"/>
      <c r="AD74" s="448"/>
    </row>
    <row r="75" spans="2:30" ht="16.5" customHeight="1">
      <c r="B75" s="987" t="s">
        <v>146</v>
      </c>
      <c r="C75" s="992"/>
      <c r="D75" s="985">
        <v>0.47569444444444442</v>
      </c>
      <c r="AC75" s="447"/>
      <c r="AD75" s="448"/>
    </row>
    <row r="76" spans="2:30" ht="16.5" customHeight="1">
      <c r="B76" s="987" t="s">
        <v>338</v>
      </c>
      <c r="C76" s="992"/>
      <c r="D76" s="986">
        <v>8</v>
      </c>
      <c r="AC76" s="447"/>
      <c r="AD76" s="448"/>
    </row>
    <row r="77" spans="2:30" ht="16.5" customHeight="1">
      <c r="B77" s="987" t="s">
        <v>150</v>
      </c>
      <c r="C77" s="992"/>
      <c r="D77" s="988">
        <v>7.96</v>
      </c>
      <c r="AC77" s="447"/>
      <c r="AD77" s="448"/>
    </row>
    <row r="78" spans="2:30" ht="16.5" customHeight="1">
      <c r="B78" s="987" t="s">
        <v>339</v>
      </c>
      <c r="C78" s="992"/>
      <c r="D78" s="989">
        <v>5.2999999999999999E-2</v>
      </c>
      <c r="AC78" s="447"/>
      <c r="AD78" s="448"/>
    </row>
    <row r="79" spans="2:30" ht="16.5" customHeight="1">
      <c r="B79" s="987" t="s">
        <v>340</v>
      </c>
      <c r="C79" s="992"/>
      <c r="D79" s="988">
        <v>10.199999999999999</v>
      </c>
      <c r="AC79" s="447"/>
      <c r="AD79" s="448"/>
    </row>
    <row r="80" spans="2:30" ht="16.5" customHeight="1">
      <c r="B80" s="991" t="s">
        <v>1309</v>
      </c>
      <c r="C80" s="990"/>
      <c r="D80" s="982">
        <v>42201</v>
      </c>
    </row>
    <row r="81" spans="2:8" ht="16.5" customHeight="1">
      <c r="B81" s="987" t="s">
        <v>146</v>
      </c>
      <c r="C81" s="992"/>
      <c r="D81" s="985">
        <v>0.4375</v>
      </c>
    </row>
    <row r="82" spans="2:8" ht="16.5" customHeight="1">
      <c r="B82" s="987" t="s">
        <v>338</v>
      </c>
      <c r="C82" s="992"/>
      <c r="D82" s="986">
        <v>5.9</v>
      </c>
    </row>
    <row r="83" spans="2:8" ht="16.5" customHeight="1">
      <c r="B83" s="987" t="s">
        <v>150</v>
      </c>
      <c r="C83" s="992"/>
      <c r="D83" s="988">
        <v>7.85</v>
      </c>
    </row>
    <row r="84" spans="2:8" ht="16.5" customHeight="1">
      <c r="B84" s="987" t="s">
        <v>339</v>
      </c>
      <c r="C84" s="992"/>
      <c r="D84" s="989">
        <v>2.9000000000000001E-2</v>
      </c>
    </row>
    <row r="85" spans="2:8" ht="16.5" customHeight="1">
      <c r="B85" s="987" t="s">
        <v>340</v>
      </c>
      <c r="C85" s="992"/>
      <c r="D85" s="988">
        <v>11.22</v>
      </c>
    </row>
    <row r="86" spans="2:8" ht="16.5" customHeight="1">
      <c r="B86" s="990" t="s">
        <v>1310</v>
      </c>
      <c r="C86" s="990"/>
      <c r="D86" s="982">
        <v>42201</v>
      </c>
    </row>
    <row r="87" spans="2:8" ht="16.5" customHeight="1">
      <c r="B87" s="987" t="s">
        <v>146</v>
      </c>
      <c r="C87" s="992"/>
      <c r="D87" s="985">
        <v>0.43055555555555558</v>
      </c>
    </row>
    <row r="88" spans="2:8" ht="16.5" customHeight="1">
      <c r="B88" s="987" t="s">
        <v>338</v>
      </c>
      <c r="C88" s="992"/>
      <c r="D88" s="986">
        <v>5</v>
      </c>
    </row>
    <row r="89" spans="2:8" ht="16.5" customHeight="1">
      <c r="B89" s="987" t="s">
        <v>150</v>
      </c>
      <c r="C89" s="992"/>
      <c r="D89" s="988">
        <v>8.1300000000000008</v>
      </c>
    </row>
    <row r="90" spans="2:8" ht="16.5" customHeight="1">
      <c r="B90" s="987" t="s">
        <v>339</v>
      </c>
      <c r="C90" s="992"/>
      <c r="D90" s="989">
        <v>2.1000000000000001E-2</v>
      </c>
    </row>
    <row r="91" spans="2:8" ht="16.5" customHeight="1">
      <c r="B91" s="987" t="s">
        <v>340</v>
      </c>
      <c r="C91" s="992"/>
      <c r="D91" s="988">
        <v>11.8</v>
      </c>
    </row>
    <row r="95" spans="2:8" ht="16.5" customHeight="1">
      <c r="B95" s="75">
        <v>41899</v>
      </c>
    </row>
    <row r="96" spans="2:8" ht="14">
      <c r="B96" t="s">
        <v>10</v>
      </c>
      <c r="C96" t="s">
        <v>149</v>
      </c>
      <c r="D96" t="s">
        <v>150</v>
      </c>
      <c r="E96" t="s">
        <v>147</v>
      </c>
      <c r="F96" t="s">
        <v>148</v>
      </c>
      <c r="G96" t="s">
        <v>29</v>
      </c>
      <c r="H96" t="s">
        <v>28</v>
      </c>
    </row>
    <row r="97" spans="2:9" ht="16.5" customHeight="1">
      <c r="B97" t="s">
        <v>974</v>
      </c>
      <c r="C97" s="913">
        <v>5.3</v>
      </c>
      <c r="D97" s="619">
        <v>8.8000000000000007</v>
      </c>
      <c r="E97" s="914">
        <v>2.58E-2</v>
      </c>
      <c r="F97" s="619">
        <v>8.36</v>
      </c>
      <c r="G97" s="39">
        <v>286</v>
      </c>
      <c r="H97" s="39">
        <v>2</v>
      </c>
      <c r="I97" s="39"/>
    </row>
    <row r="98" spans="2:9" ht="16.5" customHeight="1">
      <c r="B98" t="s">
        <v>968</v>
      </c>
      <c r="C98" s="913">
        <v>4.5</v>
      </c>
      <c r="D98" s="619">
        <v>7.45</v>
      </c>
      <c r="E98" s="914">
        <v>4.3999999999999997E-2</v>
      </c>
      <c r="F98" s="619">
        <v>0.89</v>
      </c>
      <c r="G98" s="39">
        <v>5</v>
      </c>
      <c r="H98" s="39">
        <v>73</v>
      </c>
      <c r="I98" s="39"/>
    </row>
    <row r="99" spans="2:9" ht="16.5" customHeight="1">
      <c r="B99" t="s">
        <v>970</v>
      </c>
      <c r="C99" s="913">
        <v>4.4000000000000004</v>
      </c>
      <c r="D99" s="619">
        <v>7.12</v>
      </c>
      <c r="E99" s="914">
        <v>3.9300000000000002E-2</v>
      </c>
      <c r="F99" s="619">
        <v>1.32</v>
      </c>
      <c r="G99" s="39">
        <v>529</v>
      </c>
      <c r="H99" s="39">
        <v>165</v>
      </c>
      <c r="I99" s="39"/>
    </row>
    <row r="100" spans="2:9" ht="16.5" customHeight="1">
      <c r="B100" t="s">
        <v>969</v>
      </c>
      <c r="C100" s="913">
        <v>4.4000000000000004</v>
      </c>
      <c r="D100" s="619">
        <v>7.43</v>
      </c>
      <c r="E100" s="914">
        <v>2.4E-2</v>
      </c>
      <c r="F100" s="619">
        <v>8</v>
      </c>
      <c r="G100" s="39">
        <v>269</v>
      </c>
      <c r="H100" s="39">
        <v>2</v>
      </c>
      <c r="I100" s="39"/>
    </row>
    <row r="101" spans="2:9" ht="16.5" customHeight="1">
      <c r="B101" t="s">
        <v>971</v>
      </c>
      <c r="C101" s="913">
        <v>4.5</v>
      </c>
      <c r="D101" s="619">
        <v>7.19</v>
      </c>
      <c r="E101" s="914">
        <v>3.5499999999999997E-2</v>
      </c>
      <c r="F101" s="619">
        <v>1.91</v>
      </c>
      <c r="G101" s="39">
        <v>225</v>
      </c>
      <c r="H101" s="39">
        <v>45</v>
      </c>
      <c r="I101" s="39"/>
    </row>
    <row r="102" spans="2:9" ht="16.5" customHeight="1">
      <c r="B102" t="s">
        <v>972</v>
      </c>
      <c r="C102" s="913">
        <v>6.8</v>
      </c>
      <c r="D102" s="619">
        <v>7.35</v>
      </c>
      <c r="E102" s="914">
        <v>2.35E-2</v>
      </c>
      <c r="F102" s="619">
        <v>7.92</v>
      </c>
      <c r="G102" s="39">
        <v>246</v>
      </c>
      <c r="H102" s="39">
        <v>2</v>
      </c>
      <c r="I102" s="39"/>
    </row>
    <row r="103" spans="2:9" ht="16.5" customHeight="1">
      <c r="B103" t="s">
        <v>973</v>
      </c>
      <c r="C103" s="913">
        <v>4.5999999999999996</v>
      </c>
      <c r="D103" s="619">
        <v>7.43</v>
      </c>
      <c r="E103" s="914">
        <v>2.4E-2</v>
      </c>
      <c r="F103" s="619">
        <v>6.83</v>
      </c>
      <c r="G103" s="39">
        <v>3754</v>
      </c>
      <c r="H103" s="39">
        <v>660</v>
      </c>
      <c r="I103" s="39"/>
    </row>
    <row r="105" spans="2:9" ht="16.5" customHeight="1">
      <c r="B105" s="75">
        <v>41899</v>
      </c>
    </row>
    <row r="106" spans="2:9" ht="14">
      <c r="B106" t="s">
        <v>10</v>
      </c>
      <c r="C106" t="s">
        <v>149</v>
      </c>
      <c r="D106" t="s">
        <v>150</v>
      </c>
      <c r="E106" t="s">
        <v>147</v>
      </c>
      <c r="F106" t="s">
        <v>148</v>
      </c>
      <c r="G106" t="s">
        <v>29</v>
      </c>
      <c r="H106" t="s">
        <v>28</v>
      </c>
    </row>
    <row r="107" spans="2:9" ht="16.5" customHeight="1">
      <c r="B107" t="s">
        <v>970</v>
      </c>
      <c r="C107" s="913">
        <v>4.4000000000000004</v>
      </c>
      <c r="D107" s="619">
        <v>7.12</v>
      </c>
      <c r="E107" s="914">
        <v>3.9300000000000002E-2</v>
      </c>
      <c r="F107" s="619">
        <v>1.32</v>
      </c>
      <c r="G107">
        <v>529</v>
      </c>
      <c r="H107">
        <v>165</v>
      </c>
    </row>
    <row r="108" spans="2:9" ht="16.5" customHeight="1">
      <c r="B108" t="s">
        <v>971</v>
      </c>
      <c r="C108" s="913">
        <v>4.5</v>
      </c>
      <c r="D108" s="619">
        <v>7.19</v>
      </c>
      <c r="E108" s="914">
        <v>3.5499999999999997E-2</v>
      </c>
      <c r="F108" s="619">
        <v>1.91</v>
      </c>
      <c r="G108">
        <v>225</v>
      </c>
      <c r="H108">
        <v>45</v>
      </c>
    </row>
    <row r="109" spans="2:9" ht="16.5" customHeight="1">
      <c r="B109" t="s">
        <v>973</v>
      </c>
      <c r="C109" s="913">
        <v>4.5999999999999996</v>
      </c>
      <c r="D109" s="619">
        <v>7.43</v>
      </c>
      <c r="E109" s="914">
        <v>2.4E-2</v>
      </c>
      <c r="F109" s="619">
        <v>6.83</v>
      </c>
      <c r="G109">
        <v>3754</v>
      </c>
      <c r="H109">
        <v>660</v>
      </c>
    </row>
    <row r="110" spans="2:9" ht="16.5" customHeight="1">
      <c r="B110" t="s">
        <v>311</v>
      </c>
      <c r="C110" s="913">
        <v>4.5</v>
      </c>
      <c r="D110" s="619">
        <v>7.19</v>
      </c>
      <c r="E110" s="914">
        <v>3.5499999999999997E-2</v>
      </c>
      <c r="F110" s="619">
        <v>1.91</v>
      </c>
      <c r="G110">
        <v>529</v>
      </c>
      <c r="H110">
        <v>165</v>
      </c>
    </row>
  </sheetData>
  <mergeCells count="38">
    <mergeCell ref="AC50:AH50"/>
    <mergeCell ref="L51:M51"/>
    <mergeCell ref="N51:O51"/>
    <mergeCell ref="M59:N59"/>
    <mergeCell ref="T2:X2"/>
    <mergeCell ref="V7:W7"/>
    <mergeCell ref="T6:X6"/>
    <mergeCell ref="W39:X39"/>
    <mergeCell ref="S22:U22"/>
    <mergeCell ref="V22:X22"/>
    <mergeCell ref="S33:T33"/>
    <mergeCell ref="U33:V33"/>
    <mergeCell ref="W33:X33"/>
    <mergeCell ref="T24:U24"/>
    <mergeCell ref="K3:Q3"/>
    <mergeCell ref="K16:Q16"/>
    <mergeCell ref="C39:F39"/>
    <mergeCell ref="L30:Q30"/>
    <mergeCell ref="L35:Q35"/>
    <mergeCell ref="L40:Q40"/>
    <mergeCell ref="T3:X3"/>
    <mergeCell ref="T4:X4"/>
    <mergeCell ref="S12:X12"/>
    <mergeCell ref="C5:F5"/>
    <mergeCell ref="C11:F11"/>
    <mergeCell ref="T8:U8"/>
    <mergeCell ref="C17:F17"/>
    <mergeCell ref="C23:F23"/>
    <mergeCell ref="C29:F29"/>
    <mergeCell ref="C34:F34"/>
    <mergeCell ref="L23:Q23"/>
    <mergeCell ref="J51:K51"/>
    <mergeCell ref="S39:T39"/>
    <mergeCell ref="U39:V39"/>
    <mergeCell ref="T14:U14"/>
    <mergeCell ref="L62:L63"/>
    <mergeCell ref="L60:L61"/>
    <mergeCell ref="L45:Q45"/>
  </mergeCells>
  <pageMargins left="1" right="0.25" top="0.43" bottom="0.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Q37"/>
  <sheetViews>
    <sheetView topLeftCell="B1" workbookViewId="0">
      <selection activeCell="D32" sqref="D30:D32"/>
    </sheetView>
  </sheetViews>
  <sheetFormatPr defaultRowHeight="14"/>
  <cols>
    <col min="1" max="1" width="13.81640625" bestFit="1" customWidth="1"/>
    <col min="2" max="2" width="18.1796875" bestFit="1" customWidth="1"/>
    <col min="3" max="3" width="7.90625" bestFit="1" customWidth="1"/>
    <col min="4" max="4" width="12.08984375" bestFit="1" customWidth="1"/>
    <col min="5" max="5" width="10" bestFit="1" customWidth="1"/>
    <col min="6" max="6" width="12.08984375" bestFit="1" customWidth="1"/>
    <col min="7" max="7" width="13.1796875" bestFit="1" customWidth="1"/>
    <col min="9" max="9" width="26.81640625" bestFit="1" customWidth="1"/>
    <col min="10" max="11" width="7.54296875" bestFit="1" customWidth="1"/>
    <col min="13" max="13" width="16.36328125" customWidth="1"/>
    <col min="14" max="14" width="19" bestFit="1" customWidth="1"/>
    <col min="15" max="15" width="9.08984375" style="710" bestFit="1" customWidth="1"/>
    <col min="16" max="17" width="9.08984375" bestFit="1" customWidth="1"/>
  </cols>
  <sheetData>
    <row r="1" spans="1:17">
      <c r="A1" s="75">
        <v>41899</v>
      </c>
    </row>
    <row r="2" spans="1:17" ht="27.65" customHeight="1">
      <c r="A2" s="998" t="s">
        <v>1313</v>
      </c>
      <c r="B2" s="998" t="s">
        <v>1325</v>
      </c>
      <c r="C2" s="998" t="s">
        <v>1314</v>
      </c>
      <c r="D2" s="998" t="s">
        <v>1315</v>
      </c>
      <c r="E2" s="998" t="s">
        <v>1316</v>
      </c>
      <c r="F2" s="998" t="s">
        <v>1317</v>
      </c>
      <c r="G2" s="998" t="s">
        <v>1318</v>
      </c>
      <c r="I2" s="983" t="s">
        <v>966</v>
      </c>
      <c r="J2" s="981">
        <v>42173</v>
      </c>
      <c r="K2" s="982">
        <v>42201</v>
      </c>
      <c r="M2" s="1538" t="s">
        <v>1304</v>
      </c>
      <c r="N2" s="1539"/>
      <c r="O2" s="1012">
        <v>41899</v>
      </c>
      <c r="P2" s="1011">
        <v>42173</v>
      </c>
      <c r="Q2" s="1011">
        <v>42201</v>
      </c>
    </row>
    <row r="3" spans="1:17" ht="14.5">
      <c r="A3" s="999" t="s">
        <v>1319</v>
      </c>
      <c r="B3" s="1008">
        <v>4.4000000000000004</v>
      </c>
      <c r="C3" s="1009">
        <v>7.12</v>
      </c>
      <c r="D3" s="1010">
        <v>3.9300000000000002E-2</v>
      </c>
      <c r="E3" s="1009">
        <v>1.32</v>
      </c>
      <c r="F3" s="1000">
        <v>529</v>
      </c>
      <c r="G3" s="1000">
        <v>165</v>
      </c>
      <c r="I3" s="984" t="s">
        <v>146</v>
      </c>
      <c r="J3" s="985">
        <v>0.49305555555555558</v>
      </c>
      <c r="K3" s="985">
        <v>0.39444444444444443</v>
      </c>
      <c r="M3" s="1543" t="s">
        <v>1311</v>
      </c>
      <c r="N3" s="1013" t="s">
        <v>648</v>
      </c>
      <c r="O3" s="1014"/>
      <c r="P3" s="1022"/>
      <c r="Q3" s="1015">
        <v>185</v>
      </c>
    </row>
    <row r="4" spans="1:17" ht="14.5">
      <c r="A4" s="999" t="s">
        <v>1320</v>
      </c>
      <c r="B4" s="1008">
        <v>4.5</v>
      </c>
      <c r="C4" s="1009">
        <v>7.19</v>
      </c>
      <c r="D4" s="1010">
        <v>3.5499999999999997E-2</v>
      </c>
      <c r="E4" s="1009">
        <v>1.91</v>
      </c>
      <c r="F4" s="1000">
        <v>225</v>
      </c>
      <c r="G4" s="1000">
        <v>45</v>
      </c>
      <c r="I4" s="984" t="s">
        <v>338</v>
      </c>
      <c r="J4" s="986">
        <v>4.8</v>
      </c>
      <c r="K4" s="986">
        <v>4</v>
      </c>
      <c r="M4" s="1544"/>
      <c r="N4" s="1016" t="s">
        <v>651</v>
      </c>
      <c r="O4" s="1017"/>
      <c r="P4" s="1022"/>
      <c r="Q4" s="1015">
        <v>31</v>
      </c>
    </row>
    <row r="5" spans="1:17" ht="14.5">
      <c r="A5" s="999" t="s">
        <v>1321</v>
      </c>
      <c r="B5" s="1008">
        <v>4.5999999999999996</v>
      </c>
      <c r="C5" s="1009">
        <v>7.43</v>
      </c>
      <c r="D5" s="1010">
        <v>2.4E-2</v>
      </c>
      <c r="E5" s="1009">
        <v>6.83</v>
      </c>
      <c r="F5" s="1000">
        <v>3754</v>
      </c>
      <c r="G5" s="1000">
        <v>660</v>
      </c>
      <c r="I5" s="987" t="s">
        <v>150</v>
      </c>
      <c r="J5" s="988">
        <v>7.8</v>
      </c>
      <c r="K5" s="988">
        <v>8.59</v>
      </c>
      <c r="M5" s="1543" t="s">
        <v>1305</v>
      </c>
      <c r="N5" s="1013" t="s">
        <v>648</v>
      </c>
      <c r="O5" s="1018">
        <v>529</v>
      </c>
      <c r="P5" s="1015">
        <v>807</v>
      </c>
      <c r="Q5" s="1015">
        <v>444</v>
      </c>
    </row>
    <row r="6" spans="1:17" ht="14.5">
      <c r="A6" s="999" t="s">
        <v>311</v>
      </c>
      <c r="B6" s="1008">
        <v>4.5</v>
      </c>
      <c r="C6" s="1009">
        <v>7.19</v>
      </c>
      <c r="D6" s="1010">
        <v>3.5499999999999997E-2</v>
      </c>
      <c r="E6" s="1009">
        <v>1.91</v>
      </c>
      <c r="F6" s="1000">
        <v>529</v>
      </c>
      <c r="G6" s="1000">
        <v>165</v>
      </c>
      <c r="I6" s="984" t="s">
        <v>339</v>
      </c>
      <c r="J6" s="989">
        <v>2.1000000000000001E-2</v>
      </c>
      <c r="K6" s="989">
        <v>0.02</v>
      </c>
      <c r="M6" s="1544"/>
      <c r="N6" s="1016" t="s">
        <v>651</v>
      </c>
      <c r="O6" s="1019">
        <v>165</v>
      </c>
      <c r="P6" s="1015">
        <v>112</v>
      </c>
      <c r="Q6" s="1015">
        <v>11</v>
      </c>
    </row>
    <row r="7" spans="1:17" ht="14.5">
      <c r="I7" s="984" t="s">
        <v>340</v>
      </c>
      <c r="J7" s="988">
        <v>8.25</v>
      </c>
      <c r="K7" s="988">
        <v>8.4</v>
      </c>
      <c r="M7" s="1543" t="s">
        <v>1306</v>
      </c>
      <c r="N7" s="1013" t="s">
        <v>648</v>
      </c>
      <c r="O7" s="1018">
        <v>225</v>
      </c>
      <c r="P7" s="1015">
        <v>596</v>
      </c>
      <c r="Q7" s="1015">
        <v>404</v>
      </c>
    </row>
    <row r="8" spans="1:17">
      <c r="A8" s="217">
        <v>41899</v>
      </c>
      <c r="B8" s="192"/>
      <c r="C8" s="192"/>
      <c r="D8" s="192"/>
      <c r="E8" s="192"/>
      <c r="F8" s="710"/>
      <c r="G8" s="710"/>
      <c r="I8" s="983" t="s">
        <v>967</v>
      </c>
      <c r="J8" s="981">
        <v>42173</v>
      </c>
      <c r="K8" s="982">
        <v>42201</v>
      </c>
      <c r="M8" s="1544"/>
      <c r="N8" s="1016" t="s">
        <v>651</v>
      </c>
      <c r="O8" s="1019">
        <v>45</v>
      </c>
      <c r="P8" s="1015">
        <v>35</v>
      </c>
      <c r="Q8" s="1015">
        <v>17</v>
      </c>
    </row>
    <row r="9" spans="1:17" ht="14.5">
      <c r="A9" s="723" t="s">
        <v>10</v>
      </c>
      <c r="B9" s="723" t="s">
        <v>149</v>
      </c>
      <c r="C9" s="723" t="s">
        <v>150</v>
      </c>
      <c r="D9" s="723" t="s">
        <v>147</v>
      </c>
      <c r="E9" s="723" t="s">
        <v>148</v>
      </c>
      <c r="F9" s="1001" t="s">
        <v>195</v>
      </c>
      <c r="G9" s="621" t="s">
        <v>1322</v>
      </c>
      <c r="I9" s="987" t="s">
        <v>146</v>
      </c>
      <c r="J9" s="985">
        <v>0.48749999999999999</v>
      </c>
      <c r="K9" s="985">
        <v>0.39999999999999997</v>
      </c>
      <c r="M9" s="1543" t="s">
        <v>1307</v>
      </c>
      <c r="N9" s="1013" t="s">
        <v>648</v>
      </c>
      <c r="O9" s="1020">
        <v>3754</v>
      </c>
      <c r="P9" s="1021">
        <v>1454</v>
      </c>
      <c r="Q9" s="1015">
        <v>282</v>
      </c>
    </row>
    <row r="10" spans="1:17" ht="14.5">
      <c r="A10" s="551" t="s">
        <v>970</v>
      </c>
      <c r="B10" s="1002">
        <v>4.4000000000000004</v>
      </c>
      <c r="C10" s="1003">
        <v>7.12</v>
      </c>
      <c r="D10" s="1004">
        <v>3.9300000000000002E-2</v>
      </c>
      <c r="E10" s="1003">
        <v>1.32</v>
      </c>
      <c r="F10" s="638">
        <v>529</v>
      </c>
      <c r="G10" s="638">
        <v>165</v>
      </c>
      <c r="I10" s="987" t="s">
        <v>338</v>
      </c>
      <c r="J10" s="986">
        <v>4.8</v>
      </c>
      <c r="K10" s="986">
        <v>4.0999999999999996</v>
      </c>
      <c r="M10" s="1544"/>
      <c r="N10" s="1016" t="s">
        <v>651</v>
      </c>
      <c r="O10" s="1019">
        <v>660</v>
      </c>
      <c r="P10" s="1015">
        <v>100</v>
      </c>
      <c r="Q10" s="1015">
        <v>15</v>
      </c>
    </row>
    <row r="11" spans="1:17" ht="14.5">
      <c r="A11" s="551" t="s">
        <v>971</v>
      </c>
      <c r="B11" s="1002">
        <v>4.5</v>
      </c>
      <c r="C11" s="1003">
        <v>7.19</v>
      </c>
      <c r="D11" s="1004">
        <v>3.5499999999999997E-2</v>
      </c>
      <c r="E11" s="1003">
        <v>1.91</v>
      </c>
      <c r="F11" s="638">
        <v>225</v>
      </c>
      <c r="G11" s="638">
        <v>45</v>
      </c>
      <c r="I11" s="987" t="s">
        <v>150</v>
      </c>
      <c r="J11" s="988">
        <v>7.75</v>
      </c>
      <c r="K11" s="988">
        <v>8.4600000000000009</v>
      </c>
      <c r="M11" s="1543" t="s">
        <v>1309</v>
      </c>
      <c r="N11" s="1013" t="s">
        <v>648</v>
      </c>
      <c r="O11" s="1014"/>
      <c r="P11" s="1022"/>
      <c r="Q11" s="1015">
        <v>212</v>
      </c>
    </row>
    <row r="12" spans="1:17" ht="14.5">
      <c r="A12" s="551" t="s">
        <v>973</v>
      </c>
      <c r="B12" s="1002">
        <v>4.5999999999999996</v>
      </c>
      <c r="C12" s="1003">
        <v>7.43</v>
      </c>
      <c r="D12" s="1004">
        <v>2.4E-2</v>
      </c>
      <c r="E12" s="1003">
        <v>6.83</v>
      </c>
      <c r="F12" s="643">
        <v>3754</v>
      </c>
      <c r="G12" s="638">
        <v>660</v>
      </c>
      <c r="I12" s="987" t="s">
        <v>339</v>
      </c>
      <c r="J12" s="989">
        <v>1.6E-2</v>
      </c>
      <c r="K12" s="989">
        <v>1.9E-2</v>
      </c>
      <c r="M12" s="1544"/>
      <c r="N12" s="1016" t="s">
        <v>651</v>
      </c>
      <c r="O12" s="1017"/>
      <c r="P12" s="1022"/>
      <c r="Q12" s="1015">
        <v>17</v>
      </c>
    </row>
    <row r="13" spans="1:17" ht="14.5">
      <c r="A13" s="964" t="s">
        <v>311</v>
      </c>
      <c r="B13" s="1005">
        <f t="shared" ref="B13:G13" si="0">MEDIAN(B10:B12)</f>
        <v>4.5</v>
      </c>
      <c r="C13" s="1006">
        <f t="shared" si="0"/>
        <v>7.19</v>
      </c>
      <c r="D13" s="1007">
        <f t="shared" si="0"/>
        <v>3.5499999999999997E-2</v>
      </c>
      <c r="E13" s="1006">
        <f t="shared" si="0"/>
        <v>1.91</v>
      </c>
      <c r="F13" s="963">
        <f t="shared" si="0"/>
        <v>529</v>
      </c>
      <c r="G13" s="963">
        <f t="shared" si="0"/>
        <v>165</v>
      </c>
      <c r="I13" s="987" t="s">
        <v>340</v>
      </c>
      <c r="J13" s="988">
        <v>8.75</v>
      </c>
      <c r="K13" s="988">
        <v>12.12</v>
      </c>
      <c r="M13" s="1545" t="s">
        <v>1310</v>
      </c>
      <c r="N13" s="1013" t="s">
        <v>648</v>
      </c>
      <c r="O13" s="1014"/>
      <c r="P13" s="1022"/>
      <c r="Q13" s="1015">
        <v>365</v>
      </c>
    </row>
    <row r="14" spans="1:17">
      <c r="I14" s="993" t="s">
        <v>1307</v>
      </c>
      <c r="J14" s="981">
        <v>42173</v>
      </c>
      <c r="K14" s="982">
        <v>42201</v>
      </c>
      <c r="M14" s="1546"/>
      <c r="N14" s="1016" t="s">
        <v>651</v>
      </c>
      <c r="O14" s="1017"/>
      <c r="P14" s="1022"/>
      <c r="Q14" s="1015">
        <v>20</v>
      </c>
    </row>
    <row r="15" spans="1:17" ht="14.5">
      <c r="I15" s="987" t="s">
        <v>146</v>
      </c>
      <c r="J15" s="985">
        <v>0.5</v>
      </c>
      <c r="K15" s="985">
        <v>0.40833333333333338</v>
      </c>
      <c r="M15" s="1542" t="s">
        <v>1324</v>
      </c>
      <c r="N15" s="1013" t="s">
        <v>648</v>
      </c>
      <c r="O15" s="965">
        <v>5</v>
      </c>
      <c r="P15" s="965">
        <v>720</v>
      </c>
      <c r="Q15" s="1024">
        <v>404</v>
      </c>
    </row>
    <row r="16" spans="1:17" ht="14.5">
      <c r="C16" s="994">
        <v>42173</v>
      </c>
      <c r="D16" s="994">
        <v>42201</v>
      </c>
      <c r="E16" s="994">
        <v>42236</v>
      </c>
      <c r="F16" s="994">
        <v>42264</v>
      </c>
      <c r="I16" s="987" t="s">
        <v>338</v>
      </c>
      <c r="J16" s="986">
        <v>3.4</v>
      </c>
      <c r="K16" s="986">
        <v>5.0999999999999996</v>
      </c>
      <c r="M16" s="1542"/>
      <c r="N16" s="1016" t="s">
        <v>651</v>
      </c>
      <c r="O16" s="965">
        <v>73</v>
      </c>
      <c r="P16" s="965">
        <v>71</v>
      </c>
      <c r="Q16" s="1023">
        <v>318</v>
      </c>
    </row>
    <row r="17" spans="1:15" ht="14.5">
      <c r="A17" s="330" t="s">
        <v>1324</v>
      </c>
      <c r="B17" s="400" t="s">
        <v>648</v>
      </c>
      <c r="C17" s="638">
        <v>720</v>
      </c>
      <c r="D17" s="638">
        <v>404</v>
      </c>
      <c r="E17" s="638">
        <v>126</v>
      </c>
      <c r="F17" s="638">
        <v>119</v>
      </c>
      <c r="I17" s="987" t="s">
        <v>150</v>
      </c>
      <c r="J17" s="988">
        <v>7.56</v>
      </c>
      <c r="K17" s="988">
        <v>8.35</v>
      </c>
      <c r="M17" s="710"/>
    </row>
    <row r="18" spans="1:15" ht="14.5">
      <c r="B18" s="996" t="s">
        <v>198</v>
      </c>
      <c r="C18" s="638">
        <v>71</v>
      </c>
      <c r="D18" s="638">
        <v>318</v>
      </c>
      <c r="E18" s="638">
        <v>406</v>
      </c>
      <c r="F18" s="638">
        <v>116</v>
      </c>
      <c r="I18" s="987" t="s">
        <v>339</v>
      </c>
      <c r="J18" s="989">
        <v>2.1000000000000001E-2</v>
      </c>
      <c r="K18" s="989">
        <v>1.9E-2</v>
      </c>
      <c r="M18" s="1536" t="s">
        <v>198</v>
      </c>
      <c r="N18" s="50" t="s">
        <v>1312</v>
      </c>
      <c r="O18" s="965">
        <f>MEDIAN(Q12,Q14,Q10,P10,Q8,P8,Q6,P6,Q4,O8,O6,O10,P16,Q16,O16)</f>
        <v>45</v>
      </c>
    </row>
    <row r="19" spans="1:15" ht="14.5">
      <c r="I19" s="987" t="s">
        <v>340</v>
      </c>
      <c r="J19" s="988">
        <v>7.85</v>
      </c>
      <c r="K19" s="988">
        <v>12.1</v>
      </c>
      <c r="M19" s="1537"/>
      <c r="N19" s="50" t="s">
        <v>16</v>
      </c>
      <c r="O19" s="965">
        <f>AVERAGE(Q14,Q12,Q10,P10,Q8,P8,Q6,P6,Q4,O8,O10,O6,P16,Q16,O16)</f>
        <v>112.66666666666667</v>
      </c>
    </row>
    <row r="20" spans="1:15" ht="29">
      <c r="I20" s="991" t="s">
        <v>1308</v>
      </c>
      <c r="J20" s="990"/>
      <c r="K20" s="982">
        <v>42201</v>
      </c>
      <c r="M20" s="1540" t="s">
        <v>648</v>
      </c>
      <c r="N20" s="50" t="s">
        <v>1312</v>
      </c>
      <c r="O20" s="965">
        <f>MEDIAN(Q13,Q11,Q9,P9,Q7,P7,Q5,P5,Q3,O9,O7,O5,Q15,P15,O15)</f>
        <v>404</v>
      </c>
    </row>
    <row r="21" spans="1:15" ht="14.5">
      <c r="I21" s="987" t="s">
        <v>146</v>
      </c>
      <c r="J21" s="992"/>
      <c r="K21" s="985">
        <v>0.47569444444444442</v>
      </c>
      <c r="M21" s="1541"/>
      <c r="N21" s="50" t="s">
        <v>16</v>
      </c>
      <c r="O21" s="965">
        <f>AVERAGE(Q13,Q11,Q9,P9,Q7,P7,Q5,P5,Q3,O9,O7,O5,Q15,P15,O15)</f>
        <v>692.4</v>
      </c>
    </row>
    <row r="22" spans="1:15" ht="14.5">
      <c r="I22" s="987" t="s">
        <v>338</v>
      </c>
      <c r="J22" s="992"/>
      <c r="K22" s="986">
        <v>8</v>
      </c>
    </row>
    <row r="23" spans="1:15" ht="14.5">
      <c r="I23" s="987" t="s">
        <v>150</v>
      </c>
      <c r="J23" s="992"/>
      <c r="K23" s="988">
        <v>7.96</v>
      </c>
    </row>
    <row r="24" spans="1:15" ht="14.5">
      <c r="I24" s="987" t="s">
        <v>339</v>
      </c>
      <c r="J24" s="992"/>
      <c r="K24" s="989">
        <v>5.2999999999999999E-2</v>
      </c>
    </row>
    <row r="25" spans="1:15" ht="14.5">
      <c r="I25" s="987" t="s">
        <v>340</v>
      </c>
      <c r="J25" s="992"/>
      <c r="K25" s="988">
        <v>10.199999999999999</v>
      </c>
    </row>
    <row r="26" spans="1:15" ht="14.5">
      <c r="I26" s="991" t="s">
        <v>1309</v>
      </c>
      <c r="J26" s="990"/>
      <c r="K26" s="982">
        <v>42201</v>
      </c>
    </row>
    <row r="27" spans="1:15" ht="14.5">
      <c r="I27" s="987" t="s">
        <v>146</v>
      </c>
      <c r="J27" s="992"/>
      <c r="K27" s="985">
        <v>0.4375</v>
      </c>
    </row>
    <row r="28" spans="1:15" ht="14.5">
      <c r="I28" s="987" t="s">
        <v>338</v>
      </c>
      <c r="J28" s="992"/>
      <c r="K28" s="986">
        <v>5.9</v>
      </c>
    </row>
    <row r="29" spans="1:15" ht="14.5">
      <c r="I29" s="987" t="s">
        <v>150</v>
      </c>
      <c r="J29" s="992"/>
      <c r="K29" s="988">
        <v>7.85</v>
      </c>
    </row>
    <row r="30" spans="1:15" ht="14.5">
      <c r="I30" s="987" t="s">
        <v>339</v>
      </c>
      <c r="J30" s="992"/>
      <c r="K30" s="989">
        <v>2.9000000000000001E-2</v>
      </c>
    </row>
    <row r="31" spans="1:15" ht="14.5">
      <c r="I31" s="987" t="s">
        <v>340</v>
      </c>
      <c r="J31" s="992"/>
      <c r="K31" s="988">
        <v>11.22</v>
      </c>
    </row>
    <row r="32" spans="1:15" ht="14.5">
      <c r="I32" s="990" t="s">
        <v>1310</v>
      </c>
      <c r="J32" s="990"/>
      <c r="K32" s="982">
        <v>42201</v>
      </c>
    </row>
    <row r="33" spans="9:11" ht="14.5">
      <c r="I33" s="987" t="s">
        <v>146</v>
      </c>
      <c r="J33" s="992"/>
      <c r="K33" s="985">
        <v>0.43055555555555558</v>
      </c>
    </row>
    <row r="34" spans="9:11" ht="14.5">
      <c r="I34" s="987" t="s">
        <v>338</v>
      </c>
      <c r="J34" s="992"/>
      <c r="K34" s="986">
        <v>5</v>
      </c>
    </row>
    <row r="35" spans="9:11" ht="14.5">
      <c r="I35" s="987" t="s">
        <v>150</v>
      </c>
      <c r="J35" s="992"/>
      <c r="K35" s="988">
        <v>8.1300000000000008</v>
      </c>
    </row>
    <row r="36" spans="9:11" ht="14.5">
      <c r="I36" s="987" t="s">
        <v>339</v>
      </c>
      <c r="J36" s="992"/>
      <c r="K36" s="989">
        <v>2.1000000000000001E-2</v>
      </c>
    </row>
    <row r="37" spans="9:11" ht="14.5">
      <c r="I37" s="987" t="s">
        <v>340</v>
      </c>
      <c r="J37" s="992"/>
      <c r="K37" s="988">
        <v>11.8</v>
      </c>
    </row>
  </sheetData>
  <mergeCells count="10">
    <mergeCell ref="M18:M19"/>
    <mergeCell ref="M2:N2"/>
    <mergeCell ref="M20:M21"/>
    <mergeCell ref="M15:M16"/>
    <mergeCell ref="M3:M4"/>
    <mergeCell ref="M5:M6"/>
    <mergeCell ref="M7:M8"/>
    <mergeCell ref="M9:M10"/>
    <mergeCell ref="M11:M12"/>
    <mergeCell ref="M13:M1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59999389629810485"/>
  </sheetPr>
  <dimension ref="A1:AC439"/>
  <sheetViews>
    <sheetView topLeftCell="A109" workbookViewId="0">
      <selection activeCell="B105" sqref="B105"/>
    </sheetView>
  </sheetViews>
  <sheetFormatPr defaultRowHeight="14"/>
  <cols>
    <col min="1" max="1" width="11.453125" bestFit="1" customWidth="1"/>
    <col min="2" max="2" width="9.36328125" bestFit="1" customWidth="1"/>
    <col min="3" max="3" width="14.6328125" bestFit="1" customWidth="1"/>
    <col min="4" max="4" width="14" bestFit="1" customWidth="1"/>
    <col min="5" max="5" width="24.45312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  <col min="16" max="16" width="10.54296875" bestFit="1" customWidth="1"/>
    <col min="17" max="17" width="9.36328125" bestFit="1" customWidth="1"/>
    <col min="18" max="18" width="14.6328125" bestFit="1" customWidth="1"/>
    <col min="19" max="19" width="14" bestFit="1" customWidth="1"/>
    <col min="20" max="20" width="24.453125" bestFit="1" customWidth="1"/>
    <col min="21" max="21" width="7.81640625" bestFit="1" customWidth="1"/>
    <col min="22" max="22" width="16.453125" bestFit="1" customWidth="1"/>
    <col min="23" max="24" width="8.36328125" bestFit="1" customWidth="1"/>
    <col min="25" max="25" width="6.08984375" bestFit="1" customWidth="1"/>
    <col min="26" max="26" width="6.453125" bestFit="1" customWidth="1"/>
    <col min="27" max="27" width="4.90625" bestFit="1" customWidth="1"/>
    <col min="28" max="28" width="4.81640625" bestFit="1" customWidth="1"/>
    <col min="29" max="29" width="14.1796875" bestFit="1" customWidth="1"/>
  </cols>
  <sheetData>
    <row r="1" spans="1:29">
      <c r="A1" s="966" t="s">
        <v>1097</v>
      </c>
      <c r="B1" s="966" t="s">
        <v>1098</v>
      </c>
      <c r="C1" s="443" t="s">
        <v>1099</v>
      </c>
      <c r="D1" s="443" t="s">
        <v>1100</v>
      </c>
      <c r="E1" s="966" t="s">
        <v>1101</v>
      </c>
      <c r="F1" s="966" t="s">
        <v>1102</v>
      </c>
      <c r="G1" s="966" t="s">
        <v>1103</v>
      </c>
      <c r="H1" s="966" t="s">
        <v>1104</v>
      </c>
      <c r="I1" s="967" t="s">
        <v>1104</v>
      </c>
      <c r="J1" s="966" t="s">
        <v>1105</v>
      </c>
      <c r="K1" s="966" t="s">
        <v>1106</v>
      </c>
      <c r="L1" s="444" t="s">
        <v>1107</v>
      </c>
      <c r="M1" s="444" t="s">
        <v>652</v>
      </c>
      <c r="N1" s="443" t="s">
        <v>975</v>
      </c>
      <c r="P1" s="966" t="s">
        <v>1097</v>
      </c>
      <c r="Q1" s="966" t="s">
        <v>1098</v>
      </c>
      <c r="R1" s="443" t="s">
        <v>1099</v>
      </c>
      <c r="S1" s="443" t="s">
        <v>1100</v>
      </c>
      <c r="T1" s="966" t="s">
        <v>1101</v>
      </c>
      <c r="U1" s="966" t="s">
        <v>1102</v>
      </c>
      <c r="V1" s="966" t="s">
        <v>1103</v>
      </c>
      <c r="W1" s="966" t="s">
        <v>1104</v>
      </c>
      <c r="X1" s="967" t="s">
        <v>1104</v>
      </c>
      <c r="Y1" s="966" t="s">
        <v>1105</v>
      </c>
      <c r="Z1" s="966" t="s">
        <v>1106</v>
      </c>
      <c r="AA1" s="444" t="s">
        <v>1107</v>
      </c>
      <c r="AB1" s="444" t="s">
        <v>652</v>
      </c>
      <c r="AC1" s="443" t="s">
        <v>975</v>
      </c>
    </row>
    <row r="2" spans="1:29">
      <c r="A2" s="559" t="s">
        <v>1574</v>
      </c>
      <c r="B2" s="560">
        <v>58</v>
      </c>
      <c r="C2" s="193">
        <v>42145</v>
      </c>
      <c r="D2" s="193">
        <v>42145</v>
      </c>
      <c r="E2" s="561" t="s">
        <v>195</v>
      </c>
      <c r="F2" s="562" t="s">
        <v>1110</v>
      </c>
      <c r="G2" s="563" t="s">
        <v>1111</v>
      </c>
      <c r="H2" s="562">
        <v>261</v>
      </c>
      <c r="I2" s="560">
        <v>261</v>
      </c>
      <c r="J2" s="562"/>
      <c r="K2" s="377" t="s">
        <v>1112</v>
      </c>
      <c r="L2" s="447">
        <v>6</v>
      </c>
      <c r="M2" s="447">
        <v>42</v>
      </c>
      <c r="N2" s="448">
        <v>42172</v>
      </c>
      <c r="P2" s="562" t="s">
        <v>1248</v>
      </c>
      <c r="Q2" s="560" t="s">
        <v>1249</v>
      </c>
      <c r="R2" s="193">
        <v>42241</v>
      </c>
      <c r="S2" s="193">
        <v>42241</v>
      </c>
      <c r="T2" s="561" t="s">
        <v>195</v>
      </c>
      <c r="U2" s="562" t="s">
        <v>1110</v>
      </c>
      <c r="V2" s="563" t="s">
        <v>1111</v>
      </c>
      <c r="W2" s="562">
        <v>628</v>
      </c>
      <c r="X2" s="560">
        <v>628</v>
      </c>
      <c r="Y2" s="562"/>
      <c r="Z2" s="377" t="s">
        <v>1112</v>
      </c>
      <c r="AA2" s="447">
        <v>6</v>
      </c>
      <c r="AB2" s="447">
        <v>42</v>
      </c>
      <c r="AC2" s="448">
        <v>42249</v>
      </c>
    </row>
    <row r="3" spans="1:29">
      <c r="A3" s="559" t="s">
        <v>1574</v>
      </c>
      <c r="B3" s="560">
        <v>58</v>
      </c>
      <c r="C3" s="193">
        <v>42145</v>
      </c>
      <c r="D3" s="193">
        <v>42145</v>
      </c>
      <c r="E3" s="562" t="s">
        <v>177</v>
      </c>
      <c r="F3" s="562" t="s">
        <v>1110</v>
      </c>
      <c r="G3" s="562" t="s">
        <v>1113</v>
      </c>
      <c r="H3" s="562">
        <v>38</v>
      </c>
      <c r="I3" s="560">
        <v>38</v>
      </c>
      <c r="J3" s="562"/>
      <c r="K3" s="562" t="s">
        <v>1112</v>
      </c>
      <c r="L3" s="447">
        <v>2</v>
      </c>
      <c r="M3" s="447">
        <v>8</v>
      </c>
      <c r="N3" s="448">
        <v>42172</v>
      </c>
      <c r="P3" s="562" t="s">
        <v>1248</v>
      </c>
      <c r="Q3" s="560" t="s">
        <v>1249</v>
      </c>
      <c r="R3" s="193">
        <v>42241</v>
      </c>
      <c r="S3" s="193">
        <v>42241</v>
      </c>
      <c r="T3" s="562" t="s">
        <v>177</v>
      </c>
      <c r="U3" s="562" t="s">
        <v>1110</v>
      </c>
      <c r="V3" s="562" t="s">
        <v>1113</v>
      </c>
      <c r="W3" s="562">
        <v>411</v>
      </c>
      <c r="X3" s="560">
        <v>411</v>
      </c>
      <c r="Y3" s="562"/>
      <c r="Z3" s="562" t="s">
        <v>1112</v>
      </c>
      <c r="AA3" s="447">
        <v>2</v>
      </c>
      <c r="AB3" s="447">
        <v>8</v>
      </c>
      <c r="AC3" s="448">
        <v>42242</v>
      </c>
    </row>
    <row r="4" spans="1:29">
      <c r="A4" s="559" t="s">
        <v>1574</v>
      </c>
      <c r="B4" s="560">
        <v>58</v>
      </c>
      <c r="C4" s="193">
        <v>42145</v>
      </c>
      <c r="D4" s="193">
        <v>42145</v>
      </c>
      <c r="E4" s="562" t="s">
        <v>223</v>
      </c>
      <c r="F4" s="562" t="s">
        <v>1110</v>
      </c>
      <c r="G4" s="562" t="s">
        <v>1114</v>
      </c>
      <c r="H4" s="562">
        <v>11</v>
      </c>
      <c r="I4" s="560">
        <v>11</v>
      </c>
      <c r="J4" s="562" t="s">
        <v>1115</v>
      </c>
      <c r="K4" s="377" t="s">
        <v>1112</v>
      </c>
      <c r="L4" s="449">
        <v>5</v>
      </c>
      <c r="M4" s="449">
        <v>35</v>
      </c>
      <c r="N4" s="448">
        <v>42172</v>
      </c>
      <c r="P4" s="562" t="s">
        <v>1248</v>
      </c>
      <c r="Q4" s="560" t="s">
        <v>1249</v>
      </c>
      <c r="R4" s="193">
        <v>42241</v>
      </c>
      <c r="S4" s="193">
        <v>42241</v>
      </c>
      <c r="T4" s="562" t="s">
        <v>223</v>
      </c>
      <c r="U4" s="562" t="s">
        <v>1110</v>
      </c>
      <c r="V4" s="562" t="s">
        <v>1114</v>
      </c>
      <c r="W4" s="562">
        <v>20</v>
      </c>
      <c r="X4" s="560">
        <v>20</v>
      </c>
      <c r="Y4" s="562" t="s">
        <v>1115</v>
      </c>
      <c r="Z4" s="377" t="s">
        <v>1112</v>
      </c>
      <c r="AA4" s="449">
        <v>5</v>
      </c>
      <c r="AB4" s="449">
        <v>35</v>
      </c>
      <c r="AC4" s="448">
        <v>42242</v>
      </c>
    </row>
    <row r="5" spans="1:29">
      <c r="A5" s="559" t="s">
        <v>1574</v>
      </c>
      <c r="B5" s="560">
        <v>58</v>
      </c>
      <c r="C5" s="193">
        <v>42145</v>
      </c>
      <c r="D5" s="193">
        <v>42145</v>
      </c>
      <c r="E5" s="562" t="s">
        <v>171</v>
      </c>
      <c r="F5" s="562" t="s">
        <v>1110</v>
      </c>
      <c r="G5" s="563" t="s">
        <v>1116</v>
      </c>
      <c r="H5" s="562">
        <v>64</v>
      </c>
      <c r="I5" s="560">
        <v>64</v>
      </c>
      <c r="J5" s="562"/>
      <c r="K5" s="562" t="s">
        <v>1112</v>
      </c>
      <c r="L5" s="447">
        <v>2</v>
      </c>
      <c r="M5" s="447">
        <v>8</v>
      </c>
      <c r="N5" s="448">
        <v>42172</v>
      </c>
      <c r="P5" s="562" t="s">
        <v>1248</v>
      </c>
      <c r="Q5" s="560" t="s">
        <v>1249</v>
      </c>
      <c r="R5" s="193">
        <v>42241</v>
      </c>
      <c r="S5" s="193">
        <v>42241</v>
      </c>
      <c r="T5" s="562" t="s">
        <v>171</v>
      </c>
      <c r="U5" s="562" t="s">
        <v>1110</v>
      </c>
      <c r="V5" s="563" t="s">
        <v>1116</v>
      </c>
      <c r="W5" s="562">
        <v>31</v>
      </c>
      <c r="X5" s="560">
        <v>31</v>
      </c>
      <c r="Y5" s="562"/>
      <c r="Z5" s="562" t="s">
        <v>1112</v>
      </c>
      <c r="AA5" s="447">
        <v>2</v>
      </c>
      <c r="AB5" s="447">
        <v>8</v>
      </c>
      <c r="AC5" s="448">
        <v>42249</v>
      </c>
    </row>
    <row r="6" spans="1:29">
      <c r="A6" s="559" t="s">
        <v>1576</v>
      </c>
      <c r="B6" s="560" t="s">
        <v>678</v>
      </c>
      <c r="C6" s="193">
        <v>42145</v>
      </c>
      <c r="D6" s="193">
        <v>42145</v>
      </c>
      <c r="E6" s="561" t="s">
        <v>195</v>
      </c>
      <c r="F6" s="562" t="s">
        <v>1110</v>
      </c>
      <c r="G6" s="563" t="s">
        <v>1111</v>
      </c>
      <c r="H6" s="562">
        <v>253</v>
      </c>
      <c r="I6" s="560">
        <v>253</v>
      </c>
      <c r="J6" s="562"/>
      <c r="K6" s="377" t="s">
        <v>1112</v>
      </c>
      <c r="L6" s="447">
        <v>6</v>
      </c>
      <c r="M6" s="447">
        <v>42</v>
      </c>
      <c r="N6" s="448">
        <v>42172</v>
      </c>
      <c r="P6" s="559" t="s">
        <v>1250</v>
      </c>
      <c r="Q6" s="560" t="s">
        <v>1251</v>
      </c>
      <c r="R6" s="193">
        <v>42241</v>
      </c>
      <c r="S6" s="193">
        <v>42241</v>
      </c>
      <c r="T6" s="561" t="s">
        <v>195</v>
      </c>
      <c r="U6" s="562" t="s">
        <v>1110</v>
      </c>
      <c r="V6" s="563" t="s">
        <v>1111</v>
      </c>
      <c r="W6" s="562">
        <v>2308</v>
      </c>
      <c r="X6" s="560">
        <v>2308</v>
      </c>
      <c r="Y6" s="562"/>
      <c r="Z6" s="377" t="s">
        <v>1112</v>
      </c>
      <c r="AA6" s="447">
        <v>6</v>
      </c>
      <c r="AB6" s="447">
        <v>42</v>
      </c>
      <c r="AC6" s="448">
        <v>42249</v>
      </c>
    </row>
    <row r="7" spans="1:29">
      <c r="A7" s="559" t="s">
        <v>1576</v>
      </c>
      <c r="B7" s="560" t="s">
        <v>678</v>
      </c>
      <c r="C7" s="193">
        <v>42145</v>
      </c>
      <c r="D7" s="193">
        <v>42145</v>
      </c>
      <c r="E7" s="562" t="s">
        <v>177</v>
      </c>
      <c r="F7" s="562" t="s">
        <v>1110</v>
      </c>
      <c r="G7" s="562" t="s">
        <v>1113</v>
      </c>
      <c r="H7" s="562">
        <v>47</v>
      </c>
      <c r="I7" s="560">
        <v>47</v>
      </c>
      <c r="J7" s="562"/>
      <c r="K7" s="562" t="s">
        <v>1112</v>
      </c>
      <c r="L7" s="447">
        <v>2</v>
      </c>
      <c r="M7" s="447">
        <v>8</v>
      </c>
      <c r="N7" s="448">
        <v>42172</v>
      </c>
      <c r="P7" s="559" t="s">
        <v>1250</v>
      </c>
      <c r="Q7" s="560" t="s">
        <v>1251</v>
      </c>
      <c r="R7" s="193">
        <v>42241</v>
      </c>
      <c r="S7" s="193">
        <v>42241</v>
      </c>
      <c r="T7" s="562" t="s">
        <v>177</v>
      </c>
      <c r="U7" s="562" t="s">
        <v>1110</v>
      </c>
      <c r="V7" s="562" t="s">
        <v>1113</v>
      </c>
      <c r="W7" s="562">
        <v>2015</v>
      </c>
      <c r="X7" s="560">
        <v>2015</v>
      </c>
      <c r="Y7" s="562"/>
      <c r="Z7" s="562" t="s">
        <v>1112</v>
      </c>
      <c r="AA7" s="447">
        <v>2</v>
      </c>
      <c r="AB7" s="447">
        <v>8</v>
      </c>
      <c r="AC7" s="448">
        <v>42257</v>
      </c>
    </row>
    <row r="8" spans="1:29">
      <c r="A8" s="559" t="s">
        <v>1576</v>
      </c>
      <c r="B8" s="560" t="s">
        <v>678</v>
      </c>
      <c r="C8" s="193">
        <v>42145</v>
      </c>
      <c r="D8" s="193">
        <v>42145</v>
      </c>
      <c r="E8" s="562" t="s">
        <v>223</v>
      </c>
      <c r="F8" s="562" t="s">
        <v>1110</v>
      </c>
      <c r="G8" s="562" t="s">
        <v>1114</v>
      </c>
      <c r="H8" s="562">
        <v>11</v>
      </c>
      <c r="I8" s="560">
        <v>11</v>
      </c>
      <c r="J8" s="562" t="s">
        <v>1115</v>
      </c>
      <c r="K8" s="377" t="s">
        <v>1112</v>
      </c>
      <c r="L8" s="449">
        <v>5</v>
      </c>
      <c r="M8" s="449">
        <v>35</v>
      </c>
      <c r="N8" s="448">
        <v>42172</v>
      </c>
      <c r="P8" s="559" t="s">
        <v>1250</v>
      </c>
      <c r="Q8" s="560" t="s">
        <v>1251</v>
      </c>
      <c r="R8" s="193">
        <v>42241</v>
      </c>
      <c r="S8" s="193">
        <v>42241</v>
      </c>
      <c r="T8" s="562" t="s">
        <v>223</v>
      </c>
      <c r="U8" s="562" t="s">
        <v>1110</v>
      </c>
      <c r="V8" s="562" t="s">
        <v>1114</v>
      </c>
      <c r="W8" s="562">
        <v>21</v>
      </c>
      <c r="X8" s="560">
        <v>21</v>
      </c>
      <c r="Y8" s="562" t="s">
        <v>1115</v>
      </c>
      <c r="Z8" s="377" t="s">
        <v>1112</v>
      </c>
      <c r="AA8" s="449">
        <v>5</v>
      </c>
      <c r="AB8" s="449">
        <v>35</v>
      </c>
      <c r="AC8" s="448">
        <v>42242</v>
      </c>
    </row>
    <row r="9" spans="1:29">
      <c r="A9" s="559" t="s">
        <v>1576</v>
      </c>
      <c r="B9" s="560" t="s">
        <v>678</v>
      </c>
      <c r="C9" s="193">
        <v>42145</v>
      </c>
      <c r="D9" s="193">
        <v>42145</v>
      </c>
      <c r="E9" s="562" t="s">
        <v>171</v>
      </c>
      <c r="F9" s="562" t="s">
        <v>1110</v>
      </c>
      <c r="G9" s="563" t="s">
        <v>1116</v>
      </c>
      <c r="H9" s="562">
        <v>39</v>
      </c>
      <c r="I9" s="560">
        <v>39</v>
      </c>
      <c r="J9" s="562"/>
      <c r="K9" s="562" t="s">
        <v>1112</v>
      </c>
      <c r="L9" s="447">
        <v>2</v>
      </c>
      <c r="M9" s="447">
        <v>8</v>
      </c>
      <c r="N9" s="448">
        <v>42172</v>
      </c>
      <c r="P9" s="559" t="s">
        <v>1250</v>
      </c>
      <c r="Q9" s="560" t="s">
        <v>1251</v>
      </c>
      <c r="R9" s="193">
        <v>42241</v>
      </c>
      <c r="S9" s="193">
        <v>42241</v>
      </c>
      <c r="T9" s="562" t="s">
        <v>171</v>
      </c>
      <c r="U9" s="562" t="s">
        <v>1110</v>
      </c>
      <c r="V9" s="563" t="s">
        <v>1116</v>
      </c>
      <c r="W9" s="562">
        <v>13</v>
      </c>
      <c r="X9" s="560">
        <v>13</v>
      </c>
      <c r="Y9" s="562"/>
      <c r="Z9" s="562" t="s">
        <v>1112</v>
      </c>
      <c r="AA9" s="447">
        <v>2</v>
      </c>
      <c r="AB9" s="447">
        <v>8</v>
      </c>
      <c r="AC9" s="448">
        <v>42249</v>
      </c>
    </row>
    <row r="10" spans="1:29">
      <c r="A10" s="562" t="s">
        <v>1577</v>
      </c>
      <c r="B10" s="560" t="s">
        <v>677</v>
      </c>
      <c r="C10" s="193">
        <v>42145</v>
      </c>
      <c r="D10" s="193">
        <v>42145</v>
      </c>
      <c r="E10" s="561" t="s">
        <v>195</v>
      </c>
      <c r="F10" s="562" t="s">
        <v>1110</v>
      </c>
      <c r="G10" s="563" t="s">
        <v>1111</v>
      </c>
      <c r="H10" s="562">
        <v>311</v>
      </c>
      <c r="I10" s="560">
        <v>311</v>
      </c>
      <c r="J10" s="562"/>
      <c r="K10" s="377" t="s">
        <v>1112</v>
      </c>
      <c r="L10" s="447">
        <v>6</v>
      </c>
      <c r="M10" s="447">
        <v>42</v>
      </c>
      <c r="N10" s="448">
        <v>42172</v>
      </c>
      <c r="P10" s="562" t="s">
        <v>1252</v>
      </c>
      <c r="Q10" s="560" t="s">
        <v>1253</v>
      </c>
      <c r="R10" s="193">
        <v>42241</v>
      </c>
      <c r="S10" s="193">
        <v>42241</v>
      </c>
      <c r="T10" s="561" t="s">
        <v>195</v>
      </c>
      <c r="U10" s="562" t="s">
        <v>1110</v>
      </c>
      <c r="V10" s="563" t="s">
        <v>1111</v>
      </c>
      <c r="W10" s="562">
        <v>2467</v>
      </c>
      <c r="X10" s="560">
        <v>2467</v>
      </c>
      <c r="Y10" s="562"/>
      <c r="Z10" s="377" t="s">
        <v>1112</v>
      </c>
      <c r="AA10" s="447">
        <v>6</v>
      </c>
      <c r="AB10" s="447">
        <v>42</v>
      </c>
      <c r="AC10" s="448">
        <v>42249</v>
      </c>
    </row>
    <row r="11" spans="1:29">
      <c r="A11" s="562" t="s">
        <v>1577</v>
      </c>
      <c r="B11" s="560" t="s">
        <v>677</v>
      </c>
      <c r="C11" s="193">
        <v>42145</v>
      </c>
      <c r="D11" s="193">
        <v>42145</v>
      </c>
      <c r="E11" s="562" t="s">
        <v>177</v>
      </c>
      <c r="F11" s="562" t="s">
        <v>1110</v>
      </c>
      <c r="G11" s="562" t="s">
        <v>1113</v>
      </c>
      <c r="H11" s="562">
        <v>99</v>
      </c>
      <c r="I11" s="560">
        <v>99</v>
      </c>
      <c r="J11" s="562"/>
      <c r="K11" s="562" t="s">
        <v>1112</v>
      </c>
      <c r="L11" s="447">
        <v>2</v>
      </c>
      <c r="M11" s="447">
        <v>8</v>
      </c>
      <c r="N11" s="448">
        <v>42172</v>
      </c>
      <c r="P11" s="562" t="s">
        <v>1252</v>
      </c>
      <c r="Q11" s="560" t="s">
        <v>1253</v>
      </c>
      <c r="R11" s="193">
        <v>42241</v>
      </c>
      <c r="S11" s="193">
        <v>42241</v>
      </c>
      <c r="T11" s="562" t="s">
        <v>177</v>
      </c>
      <c r="U11" s="562" t="s">
        <v>1110</v>
      </c>
      <c r="V11" s="562" t="s">
        <v>1113</v>
      </c>
      <c r="W11" s="562">
        <v>2200</v>
      </c>
      <c r="X11" s="560">
        <v>2200</v>
      </c>
      <c r="Y11" s="562"/>
      <c r="Z11" s="562" t="s">
        <v>1112</v>
      </c>
      <c r="AA11" s="447">
        <v>2</v>
      </c>
      <c r="AB11" s="447">
        <v>8</v>
      </c>
      <c r="AC11" s="448">
        <v>42257</v>
      </c>
    </row>
    <row r="12" spans="1:29">
      <c r="A12" s="562" t="s">
        <v>1577</v>
      </c>
      <c r="B12" s="560" t="s">
        <v>677</v>
      </c>
      <c r="C12" s="193">
        <v>42145</v>
      </c>
      <c r="D12" s="193">
        <v>42145</v>
      </c>
      <c r="E12" s="562" t="s">
        <v>223</v>
      </c>
      <c r="F12" s="562" t="s">
        <v>1110</v>
      </c>
      <c r="G12" s="562" t="s">
        <v>1114</v>
      </c>
      <c r="H12" s="562">
        <v>29</v>
      </c>
      <c r="I12" s="560">
        <v>29</v>
      </c>
      <c r="J12" s="562" t="s">
        <v>1115</v>
      </c>
      <c r="K12" s="377" t="s">
        <v>1112</v>
      </c>
      <c r="L12" s="449">
        <v>5</v>
      </c>
      <c r="M12" s="449">
        <v>35</v>
      </c>
      <c r="N12" s="448">
        <v>42172</v>
      </c>
      <c r="P12" s="562" t="s">
        <v>1252</v>
      </c>
      <c r="Q12" s="560" t="s">
        <v>1253</v>
      </c>
      <c r="R12" s="193">
        <v>42241</v>
      </c>
      <c r="S12" s="193">
        <v>42241</v>
      </c>
      <c r="T12" s="562" t="s">
        <v>223</v>
      </c>
      <c r="U12" s="562" t="s">
        <v>1110</v>
      </c>
      <c r="V12" s="562" t="s">
        <v>1114</v>
      </c>
      <c r="W12" s="562">
        <v>18</v>
      </c>
      <c r="X12" s="560">
        <v>18</v>
      </c>
      <c r="Y12" s="562" t="s">
        <v>1115</v>
      </c>
      <c r="Z12" s="377" t="s">
        <v>1112</v>
      </c>
      <c r="AA12" s="449">
        <v>5</v>
      </c>
      <c r="AB12" s="449">
        <v>35</v>
      </c>
      <c r="AC12" s="448">
        <v>42242</v>
      </c>
    </row>
    <row r="13" spans="1:29">
      <c r="A13" s="562" t="s">
        <v>1577</v>
      </c>
      <c r="B13" s="560" t="s">
        <v>677</v>
      </c>
      <c r="C13" s="193">
        <v>42145</v>
      </c>
      <c r="D13" s="193">
        <v>42145</v>
      </c>
      <c r="E13" s="562" t="s">
        <v>171</v>
      </c>
      <c r="F13" s="562" t="s">
        <v>1110</v>
      </c>
      <c r="G13" s="563" t="s">
        <v>1116</v>
      </c>
      <c r="H13" s="562">
        <v>58</v>
      </c>
      <c r="I13" s="560">
        <v>58</v>
      </c>
      <c r="J13" s="562"/>
      <c r="K13" s="562" t="s">
        <v>1112</v>
      </c>
      <c r="L13" s="447">
        <v>2</v>
      </c>
      <c r="M13" s="447">
        <v>8</v>
      </c>
      <c r="N13" s="448">
        <v>42172</v>
      </c>
      <c r="P13" s="562" t="s">
        <v>1252</v>
      </c>
      <c r="Q13" s="560" t="s">
        <v>1253</v>
      </c>
      <c r="R13" s="193">
        <v>42241</v>
      </c>
      <c r="S13" s="193">
        <v>42241</v>
      </c>
      <c r="T13" s="562" t="s">
        <v>171</v>
      </c>
      <c r="U13" s="562" t="s">
        <v>1110</v>
      </c>
      <c r="V13" s="563" t="s">
        <v>1116</v>
      </c>
      <c r="W13" s="562">
        <v>25</v>
      </c>
      <c r="X13" s="560">
        <v>25</v>
      </c>
      <c r="Y13" s="562"/>
      <c r="Z13" s="562" t="s">
        <v>1112</v>
      </c>
      <c r="AA13" s="447">
        <v>2</v>
      </c>
      <c r="AB13" s="447">
        <v>8</v>
      </c>
      <c r="AC13" s="448">
        <v>42249</v>
      </c>
    </row>
    <row r="14" spans="1:29" s="710" customFormat="1">
      <c r="A14" s="559" t="s">
        <v>1575</v>
      </c>
      <c r="B14" s="560">
        <v>25</v>
      </c>
      <c r="C14" s="193">
        <v>42145</v>
      </c>
      <c r="D14" s="193">
        <v>42145</v>
      </c>
      <c r="E14" s="561" t="s">
        <v>195</v>
      </c>
      <c r="F14" s="562" t="s">
        <v>1110</v>
      </c>
      <c r="G14" s="563" t="s">
        <v>1111</v>
      </c>
      <c r="H14" s="562">
        <v>263</v>
      </c>
      <c r="I14" s="560">
        <v>263</v>
      </c>
      <c r="J14" s="562"/>
      <c r="K14" s="377" t="s">
        <v>1112</v>
      </c>
      <c r="L14" s="447">
        <v>6</v>
      </c>
      <c r="M14" s="447">
        <v>42</v>
      </c>
      <c r="N14" s="448">
        <v>42172</v>
      </c>
      <c r="P14" s="562"/>
      <c r="Q14" s="560"/>
      <c r="R14" s="193"/>
      <c r="S14" s="193"/>
      <c r="T14" s="562"/>
      <c r="U14" s="562"/>
      <c r="V14" s="563"/>
      <c r="W14" s="562"/>
      <c r="X14" s="560"/>
      <c r="Y14" s="562"/>
      <c r="Z14" s="562"/>
      <c r="AA14" s="447"/>
      <c r="AB14" s="447"/>
      <c r="AC14" s="448"/>
    </row>
    <row r="15" spans="1:29" s="710" customFormat="1">
      <c r="A15" s="559" t="s">
        <v>1575</v>
      </c>
      <c r="B15" s="560">
        <v>25</v>
      </c>
      <c r="C15" s="193">
        <v>42145</v>
      </c>
      <c r="D15" s="193">
        <v>42145</v>
      </c>
      <c r="E15" s="562" t="s">
        <v>177</v>
      </c>
      <c r="F15" s="562" t="s">
        <v>1110</v>
      </c>
      <c r="G15" s="562" t="s">
        <v>1113</v>
      </c>
      <c r="H15" s="562">
        <v>25</v>
      </c>
      <c r="I15" s="560">
        <v>25</v>
      </c>
      <c r="J15" s="562"/>
      <c r="K15" s="562" t="s">
        <v>1112</v>
      </c>
      <c r="L15" s="447">
        <v>2</v>
      </c>
      <c r="M15" s="447">
        <v>8</v>
      </c>
      <c r="N15" s="448">
        <v>42172</v>
      </c>
      <c r="P15" s="562"/>
      <c r="Q15" s="560"/>
      <c r="R15" s="193"/>
      <c r="S15" s="193"/>
      <c r="T15" s="562"/>
      <c r="U15" s="562"/>
      <c r="V15" s="563"/>
      <c r="W15" s="562"/>
      <c r="X15" s="560"/>
      <c r="Y15" s="562"/>
      <c r="Z15" s="562"/>
      <c r="AA15" s="447"/>
      <c r="AB15" s="447"/>
      <c r="AC15" s="448"/>
    </row>
    <row r="16" spans="1:29" s="710" customFormat="1">
      <c r="A16" s="559" t="s">
        <v>1575</v>
      </c>
      <c r="B16" s="560">
        <v>25</v>
      </c>
      <c r="C16" s="193">
        <v>42145</v>
      </c>
      <c r="D16" s="193">
        <v>42145</v>
      </c>
      <c r="E16" s="562" t="s">
        <v>223</v>
      </c>
      <c r="F16" s="562" t="s">
        <v>1110</v>
      </c>
      <c r="G16" s="562" t="s">
        <v>1114</v>
      </c>
      <c r="H16" s="562">
        <v>26</v>
      </c>
      <c r="I16" s="560">
        <v>26</v>
      </c>
      <c r="J16" s="562" t="s">
        <v>1115</v>
      </c>
      <c r="K16" s="377" t="s">
        <v>1112</v>
      </c>
      <c r="L16" s="449">
        <v>5</v>
      </c>
      <c r="M16" s="449">
        <v>35</v>
      </c>
      <c r="N16" s="448">
        <v>42172</v>
      </c>
      <c r="P16" s="562"/>
      <c r="Q16" s="560"/>
      <c r="R16" s="193"/>
      <c r="S16" s="193"/>
      <c r="T16" s="562"/>
      <c r="U16" s="562"/>
      <c r="V16" s="563"/>
      <c r="W16" s="562"/>
      <c r="X16" s="560"/>
      <c r="Y16" s="562"/>
      <c r="Z16" s="562"/>
      <c r="AA16" s="447"/>
      <c r="AB16" s="447"/>
      <c r="AC16" s="448"/>
    </row>
    <row r="17" spans="1:29" s="710" customFormat="1">
      <c r="A17" s="559" t="s">
        <v>1575</v>
      </c>
      <c r="B17" s="560">
        <v>25</v>
      </c>
      <c r="C17" s="193">
        <v>42145</v>
      </c>
      <c r="D17" s="193">
        <v>42145</v>
      </c>
      <c r="E17" s="562" t="s">
        <v>171</v>
      </c>
      <c r="F17" s="562" t="s">
        <v>1110</v>
      </c>
      <c r="G17" s="563" t="s">
        <v>1116</v>
      </c>
      <c r="H17" s="562">
        <v>58</v>
      </c>
      <c r="I17" s="560">
        <v>58</v>
      </c>
      <c r="J17" s="562"/>
      <c r="K17" s="562" t="s">
        <v>1112</v>
      </c>
      <c r="L17" s="447">
        <v>2</v>
      </c>
      <c r="M17" s="447">
        <v>8</v>
      </c>
      <c r="N17" s="448">
        <v>42172</v>
      </c>
      <c r="P17" s="562"/>
      <c r="Q17" s="560"/>
      <c r="R17" s="193"/>
      <c r="S17" s="193"/>
      <c r="T17" s="562"/>
      <c r="U17" s="562"/>
      <c r="V17" s="563"/>
      <c r="W17" s="562"/>
      <c r="X17" s="560"/>
      <c r="Y17" s="562"/>
      <c r="Z17" s="562"/>
      <c r="AA17" s="447"/>
      <c r="AB17" s="447"/>
      <c r="AC17" s="448"/>
    </row>
    <row r="18" spans="1:29">
      <c r="A18" s="559" t="s">
        <v>1590</v>
      </c>
      <c r="B18" s="560">
        <v>77</v>
      </c>
      <c r="C18" s="193">
        <v>42145</v>
      </c>
      <c r="D18" s="193">
        <v>42145</v>
      </c>
      <c r="E18" s="561" t="s">
        <v>195</v>
      </c>
      <c r="F18" s="562" t="s">
        <v>1110</v>
      </c>
      <c r="G18" s="563" t="s">
        <v>1111</v>
      </c>
      <c r="H18" s="562">
        <v>677</v>
      </c>
      <c r="I18" s="560">
        <v>677</v>
      </c>
      <c r="J18" s="562"/>
      <c r="K18" s="377" t="s">
        <v>1112</v>
      </c>
      <c r="L18" s="447">
        <v>6</v>
      </c>
      <c r="M18" s="447">
        <v>42</v>
      </c>
      <c r="N18" s="448">
        <v>42152</v>
      </c>
      <c r="P18" s="559" t="s">
        <v>1254</v>
      </c>
      <c r="Q18" s="560" t="s">
        <v>1255</v>
      </c>
      <c r="R18" s="193">
        <v>42241</v>
      </c>
      <c r="S18" s="193">
        <v>42241</v>
      </c>
      <c r="T18" s="561" t="s">
        <v>195</v>
      </c>
      <c r="U18" s="562" t="s">
        <v>1110</v>
      </c>
      <c r="V18" s="563" t="s">
        <v>1111</v>
      </c>
      <c r="W18" s="562">
        <v>2344</v>
      </c>
      <c r="X18" s="560">
        <v>2344</v>
      </c>
      <c r="Y18" s="562"/>
      <c r="Z18" s="377" t="s">
        <v>1112</v>
      </c>
      <c r="AA18" s="447">
        <v>6</v>
      </c>
      <c r="AB18" s="447">
        <v>42</v>
      </c>
      <c r="AC18" s="448">
        <v>42249</v>
      </c>
    </row>
    <row r="19" spans="1:29">
      <c r="A19" s="559" t="s">
        <v>1590</v>
      </c>
      <c r="B19" s="560">
        <v>77</v>
      </c>
      <c r="C19" s="193">
        <v>42145</v>
      </c>
      <c r="D19" s="193">
        <v>42145</v>
      </c>
      <c r="E19" s="562" t="s">
        <v>171</v>
      </c>
      <c r="F19" s="562" t="s">
        <v>1110</v>
      </c>
      <c r="G19" s="563" t="s">
        <v>1116</v>
      </c>
      <c r="H19" s="562">
        <v>81</v>
      </c>
      <c r="I19" s="560">
        <v>81</v>
      </c>
      <c r="J19" s="562"/>
      <c r="K19" s="562" t="s">
        <v>1112</v>
      </c>
      <c r="L19" s="447">
        <v>2</v>
      </c>
      <c r="M19" s="447">
        <v>8</v>
      </c>
      <c r="N19" s="448">
        <v>42152</v>
      </c>
      <c r="P19" s="559" t="s">
        <v>1254</v>
      </c>
      <c r="Q19" s="560" t="s">
        <v>1255</v>
      </c>
      <c r="R19" s="193">
        <v>42241</v>
      </c>
      <c r="S19" s="193">
        <v>42241</v>
      </c>
      <c r="T19" s="562" t="s">
        <v>177</v>
      </c>
      <c r="U19" s="562" t="s">
        <v>1110</v>
      </c>
      <c r="V19" s="562" t="s">
        <v>1113</v>
      </c>
      <c r="W19" s="562">
        <v>2085</v>
      </c>
      <c r="X19" s="560">
        <v>2085</v>
      </c>
      <c r="Y19" s="562"/>
      <c r="Z19" s="562" t="s">
        <v>1112</v>
      </c>
      <c r="AA19" s="447">
        <v>2</v>
      </c>
      <c r="AB19" s="447">
        <v>8</v>
      </c>
      <c r="AC19" s="448">
        <v>42257</v>
      </c>
    </row>
    <row r="20" spans="1:29">
      <c r="A20" s="559" t="s">
        <v>1591</v>
      </c>
      <c r="B20" s="560">
        <v>78</v>
      </c>
      <c r="C20" s="193">
        <v>42145</v>
      </c>
      <c r="D20" s="193">
        <v>42145</v>
      </c>
      <c r="E20" s="561" t="s">
        <v>195</v>
      </c>
      <c r="F20" s="562" t="s">
        <v>1110</v>
      </c>
      <c r="G20" s="563" t="s">
        <v>1111</v>
      </c>
      <c r="H20" s="562">
        <v>736</v>
      </c>
      <c r="I20" s="560">
        <v>736</v>
      </c>
      <c r="J20" s="562"/>
      <c r="K20" s="377" t="s">
        <v>1112</v>
      </c>
      <c r="L20" s="447">
        <v>6</v>
      </c>
      <c r="M20" s="447">
        <v>42</v>
      </c>
      <c r="N20" s="448">
        <v>42152</v>
      </c>
      <c r="P20" s="559" t="s">
        <v>1254</v>
      </c>
      <c r="Q20" s="560" t="s">
        <v>1255</v>
      </c>
      <c r="R20" s="193">
        <v>42241</v>
      </c>
      <c r="S20" s="193">
        <v>42241</v>
      </c>
      <c r="T20" s="562" t="s">
        <v>223</v>
      </c>
      <c r="U20" s="562" t="s">
        <v>1110</v>
      </c>
      <c r="V20" s="562" t="s">
        <v>1114</v>
      </c>
      <c r="W20" s="562">
        <v>19</v>
      </c>
      <c r="X20" s="560">
        <v>19</v>
      </c>
      <c r="Y20" s="562" t="s">
        <v>1115</v>
      </c>
      <c r="Z20" s="377" t="s">
        <v>1112</v>
      </c>
      <c r="AA20" s="449">
        <v>5</v>
      </c>
      <c r="AB20" s="449">
        <v>35</v>
      </c>
      <c r="AC20" s="448">
        <v>42242</v>
      </c>
    </row>
    <row r="21" spans="1:29">
      <c r="A21" s="559" t="s">
        <v>1591</v>
      </c>
      <c r="B21" s="560">
        <v>78</v>
      </c>
      <c r="C21" s="193">
        <v>42145</v>
      </c>
      <c r="D21" s="193">
        <v>42145</v>
      </c>
      <c r="E21" s="562" t="s">
        <v>171</v>
      </c>
      <c r="F21" s="562" t="s">
        <v>1110</v>
      </c>
      <c r="G21" s="563" t="s">
        <v>1116</v>
      </c>
      <c r="H21" s="562">
        <v>69</v>
      </c>
      <c r="I21" s="560">
        <v>69</v>
      </c>
      <c r="J21" s="562"/>
      <c r="K21" s="562" t="s">
        <v>1112</v>
      </c>
      <c r="L21" s="447">
        <v>2</v>
      </c>
      <c r="M21" s="447">
        <v>8</v>
      </c>
      <c r="N21" s="448">
        <v>42152</v>
      </c>
      <c r="P21" s="559" t="s">
        <v>1254</v>
      </c>
      <c r="Q21" s="560" t="s">
        <v>1255</v>
      </c>
      <c r="R21" s="193">
        <v>42241</v>
      </c>
      <c r="S21" s="193">
        <v>42241</v>
      </c>
      <c r="T21" s="562" t="s">
        <v>171</v>
      </c>
      <c r="U21" s="562" t="s">
        <v>1110</v>
      </c>
      <c r="V21" s="563" t="s">
        <v>1116</v>
      </c>
      <c r="W21" s="562">
        <v>24</v>
      </c>
      <c r="X21" s="560">
        <v>24</v>
      </c>
      <c r="Y21" s="562"/>
      <c r="Z21" s="562" t="s">
        <v>1112</v>
      </c>
      <c r="AA21" s="447">
        <v>2</v>
      </c>
      <c r="AB21" s="447">
        <v>8</v>
      </c>
      <c r="AC21" s="448">
        <v>42249</v>
      </c>
    </row>
    <row r="22" spans="1:29">
      <c r="A22" s="559" t="s">
        <v>1578</v>
      </c>
      <c r="B22" s="560">
        <v>5</v>
      </c>
      <c r="C22" s="193">
        <v>42145</v>
      </c>
      <c r="D22" s="193">
        <v>42145</v>
      </c>
      <c r="E22" s="561" t="s">
        <v>195</v>
      </c>
      <c r="F22" s="562" t="s">
        <v>1110</v>
      </c>
      <c r="G22" s="563" t="s">
        <v>1111</v>
      </c>
      <c r="H22" s="562">
        <v>442</v>
      </c>
      <c r="I22" s="560">
        <v>442</v>
      </c>
      <c r="J22" s="562"/>
      <c r="K22" s="377" t="s">
        <v>1112</v>
      </c>
      <c r="L22" s="447">
        <v>6</v>
      </c>
      <c r="M22" s="447">
        <v>42</v>
      </c>
      <c r="N22" s="448">
        <v>42172</v>
      </c>
      <c r="P22" s="559" t="s">
        <v>1256</v>
      </c>
      <c r="Q22" s="560" t="s">
        <v>1257</v>
      </c>
      <c r="R22" s="193">
        <v>42241</v>
      </c>
      <c r="S22" s="193">
        <v>42241</v>
      </c>
      <c r="T22" s="561" t="s">
        <v>195</v>
      </c>
      <c r="U22" s="562" t="s">
        <v>1110</v>
      </c>
      <c r="V22" s="563" t="s">
        <v>1111</v>
      </c>
      <c r="W22" s="562">
        <v>1527</v>
      </c>
      <c r="X22" s="560">
        <v>1527</v>
      </c>
      <c r="Y22" s="562"/>
      <c r="Z22" s="377" t="s">
        <v>1112</v>
      </c>
      <c r="AA22" s="447">
        <v>6</v>
      </c>
      <c r="AB22" s="447">
        <v>42</v>
      </c>
      <c r="AC22" s="448">
        <v>42249</v>
      </c>
    </row>
    <row r="23" spans="1:29">
      <c r="A23" s="559" t="s">
        <v>1578</v>
      </c>
      <c r="B23" s="560">
        <v>5</v>
      </c>
      <c r="C23" s="193">
        <v>42145</v>
      </c>
      <c r="D23" s="193">
        <v>42145</v>
      </c>
      <c r="E23" s="562" t="s">
        <v>177</v>
      </c>
      <c r="F23" s="562" t="s">
        <v>1110</v>
      </c>
      <c r="G23" s="562" t="s">
        <v>1113</v>
      </c>
      <c r="H23" s="562">
        <v>214</v>
      </c>
      <c r="I23" s="560">
        <v>214</v>
      </c>
      <c r="J23" s="562"/>
      <c r="K23" s="562" t="s">
        <v>1112</v>
      </c>
      <c r="L23" s="447">
        <v>2</v>
      </c>
      <c r="M23" s="447">
        <v>8</v>
      </c>
      <c r="N23" s="448">
        <v>42172</v>
      </c>
      <c r="P23" s="559" t="s">
        <v>1256</v>
      </c>
      <c r="Q23" s="560" t="s">
        <v>1257</v>
      </c>
      <c r="R23" s="193">
        <v>42241</v>
      </c>
      <c r="S23" s="193">
        <v>42241</v>
      </c>
      <c r="T23" s="562" t="s">
        <v>177</v>
      </c>
      <c r="U23" s="562" t="s">
        <v>1110</v>
      </c>
      <c r="V23" s="562" t="s">
        <v>1113</v>
      </c>
      <c r="W23" s="562">
        <v>1305</v>
      </c>
      <c r="X23" s="560">
        <v>1305</v>
      </c>
      <c r="Y23" s="562"/>
      <c r="Z23" s="562" t="s">
        <v>1112</v>
      </c>
      <c r="AA23" s="447">
        <v>2</v>
      </c>
      <c r="AB23" s="447">
        <v>8</v>
      </c>
      <c r="AC23" s="448">
        <v>42242</v>
      </c>
    </row>
    <row r="24" spans="1:29">
      <c r="A24" s="559" t="s">
        <v>1578</v>
      </c>
      <c r="B24" s="560">
        <v>5</v>
      </c>
      <c r="C24" s="193">
        <v>42145</v>
      </c>
      <c r="D24" s="193">
        <v>42145</v>
      </c>
      <c r="E24" s="562" t="s">
        <v>223</v>
      </c>
      <c r="F24" s="562" t="s">
        <v>1110</v>
      </c>
      <c r="G24" s="562" t="s">
        <v>1114</v>
      </c>
      <c r="H24" s="562">
        <v>36</v>
      </c>
      <c r="I24" s="560">
        <v>36</v>
      </c>
      <c r="J24" s="562"/>
      <c r="K24" s="377" t="s">
        <v>1112</v>
      </c>
      <c r="L24" s="449">
        <v>5</v>
      </c>
      <c r="M24" s="449">
        <v>35</v>
      </c>
      <c r="N24" s="448">
        <v>42172</v>
      </c>
      <c r="P24" s="559" t="s">
        <v>1256</v>
      </c>
      <c r="Q24" s="560" t="s">
        <v>1257</v>
      </c>
      <c r="R24" s="193">
        <v>42241</v>
      </c>
      <c r="S24" s="193">
        <v>42241</v>
      </c>
      <c r="T24" s="562" t="s">
        <v>223</v>
      </c>
      <c r="U24" s="562" t="s">
        <v>1110</v>
      </c>
      <c r="V24" s="562" t="s">
        <v>1114</v>
      </c>
      <c r="W24" s="562">
        <v>11</v>
      </c>
      <c r="X24" s="560">
        <v>11</v>
      </c>
      <c r="Y24" s="562" t="s">
        <v>1115</v>
      </c>
      <c r="Z24" s="377" t="s">
        <v>1112</v>
      </c>
      <c r="AA24" s="449">
        <v>5</v>
      </c>
      <c r="AB24" s="449">
        <v>35</v>
      </c>
      <c r="AC24" s="448">
        <v>42242</v>
      </c>
    </row>
    <row r="25" spans="1:29">
      <c r="A25" s="559" t="s">
        <v>1578</v>
      </c>
      <c r="B25" s="560">
        <v>5</v>
      </c>
      <c r="C25" s="193">
        <v>42145</v>
      </c>
      <c r="D25" s="193">
        <v>42145</v>
      </c>
      <c r="E25" s="562" t="s">
        <v>171</v>
      </c>
      <c r="F25" s="562" t="s">
        <v>1110</v>
      </c>
      <c r="G25" s="563" t="s">
        <v>1116</v>
      </c>
      <c r="H25" s="562">
        <v>58</v>
      </c>
      <c r="I25" s="560">
        <v>58</v>
      </c>
      <c r="J25" s="562"/>
      <c r="K25" s="562" t="s">
        <v>1112</v>
      </c>
      <c r="L25" s="447">
        <v>2</v>
      </c>
      <c r="M25" s="447">
        <v>8</v>
      </c>
      <c r="N25" s="448">
        <v>42172</v>
      </c>
      <c r="P25" s="559" t="s">
        <v>1256</v>
      </c>
      <c r="Q25" s="560" t="s">
        <v>1257</v>
      </c>
      <c r="R25" s="193">
        <v>42241</v>
      </c>
      <c r="S25" s="193">
        <v>42241</v>
      </c>
      <c r="T25" s="562" t="s">
        <v>171</v>
      </c>
      <c r="U25" s="562" t="s">
        <v>1110</v>
      </c>
      <c r="V25" s="563" t="s">
        <v>1116</v>
      </c>
      <c r="W25" s="562">
        <v>16</v>
      </c>
      <c r="X25" s="560">
        <v>16</v>
      </c>
      <c r="Y25" s="562"/>
      <c r="Z25" s="562" t="s">
        <v>1112</v>
      </c>
      <c r="AA25" s="447">
        <v>2</v>
      </c>
      <c r="AB25" s="447">
        <v>8</v>
      </c>
      <c r="AC25" s="448">
        <v>42249</v>
      </c>
    </row>
    <row r="26" spans="1:29" s="710" customFormat="1">
      <c r="A26" s="559" t="s">
        <v>1579</v>
      </c>
      <c r="B26" s="560" t="s">
        <v>302</v>
      </c>
      <c r="C26" s="193">
        <v>42145</v>
      </c>
      <c r="D26" s="193">
        <v>42145</v>
      </c>
      <c r="E26" s="561" t="s">
        <v>195</v>
      </c>
      <c r="F26" s="562" t="s">
        <v>1110</v>
      </c>
      <c r="G26" s="563" t="s">
        <v>1111</v>
      </c>
      <c r="H26" s="562">
        <v>622</v>
      </c>
      <c r="I26" s="560">
        <v>622</v>
      </c>
      <c r="J26" s="562"/>
      <c r="K26" s="377" t="s">
        <v>1112</v>
      </c>
      <c r="L26" s="447">
        <v>6</v>
      </c>
      <c r="M26" s="447">
        <v>42</v>
      </c>
      <c r="N26" s="448">
        <v>42172</v>
      </c>
      <c r="P26" s="562" t="s">
        <v>1258</v>
      </c>
      <c r="Q26" s="560" t="s">
        <v>1259</v>
      </c>
      <c r="R26" s="193">
        <v>42241</v>
      </c>
      <c r="S26" s="193">
        <v>42241</v>
      </c>
      <c r="T26" s="561" t="s">
        <v>195</v>
      </c>
      <c r="U26" s="562" t="s">
        <v>1110</v>
      </c>
      <c r="V26" s="563" t="s">
        <v>1111</v>
      </c>
      <c r="W26" s="562">
        <v>1517</v>
      </c>
      <c r="X26" s="560">
        <v>1517</v>
      </c>
      <c r="Y26" s="562"/>
      <c r="Z26" s="377" t="s">
        <v>1112</v>
      </c>
      <c r="AA26" s="447">
        <v>6</v>
      </c>
      <c r="AB26" s="447">
        <v>42</v>
      </c>
      <c r="AC26" s="448">
        <v>42249</v>
      </c>
    </row>
    <row r="27" spans="1:29" s="710" customFormat="1">
      <c r="A27" s="559" t="s">
        <v>1579</v>
      </c>
      <c r="B27" s="560" t="s">
        <v>302</v>
      </c>
      <c r="C27" s="193">
        <v>42145</v>
      </c>
      <c r="D27" s="193">
        <v>42145</v>
      </c>
      <c r="E27" s="562" t="s">
        <v>177</v>
      </c>
      <c r="F27" s="562" t="s">
        <v>1110</v>
      </c>
      <c r="G27" s="562" t="s">
        <v>1113</v>
      </c>
      <c r="H27" s="562">
        <v>231</v>
      </c>
      <c r="I27" s="560">
        <v>231</v>
      </c>
      <c r="J27" s="562"/>
      <c r="K27" s="377" t="s">
        <v>1112</v>
      </c>
      <c r="L27" s="447">
        <v>2</v>
      </c>
      <c r="M27" s="447">
        <v>8</v>
      </c>
      <c r="N27" s="448">
        <v>42172</v>
      </c>
      <c r="P27" s="562" t="s">
        <v>1258</v>
      </c>
      <c r="Q27" s="560" t="s">
        <v>1259</v>
      </c>
      <c r="R27" s="193">
        <v>42241</v>
      </c>
      <c r="S27" s="193">
        <v>42241</v>
      </c>
      <c r="T27" s="562" t="s">
        <v>177</v>
      </c>
      <c r="U27" s="562" t="s">
        <v>1110</v>
      </c>
      <c r="V27" s="562" t="s">
        <v>1113</v>
      </c>
      <c r="W27" s="562">
        <v>1246</v>
      </c>
      <c r="X27" s="560">
        <v>1246</v>
      </c>
      <c r="Y27" s="562"/>
      <c r="Z27" s="562" t="s">
        <v>1112</v>
      </c>
      <c r="AA27" s="447">
        <v>2</v>
      </c>
      <c r="AB27" s="447">
        <v>8</v>
      </c>
      <c r="AC27" s="448">
        <v>42242</v>
      </c>
    </row>
    <row r="28" spans="1:29" s="710" customFormat="1">
      <c r="A28" s="559" t="s">
        <v>1579</v>
      </c>
      <c r="B28" s="560" t="s">
        <v>302</v>
      </c>
      <c r="C28" s="193">
        <v>42145</v>
      </c>
      <c r="D28" s="193">
        <v>42145</v>
      </c>
      <c r="E28" s="562" t="s">
        <v>223</v>
      </c>
      <c r="F28" s="562" t="s">
        <v>1110</v>
      </c>
      <c r="G28" s="562" t="s">
        <v>1114</v>
      </c>
      <c r="H28" s="562">
        <v>24</v>
      </c>
      <c r="I28" s="560">
        <v>24</v>
      </c>
      <c r="J28" s="562" t="s">
        <v>1115</v>
      </c>
      <c r="K28" s="562" t="s">
        <v>1112</v>
      </c>
      <c r="L28" s="449">
        <v>5</v>
      </c>
      <c r="M28" s="449">
        <v>35</v>
      </c>
      <c r="N28" s="448">
        <v>42172</v>
      </c>
      <c r="P28" s="562" t="s">
        <v>1258</v>
      </c>
      <c r="Q28" s="560" t="s">
        <v>1259</v>
      </c>
      <c r="R28" s="193">
        <v>42241</v>
      </c>
      <c r="S28" s="193">
        <v>42241</v>
      </c>
      <c r="T28" s="562" t="s">
        <v>223</v>
      </c>
      <c r="U28" s="562" t="s">
        <v>1110</v>
      </c>
      <c r="V28" s="562" t="s">
        <v>1114</v>
      </c>
      <c r="W28" s="562">
        <v>16</v>
      </c>
      <c r="X28" s="560">
        <v>16</v>
      </c>
      <c r="Y28" s="562" t="s">
        <v>1115</v>
      </c>
      <c r="Z28" s="377" t="s">
        <v>1112</v>
      </c>
      <c r="AA28" s="449">
        <v>5</v>
      </c>
      <c r="AB28" s="449">
        <v>35</v>
      </c>
      <c r="AC28" s="448">
        <v>42242</v>
      </c>
    </row>
    <row r="29" spans="1:29" s="710" customFormat="1">
      <c r="A29" s="559" t="s">
        <v>1579</v>
      </c>
      <c r="B29" s="560" t="s">
        <v>302</v>
      </c>
      <c r="C29" s="193">
        <v>42145</v>
      </c>
      <c r="D29" s="193">
        <v>42145</v>
      </c>
      <c r="E29" s="562" t="s">
        <v>171</v>
      </c>
      <c r="F29" s="562" t="s">
        <v>1110</v>
      </c>
      <c r="G29" s="563" t="s">
        <v>1116</v>
      </c>
      <c r="H29" s="562">
        <v>67</v>
      </c>
      <c r="I29" s="560">
        <v>67</v>
      </c>
      <c r="J29" s="562"/>
      <c r="K29" s="562" t="s">
        <v>1112</v>
      </c>
      <c r="L29" s="447">
        <v>2</v>
      </c>
      <c r="M29" s="447">
        <v>8</v>
      </c>
      <c r="N29" s="448">
        <v>42172</v>
      </c>
      <c r="P29" s="562" t="s">
        <v>1258</v>
      </c>
      <c r="Q29" s="560" t="s">
        <v>1259</v>
      </c>
      <c r="R29" s="193">
        <v>42241</v>
      </c>
      <c r="S29" s="193">
        <v>42241</v>
      </c>
      <c r="T29" s="562" t="s">
        <v>171</v>
      </c>
      <c r="U29" s="562" t="s">
        <v>1110</v>
      </c>
      <c r="V29" s="563" t="s">
        <v>1116</v>
      </c>
      <c r="W29" s="562">
        <v>18</v>
      </c>
      <c r="X29" s="560">
        <v>18</v>
      </c>
      <c r="Y29" s="562"/>
      <c r="Z29" s="562" t="s">
        <v>1112</v>
      </c>
      <c r="AA29" s="447">
        <v>2</v>
      </c>
      <c r="AB29" s="447">
        <v>8</v>
      </c>
      <c r="AC29" s="448">
        <v>42249</v>
      </c>
    </row>
    <row r="30" spans="1:29">
      <c r="A30" s="559" t="s">
        <v>1581</v>
      </c>
      <c r="B30" s="560">
        <v>9</v>
      </c>
      <c r="C30" s="193">
        <v>42145</v>
      </c>
      <c r="D30" s="193">
        <v>42145</v>
      </c>
      <c r="E30" s="561" t="s">
        <v>195</v>
      </c>
      <c r="F30" s="562" t="s">
        <v>1110</v>
      </c>
      <c r="G30" s="563" t="s">
        <v>1111</v>
      </c>
      <c r="H30" s="562">
        <v>511</v>
      </c>
      <c r="I30" s="560">
        <v>511</v>
      </c>
      <c r="J30" s="562"/>
      <c r="K30" s="377" t="s">
        <v>1112</v>
      </c>
      <c r="L30" s="447">
        <v>6</v>
      </c>
      <c r="M30" s="447">
        <v>42</v>
      </c>
      <c r="N30" s="448">
        <v>42172</v>
      </c>
    </row>
    <row r="31" spans="1:29">
      <c r="A31" s="559" t="s">
        <v>1581</v>
      </c>
      <c r="B31" s="560">
        <v>9</v>
      </c>
      <c r="C31" s="193">
        <v>42145</v>
      </c>
      <c r="D31" s="193">
        <v>42145</v>
      </c>
      <c r="E31" s="562" t="s">
        <v>177</v>
      </c>
      <c r="F31" s="562" t="s">
        <v>1110</v>
      </c>
      <c r="G31" s="562" t="s">
        <v>1113</v>
      </c>
      <c r="H31" s="562">
        <v>268</v>
      </c>
      <c r="I31" s="560">
        <v>268</v>
      </c>
      <c r="J31" s="562"/>
      <c r="K31" s="562" t="s">
        <v>1112</v>
      </c>
      <c r="L31" s="447">
        <v>2</v>
      </c>
      <c r="M31" s="447">
        <v>8</v>
      </c>
      <c r="N31" s="448">
        <v>42172</v>
      </c>
    </row>
    <row r="32" spans="1:29">
      <c r="A32" s="559" t="s">
        <v>1581</v>
      </c>
      <c r="B32" s="560">
        <v>9</v>
      </c>
      <c r="C32" s="193">
        <v>42145</v>
      </c>
      <c r="D32" s="193">
        <v>42145</v>
      </c>
      <c r="E32" s="562" t="s">
        <v>223</v>
      </c>
      <c r="F32" s="562" t="s">
        <v>1110</v>
      </c>
      <c r="G32" s="562" t="s">
        <v>1114</v>
      </c>
      <c r="H32" s="562">
        <v>38</v>
      </c>
      <c r="I32" s="560">
        <v>38</v>
      </c>
      <c r="J32" s="562"/>
      <c r="K32" s="377" t="s">
        <v>1112</v>
      </c>
      <c r="L32" s="449">
        <v>5</v>
      </c>
      <c r="M32" s="449">
        <v>35</v>
      </c>
      <c r="N32" s="448">
        <v>42172</v>
      </c>
      <c r="P32" s="729" t="s">
        <v>346</v>
      </c>
    </row>
    <row r="33" spans="1:16">
      <c r="A33" s="559" t="s">
        <v>1581</v>
      </c>
      <c r="B33" s="560">
        <v>9</v>
      </c>
      <c r="C33" s="193">
        <v>42145</v>
      </c>
      <c r="D33" s="193">
        <v>42145</v>
      </c>
      <c r="E33" s="562" t="s">
        <v>171</v>
      </c>
      <c r="F33" s="562" t="s">
        <v>1110</v>
      </c>
      <c r="G33" s="563" t="s">
        <v>1116</v>
      </c>
      <c r="H33" s="562">
        <v>62</v>
      </c>
      <c r="I33" s="560">
        <v>62</v>
      </c>
      <c r="J33" s="562"/>
      <c r="K33" s="562" t="s">
        <v>1112</v>
      </c>
      <c r="L33" s="447">
        <v>2</v>
      </c>
      <c r="M33" s="447">
        <v>8</v>
      </c>
      <c r="N33" s="448">
        <v>42172</v>
      </c>
      <c r="P33" s="730" t="s">
        <v>345</v>
      </c>
    </row>
    <row r="34" spans="1:16">
      <c r="A34" s="559" t="s">
        <v>1582</v>
      </c>
      <c r="B34" s="560">
        <v>12</v>
      </c>
      <c r="C34" s="193">
        <v>42145</v>
      </c>
      <c r="D34" s="193">
        <v>42145</v>
      </c>
      <c r="E34" s="561" t="s">
        <v>195</v>
      </c>
      <c r="F34" s="562" t="s">
        <v>1110</v>
      </c>
      <c r="G34" s="563" t="s">
        <v>1111</v>
      </c>
      <c r="H34" s="562">
        <v>557</v>
      </c>
      <c r="I34" s="560">
        <v>557</v>
      </c>
      <c r="J34" s="562"/>
      <c r="K34" s="377" t="s">
        <v>1112</v>
      </c>
      <c r="L34" s="447">
        <v>6</v>
      </c>
      <c r="M34" s="447">
        <v>42</v>
      </c>
      <c r="N34" s="448">
        <v>42172</v>
      </c>
      <c r="P34" s="730" t="s">
        <v>239</v>
      </c>
    </row>
    <row r="35" spans="1:16">
      <c r="A35" s="559" t="s">
        <v>1582</v>
      </c>
      <c r="B35" s="560">
        <v>12</v>
      </c>
      <c r="C35" s="193">
        <v>42145</v>
      </c>
      <c r="D35" s="193">
        <v>42145</v>
      </c>
      <c r="E35" s="562" t="s">
        <v>177</v>
      </c>
      <c r="F35" s="562" t="s">
        <v>1110</v>
      </c>
      <c r="G35" s="562" t="s">
        <v>1113</v>
      </c>
      <c r="H35" s="562">
        <v>315</v>
      </c>
      <c r="I35" s="560">
        <v>315</v>
      </c>
      <c r="J35" s="562"/>
      <c r="K35" s="562" t="s">
        <v>1112</v>
      </c>
      <c r="L35" s="447">
        <v>2</v>
      </c>
      <c r="M35" s="447">
        <v>8</v>
      </c>
      <c r="N35" s="448">
        <v>42172</v>
      </c>
      <c r="P35" s="730" t="s">
        <v>233</v>
      </c>
    </row>
    <row r="36" spans="1:16" s="710" customFormat="1">
      <c r="A36" s="559" t="s">
        <v>1582</v>
      </c>
      <c r="B36" s="560">
        <v>12</v>
      </c>
      <c r="C36" s="193">
        <v>42145</v>
      </c>
      <c r="D36" s="193">
        <v>42145</v>
      </c>
      <c r="E36" s="562" t="s">
        <v>223</v>
      </c>
      <c r="F36" s="562" t="s">
        <v>1110</v>
      </c>
      <c r="G36" s="562" t="s">
        <v>1114</v>
      </c>
      <c r="H36" s="562">
        <v>41</v>
      </c>
      <c r="I36" s="560">
        <v>41</v>
      </c>
      <c r="J36" s="562"/>
      <c r="K36" s="377" t="s">
        <v>1112</v>
      </c>
      <c r="L36" s="449">
        <v>5</v>
      </c>
      <c r="M36" s="449">
        <v>35</v>
      </c>
      <c r="N36" s="448">
        <v>42172</v>
      </c>
      <c r="P36" s="730" t="s">
        <v>1159</v>
      </c>
    </row>
    <row r="37" spans="1:16" s="710" customFormat="1">
      <c r="A37" s="559" t="s">
        <v>1582</v>
      </c>
      <c r="B37" s="560">
        <v>12</v>
      </c>
      <c r="C37" s="193">
        <v>42145</v>
      </c>
      <c r="D37" s="193">
        <v>42145</v>
      </c>
      <c r="E37" s="562" t="s">
        <v>171</v>
      </c>
      <c r="F37" s="562" t="s">
        <v>1110</v>
      </c>
      <c r="G37" s="563" t="s">
        <v>1116</v>
      </c>
      <c r="H37" s="562">
        <v>93</v>
      </c>
      <c r="I37" s="560">
        <v>93</v>
      </c>
      <c r="J37" s="562"/>
      <c r="K37" s="562" t="s">
        <v>1112</v>
      </c>
      <c r="L37" s="447">
        <v>2</v>
      </c>
      <c r="M37" s="447">
        <v>8</v>
      </c>
      <c r="N37" s="448">
        <v>42172</v>
      </c>
      <c r="P37" s="874" t="s">
        <v>1161</v>
      </c>
    </row>
    <row r="38" spans="1:16">
      <c r="A38" s="559" t="s">
        <v>1583</v>
      </c>
      <c r="B38" s="560" t="s">
        <v>303</v>
      </c>
      <c r="C38" s="193">
        <v>42145</v>
      </c>
      <c r="D38" s="193">
        <v>42145</v>
      </c>
      <c r="E38" s="561" t="s">
        <v>195</v>
      </c>
      <c r="F38" s="562" t="s">
        <v>1110</v>
      </c>
      <c r="G38" s="563" t="s">
        <v>1111</v>
      </c>
      <c r="H38" s="562">
        <v>647</v>
      </c>
      <c r="I38" s="560">
        <v>647</v>
      </c>
      <c r="J38" s="562"/>
      <c r="K38" s="377" t="s">
        <v>1112</v>
      </c>
      <c r="L38" s="447">
        <v>6</v>
      </c>
      <c r="M38" s="447">
        <v>42</v>
      </c>
      <c r="N38" s="448">
        <v>42172</v>
      </c>
      <c r="P38" s="730" t="s">
        <v>178</v>
      </c>
    </row>
    <row r="39" spans="1:16">
      <c r="A39" s="559" t="s">
        <v>1583</v>
      </c>
      <c r="B39" s="560" t="s">
        <v>303</v>
      </c>
      <c r="C39" s="193">
        <v>42145</v>
      </c>
      <c r="D39" s="193">
        <v>42145</v>
      </c>
      <c r="E39" s="562" t="s">
        <v>177</v>
      </c>
      <c r="F39" s="562" t="s">
        <v>1110</v>
      </c>
      <c r="G39" s="562" t="s">
        <v>1113</v>
      </c>
      <c r="H39" s="562">
        <v>308</v>
      </c>
      <c r="I39" s="560">
        <v>308</v>
      </c>
      <c r="J39" s="562"/>
      <c r="K39" s="562" t="s">
        <v>1112</v>
      </c>
      <c r="L39" s="447">
        <v>2</v>
      </c>
      <c r="M39" s="447">
        <v>8</v>
      </c>
      <c r="N39" s="448">
        <v>42172</v>
      </c>
      <c r="P39" s="730" t="s">
        <v>226</v>
      </c>
    </row>
    <row r="40" spans="1:16">
      <c r="A40" s="559" t="s">
        <v>1583</v>
      </c>
      <c r="B40" s="560" t="s">
        <v>303</v>
      </c>
      <c r="C40" s="193">
        <v>42145</v>
      </c>
      <c r="D40" s="193">
        <v>42145</v>
      </c>
      <c r="E40" s="562" t="s">
        <v>223</v>
      </c>
      <c r="F40" s="562" t="s">
        <v>1110</v>
      </c>
      <c r="G40" s="562" t="s">
        <v>1114</v>
      </c>
      <c r="H40" s="562">
        <v>42</v>
      </c>
      <c r="I40" s="560">
        <v>42</v>
      </c>
      <c r="J40" s="562"/>
      <c r="K40" s="377" t="s">
        <v>1112</v>
      </c>
      <c r="L40" s="449">
        <v>5</v>
      </c>
      <c r="M40" s="449">
        <v>35</v>
      </c>
      <c r="N40" s="448">
        <v>42172</v>
      </c>
      <c r="P40" s="730" t="s">
        <v>227</v>
      </c>
    </row>
    <row r="41" spans="1:16">
      <c r="A41" s="559" t="s">
        <v>1583</v>
      </c>
      <c r="B41" s="560" t="s">
        <v>303</v>
      </c>
      <c r="C41" s="193">
        <v>42145</v>
      </c>
      <c r="D41" s="193">
        <v>42145</v>
      </c>
      <c r="E41" s="562" t="s">
        <v>171</v>
      </c>
      <c r="F41" s="562" t="s">
        <v>1110</v>
      </c>
      <c r="G41" s="563" t="s">
        <v>1116</v>
      </c>
      <c r="H41" s="562">
        <v>70</v>
      </c>
      <c r="I41" s="560">
        <v>70</v>
      </c>
      <c r="J41" s="562"/>
      <c r="K41" s="562" t="s">
        <v>1112</v>
      </c>
      <c r="L41" s="447">
        <v>2</v>
      </c>
      <c r="M41" s="447">
        <v>8</v>
      </c>
      <c r="N41" s="448">
        <v>42172</v>
      </c>
      <c r="P41" s="730" t="s">
        <v>228</v>
      </c>
    </row>
    <row r="42" spans="1:16">
      <c r="A42" s="559" t="s">
        <v>1584</v>
      </c>
      <c r="B42" s="560" t="s">
        <v>679</v>
      </c>
      <c r="C42" s="193">
        <v>42145</v>
      </c>
      <c r="D42" s="193">
        <v>42145</v>
      </c>
      <c r="E42" s="561" t="s">
        <v>195</v>
      </c>
      <c r="F42" s="562" t="s">
        <v>1110</v>
      </c>
      <c r="G42" s="563" t="s">
        <v>1111</v>
      </c>
      <c r="H42" s="562">
        <v>539</v>
      </c>
      <c r="I42" s="560">
        <v>539</v>
      </c>
      <c r="J42" s="562"/>
      <c r="K42" s="377" t="s">
        <v>1112</v>
      </c>
      <c r="L42" s="447">
        <v>6</v>
      </c>
      <c r="M42" s="447">
        <v>42</v>
      </c>
      <c r="N42" s="448">
        <v>42172</v>
      </c>
      <c r="P42" s="730" t="s">
        <v>229</v>
      </c>
    </row>
    <row r="43" spans="1:16">
      <c r="A43" s="559" t="s">
        <v>1584</v>
      </c>
      <c r="B43" s="560" t="s">
        <v>679</v>
      </c>
      <c r="C43" s="193">
        <v>42145</v>
      </c>
      <c r="D43" s="193">
        <v>42145</v>
      </c>
      <c r="E43" s="562" t="s">
        <v>177</v>
      </c>
      <c r="F43" s="562" t="s">
        <v>1110</v>
      </c>
      <c r="G43" s="562" t="s">
        <v>1113</v>
      </c>
      <c r="H43" s="562">
        <v>319</v>
      </c>
      <c r="I43" s="560">
        <v>319</v>
      </c>
      <c r="J43" s="562"/>
      <c r="K43" s="562" t="s">
        <v>1112</v>
      </c>
      <c r="L43" s="447">
        <v>2</v>
      </c>
      <c r="M43" s="447">
        <v>8</v>
      </c>
      <c r="N43" s="448">
        <v>42146</v>
      </c>
      <c r="P43" s="730" t="s">
        <v>230</v>
      </c>
    </row>
    <row r="44" spans="1:16">
      <c r="A44" s="559" t="s">
        <v>1584</v>
      </c>
      <c r="B44" s="560" t="s">
        <v>679</v>
      </c>
      <c r="C44" s="193">
        <v>42145</v>
      </c>
      <c r="D44" s="193">
        <v>42145</v>
      </c>
      <c r="E44" s="562" t="s">
        <v>223</v>
      </c>
      <c r="F44" s="562" t="s">
        <v>1110</v>
      </c>
      <c r="G44" s="562" t="s">
        <v>1114</v>
      </c>
      <c r="H44" s="562">
        <v>45</v>
      </c>
      <c r="I44" s="560">
        <v>45</v>
      </c>
      <c r="J44" s="562"/>
      <c r="K44" s="377" t="s">
        <v>1112</v>
      </c>
      <c r="L44" s="449">
        <v>5</v>
      </c>
      <c r="M44" s="449">
        <v>35</v>
      </c>
      <c r="N44" s="448">
        <v>42160</v>
      </c>
      <c r="P44" s="729" t="s">
        <v>456</v>
      </c>
    </row>
    <row r="45" spans="1:16">
      <c r="A45" s="559" t="s">
        <v>1584</v>
      </c>
      <c r="B45" s="560" t="s">
        <v>679</v>
      </c>
      <c r="C45" s="193">
        <v>42145</v>
      </c>
      <c r="D45" s="193">
        <v>42145</v>
      </c>
      <c r="E45" s="562" t="s">
        <v>171</v>
      </c>
      <c r="F45" s="562" t="s">
        <v>1110</v>
      </c>
      <c r="G45" s="563" t="s">
        <v>1116</v>
      </c>
      <c r="H45" s="562">
        <v>71</v>
      </c>
      <c r="I45" s="560">
        <v>71</v>
      </c>
      <c r="J45" s="562"/>
      <c r="K45" s="562" t="s">
        <v>1112</v>
      </c>
      <c r="L45" s="447">
        <v>2</v>
      </c>
      <c r="M45" s="447">
        <v>8</v>
      </c>
      <c r="N45" s="448">
        <v>42152</v>
      </c>
      <c r="P45" s="730" t="s">
        <v>234</v>
      </c>
    </row>
    <row r="46" spans="1:16">
      <c r="A46" s="559" t="s">
        <v>1585</v>
      </c>
      <c r="B46" s="560">
        <v>34</v>
      </c>
      <c r="C46" s="193">
        <v>42145</v>
      </c>
      <c r="D46" s="193">
        <v>42145</v>
      </c>
      <c r="E46" s="561" t="s">
        <v>195</v>
      </c>
      <c r="F46" s="562" t="s">
        <v>1110</v>
      </c>
      <c r="G46" s="563" t="s">
        <v>1111</v>
      </c>
      <c r="H46" s="562">
        <v>2381</v>
      </c>
      <c r="I46" s="560">
        <v>2381</v>
      </c>
      <c r="J46" s="562"/>
      <c r="K46" s="377" t="s">
        <v>1112</v>
      </c>
      <c r="L46" s="447">
        <v>6</v>
      </c>
      <c r="M46" s="447">
        <v>42</v>
      </c>
      <c r="N46" s="448">
        <v>42152</v>
      </c>
      <c r="P46" s="730" t="s">
        <v>235</v>
      </c>
    </row>
    <row r="47" spans="1:16">
      <c r="A47" s="559" t="s">
        <v>1585</v>
      </c>
      <c r="B47" s="560">
        <v>34</v>
      </c>
      <c r="C47" s="193">
        <v>42145</v>
      </c>
      <c r="D47" s="193">
        <v>42145</v>
      </c>
      <c r="E47" s="562" t="s">
        <v>177</v>
      </c>
      <c r="F47" s="562" t="s">
        <v>1110</v>
      </c>
      <c r="G47" s="562" t="s">
        <v>1113</v>
      </c>
      <c r="H47" s="562">
        <v>1977</v>
      </c>
      <c r="I47" s="560">
        <v>1977</v>
      </c>
      <c r="J47" s="562"/>
      <c r="K47" s="562" t="s">
        <v>1112</v>
      </c>
      <c r="L47" s="447">
        <v>2</v>
      </c>
      <c r="M47" s="447">
        <v>8</v>
      </c>
      <c r="N47" s="448">
        <v>42146</v>
      </c>
      <c r="P47" s="731" t="s">
        <v>453</v>
      </c>
    </row>
    <row r="48" spans="1:16">
      <c r="A48" s="559" t="s">
        <v>1585</v>
      </c>
      <c r="B48" s="560">
        <v>34</v>
      </c>
      <c r="C48" s="193">
        <v>42145</v>
      </c>
      <c r="D48" s="193">
        <v>42145</v>
      </c>
      <c r="E48" s="562" t="s">
        <v>223</v>
      </c>
      <c r="F48" s="562" t="s">
        <v>1110</v>
      </c>
      <c r="G48" s="562" t="s">
        <v>1114</v>
      </c>
      <c r="H48" s="562">
        <v>41</v>
      </c>
      <c r="I48" s="560">
        <v>41</v>
      </c>
      <c r="J48" s="562"/>
      <c r="K48" s="377" t="s">
        <v>1112</v>
      </c>
      <c r="L48" s="449">
        <v>5</v>
      </c>
      <c r="M48" s="449">
        <v>35</v>
      </c>
      <c r="N48" s="448">
        <v>42160</v>
      </c>
      <c r="P48" s="731"/>
    </row>
    <row r="49" spans="1:16">
      <c r="A49" s="559" t="s">
        <v>1585</v>
      </c>
      <c r="B49" s="560">
        <v>34</v>
      </c>
      <c r="C49" s="193">
        <v>42145</v>
      </c>
      <c r="D49" s="193">
        <v>42145</v>
      </c>
      <c r="E49" s="562" t="s">
        <v>171</v>
      </c>
      <c r="F49" s="562" t="s">
        <v>1110</v>
      </c>
      <c r="G49" s="563" t="s">
        <v>1116</v>
      </c>
      <c r="H49" s="562">
        <v>69</v>
      </c>
      <c r="I49" s="560">
        <v>69</v>
      </c>
      <c r="J49" s="562"/>
      <c r="K49" s="562" t="s">
        <v>1112</v>
      </c>
      <c r="L49" s="447">
        <v>2</v>
      </c>
      <c r="M49" s="447">
        <v>8</v>
      </c>
      <c r="N49" s="448">
        <v>42152</v>
      </c>
      <c r="P49" s="731"/>
    </row>
    <row r="50" spans="1:16">
      <c r="A50" s="559" t="s">
        <v>1588</v>
      </c>
      <c r="B50" s="560">
        <v>35</v>
      </c>
      <c r="C50" s="193">
        <v>42145</v>
      </c>
      <c r="D50" s="193">
        <v>42145</v>
      </c>
      <c r="E50" s="561" t="s">
        <v>195</v>
      </c>
      <c r="F50" s="562" t="s">
        <v>1110</v>
      </c>
      <c r="G50" s="563" t="s">
        <v>1111</v>
      </c>
      <c r="H50" s="562">
        <v>499</v>
      </c>
      <c r="I50" s="560">
        <v>499</v>
      </c>
      <c r="J50" s="562"/>
      <c r="K50" s="377" t="s">
        <v>1112</v>
      </c>
      <c r="L50" s="447">
        <v>6</v>
      </c>
      <c r="M50" s="447">
        <v>42</v>
      </c>
      <c r="N50" s="448">
        <v>42152</v>
      </c>
      <c r="P50" s="731"/>
    </row>
    <row r="51" spans="1:16">
      <c r="A51" s="559" t="s">
        <v>1588</v>
      </c>
      <c r="B51" s="560">
        <v>35</v>
      </c>
      <c r="C51" s="193">
        <v>42145</v>
      </c>
      <c r="D51" s="193">
        <v>42145</v>
      </c>
      <c r="E51" s="562" t="s">
        <v>177</v>
      </c>
      <c r="F51" s="562" t="s">
        <v>1110</v>
      </c>
      <c r="G51" s="562" t="s">
        <v>1113</v>
      </c>
      <c r="H51" s="562">
        <v>412</v>
      </c>
      <c r="I51" s="560">
        <v>412</v>
      </c>
      <c r="J51" s="562"/>
      <c r="K51" s="562" t="s">
        <v>1112</v>
      </c>
      <c r="L51" s="447">
        <v>2</v>
      </c>
      <c r="M51" s="447">
        <v>8</v>
      </c>
      <c r="N51" s="448">
        <v>42146</v>
      </c>
      <c r="P51" s="731"/>
    </row>
    <row r="52" spans="1:16">
      <c r="A52" s="559" t="s">
        <v>1588</v>
      </c>
      <c r="B52" s="560">
        <v>35</v>
      </c>
      <c r="C52" s="193">
        <v>42145</v>
      </c>
      <c r="D52" s="193">
        <v>42145</v>
      </c>
      <c r="E52" s="562" t="s">
        <v>223</v>
      </c>
      <c r="F52" s="562" t="s">
        <v>1110</v>
      </c>
      <c r="G52" s="562" t="s">
        <v>1114</v>
      </c>
      <c r="H52" s="562">
        <v>27</v>
      </c>
      <c r="I52" s="560">
        <v>27</v>
      </c>
      <c r="J52" s="562" t="s">
        <v>1115</v>
      </c>
      <c r="K52" s="377" t="s">
        <v>1112</v>
      </c>
      <c r="L52" s="449">
        <v>5</v>
      </c>
      <c r="M52" s="449">
        <v>35</v>
      </c>
      <c r="N52" s="448">
        <v>42160</v>
      </c>
      <c r="P52" s="731" t="s">
        <v>1163</v>
      </c>
    </row>
    <row r="53" spans="1:16">
      <c r="A53" s="559" t="s">
        <v>1588</v>
      </c>
      <c r="B53" s="560">
        <v>35</v>
      </c>
      <c r="C53" s="193">
        <v>42145</v>
      </c>
      <c r="D53" s="193">
        <v>42145</v>
      </c>
      <c r="E53" s="562" t="s">
        <v>171</v>
      </c>
      <c r="F53" s="562" t="s">
        <v>1110</v>
      </c>
      <c r="G53" s="563" t="s">
        <v>1116</v>
      </c>
      <c r="H53" s="562">
        <v>41</v>
      </c>
      <c r="I53" s="560">
        <v>41</v>
      </c>
      <c r="J53" s="562"/>
      <c r="K53" s="562" t="s">
        <v>1112</v>
      </c>
      <c r="L53" s="447">
        <v>2</v>
      </c>
      <c r="M53" s="447">
        <v>8</v>
      </c>
      <c r="N53" s="448">
        <v>42152</v>
      </c>
      <c r="P53" s="731" t="s">
        <v>1165</v>
      </c>
    </row>
    <row r="54" spans="1:16">
      <c r="A54" s="559" t="s">
        <v>1589</v>
      </c>
      <c r="B54" s="560">
        <v>50</v>
      </c>
      <c r="C54" s="193">
        <v>42145</v>
      </c>
      <c r="D54" s="193">
        <v>42145</v>
      </c>
      <c r="E54" s="561" t="s">
        <v>195</v>
      </c>
      <c r="F54" s="562" t="s">
        <v>1110</v>
      </c>
      <c r="G54" s="563" t="s">
        <v>1111</v>
      </c>
      <c r="H54" s="562">
        <v>629</v>
      </c>
      <c r="I54" s="560">
        <v>629</v>
      </c>
      <c r="J54" s="562"/>
      <c r="K54" s="377" t="s">
        <v>1112</v>
      </c>
      <c r="L54" s="447">
        <v>6</v>
      </c>
      <c r="M54" s="447">
        <v>42</v>
      </c>
      <c r="N54" s="448">
        <v>42152</v>
      </c>
      <c r="P54" s="729" t="s">
        <v>452</v>
      </c>
    </row>
    <row r="55" spans="1:16">
      <c r="A55" s="559" t="s">
        <v>1589</v>
      </c>
      <c r="B55" s="560">
        <v>50</v>
      </c>
      <c r="C55" s="193">
        <v>42145</v>
      </c>
      <c r="D55" s="193">
        <v>42145</v>
      </c>
      <c r="E55" s="562" t="s">
        <v>177</v>
      </c>
      <c r="F55" s="562" t="s">
        <v>1110</v>
      </c>
      <c r="G55" s="562" t="s">
        <v>1113</v>
      </c>
      <c r="H55" s="562">
        <v>387</v>
      </c>
      <c r="I55" s="560">
        <v>387</v>
      </c>
      <c r="J55" s="562"/>
      <c r="K55" s="562" t="s">
        <v>1112</v>
      </c>
      <c r="L55" s="447">
        <v>2</v>
      </c>
      <c r="M55" s="447">
        <v>8</v>
      </c>
      <c r="N55" s="448">
        <v>42146</v>
      </c>
      <c r="P55" s="730" t="s">
        <v>231</v>
      </c>
    </row>
    <row r="56" spans="1:16">
      <c r="A56" s="559" t="s">
        <v>1589</v>
      </c>
      <c r="B56" s="560">
        <v>50</v>
      </c>
      <c r="C56" s="193">
        <v>42145</v>
      </c>
      <c r="D56" s="193">
        <v>42145</v>
      </c>
      <c r="E56" s="562" t="s">
        <v>223</v>
      </c>
      <c r="F56" s="562" t="s">
        <v>1110</v>
      </c>
      <c r="G56" s="562" t="s">
        <v>1114</v>
      </c>
      <c r="H56" s="562">
        <v>35</v>
      </c>
      <c r="I56" s="560">
        <v>35</v>
      </c>
      <c r="J56" s="562" t="s">
        <v>1115</v>
      </c>
      <c r="K56" s="377" t="s">
        <v>1112</v>
      </c>
      <c r="L56" s="449">
        <v>5</v>
      </c>
      <c r="M56" s="449">
        <v>35</v>
      </c>
      <c r="N56" s="448">
        <v>42160</v>
      </c>
      <c r="P56" s="730" t="s">
        <v>232</v>
      </c>
    </row>
    <row r="57" spans="1:16">
      <c r="A57" s="559" t="s">
        <v>1589</v>
      </c>
      <c r="B57" s="560">
        <v>50</v>
      </c>
      <c r="C57" s="193">
        <v>42145</v>
      </c>
      <c r="D57" s="193">
        <v>42145</v>
      </c>
      <c r="E57" s="562" t="s">
        <v>171</v>
      </c>
      <c r="F57" s="562" t="s">
        <v>1110</v>
      </c>
      <c r="G57" s="563" t="s">
        <v>1116</v>
      </c>
      <c r="H57" s="562">
        <v>93</v>
      </c>
      <c r="I57" s="560">
        <v>93</v>
      </c>
      <c r="J57" s="562"/>
      <c r="K57" s="562" t="s">
        <v>1112</v>
      </c>
      <c r="L57" s="447">
        <v>2</v>
      </c>
      <c r="M57" s="447">
        <v>8</v>
      </c>
      <c r="N57" s="448">
        <v>42152</v>
      </c>
    </row>
    <row r="58" spans="1:16">
      <c r="A58" s="559" t="s">
        <v>1573</v>
      </c>
      <c r="B58" s="560">
        <v>64</v>
      </c>
      <c r="C58" s="193">
        <v>42145</v>
      </c>
      <c r="D58" s="193">
        <v>42145</v>
      </c>
      <c r="E58" s="561" t="s">
        <v>195</v>
      </c>
      <c r="F58" s="562" t="s">
        <v>1110</v>
      </c>
      <c r="G58" s="563" t="s">
        <v>1111</v>
      </c>
      <c r="H58" s="562">
        <v>547</v>
      </c>
      <c r="I58" s="560">
        <v>547</v>
      </c>
      <c r="J58" s="562"/>
      <c r="K58" s="377" t="s">
        <v>1112</v>
      </c>
      <c r="L58" s="447">
        <v>6</v>
      </c>
      <c r="M58" s="447">
        <v>42</v>
      </c>
      <c r="N58" s="448">
        <v>42172</v>
      </c>
    </row>
    <row r="59" spans="1:16">
      <c r="A59" s="559" t="s">
        <v>1573</v>
      </c>
      <c r="B59" s="560">
        <v>64</v>
      </c>
      <c r="C59" s="193">
        <v>42145</v>
      </c>
      <c r="D59" s="193">
        <v>42145</v>
      </c>
      <c r="E59" s="562" t="s">
        <v>177</v>
      </c>
      <c r="F59" s="562" t="s">
        <v>1110</v>
      </c>
      <c r="G59" s="562" t="s">
        <v>1113</v>
      </c>
      <c r="H59" s="562">
        <v>284</v>
      </c>
      <c r="I59" s="560">
        <v>284</v>
      </c>
      <c r="J59" s="562"/>
      <c r="K59" s="562" t="s">
        <v>1112</v>
      </c>
      <c r="L59" s="447">
        <v>2</v>
      </c>
      <c r="M59" s="447">
        <v>8</v>
      </c>
      <c r="N59" s="448">
        <v>42146</v>
      </c>
    </row>
    <row r="60" spans="1:16">
      <c r="A60" s="559" t="s">
        <v>1573</v>
      </c>
      <c r="B60" s="560">
        <v>64</v>
      </c>
      <c r="C60" s="193">
        <v>42145</v>
      </c>
      <c r="D60" s="193">
        <v>42145</v>
      </c>
      <c r="E60" s="562" t="s">
        <v>223</v>
      </c>
      <c r="F60" s="562" t="s">
        <v>1110</v>
      </c>
      <c r="G60" s="562" t="s">
        <v>1114</v>
      </c>
      <c r="H60" s="562">
        <v>28</v>
      </c>
      <c r="I60" s="560">
        <v>28</v>
      </c>
      <c r="J60" s="562" t="s">
        <v>1115</v>
      </c>
      <c r="K60" s="377" t="s">
        <v>1112</v>
      </c>
      <c r="L60" s="449">
        <v>5</v>
      </c>
      <c r="M60" s="449">
        <v>35</v>
      </c>
      <c r="N60" s="448">
        <v>42160</v>
      </c>
    </row>
    <row r="61" spans="1:16">
      <c r="A61" s="559" t="s">
        <v>1573</v>
      </c>
      <c r="B61" s="560">
        <v>64</v>
      </c>
      <c r="C61" s="193">
        <v>42145</v>
      </c>
      <c r="D61" s="193">
        <v>42145</v>
      </c>
      <c r="E61" s="562" t="s">
        <v>171</v>
      </c>
      <c r="F61" s="562" t="s">
        <v>1110</v>
      </c>
      <c r="G61" s="563" t="s">
        <v>1116</v>
      </c>
      <c r="H61" s="562">
        <v>52</v>
      </c>
      <c r="I61" s="560">
        <v>52</v>
      </c>
      <c r="J61" s="562"/>
      <c r="K61" s="562" t="s">
        <v>1112</v>
      </c>
      <c r="L61" s="447">
        <v>2</v>
      </c>
      <c r="M61" s="447">
        <v>8</v>
      </c>
      <c r="N61" s="448">
        <v>42152</v>
      </c>
    </row>
    <row r="62" spans="1:16">
      <c r="A62" s="559" t="s">
        <v>1580</v>
      </c>
      <c r="B62" s="560">
        <v>32</v>
      </c>
      <c r="C62" s="193">
        <v>42145</v>
      </c>
      <c r="D62" s="193">
        <v>42145</v>
      </c>
      <c r="E62" s="561" t="s">
        <v>195</v>
      </c>
      <c r="F62" s="562" t="s">
        <v>1110</v>
      </c>
      <c r="G62" s="563" t="s">
        <v>1111</v>
      </c>
      <c r="H62" s="562">
        <v>1178</v>
      </c>
      <c r="I62" s="560">
        <v>1178</v>
      </c>
      <c r="J62" s="562"/>
      <c r="K62" s="377" t="s">
        <v>1112</v>
      </c>
      <c r="L62" s="447">
        <v>6</v>
      </c>
      <c r="M62" s="447">
        <v>42</v>
      </c>
      <c r="N62" s="448">
        <v>42172</v>
      </c>
    </row>
    <row r="63" spans="1:16">
      <c r="A63" s="559" t="s">
        <v>1580</v>
      </c>
      <c r="B63" s="560">
        <v>32</v>
      </c>
      <c r="C63" s="193">
        <v>42145</v>
      </c>
      <c r="D63" s="193">
        <v>42145</v>
      </c>
      <c r="E63" s="562" t="s">
        <v>177</v>
      </c>
      <c r="F63" s="562" t="s">
        <v>1110</v>
      </c>
      <c r="G63" s="562" t="s">
        <v>1113</v>
      </c>
      <c r="H63" s="562">
        <v>710</v>
      </c>
      <c r="I63" s="560">
        <v>710</v>
      </c>
      <c r="J63" s="562"/>
      <c r="K63" s="562" t="s">
        <v>1112</v>
      </c>
      <c r="L63" s="447">
        <v>2</v>
      </c>
      <c r="M63" s="447">
        <v>8</v>
      </c>
      <c r="N63" s="448">
        <v>42172</v>
      </c>
    </row>
    <row r="64" spans="1:16">
      <c r="A64" s="559" t="s">
        <v>1580</v>
      </c>
      <c r="B64" s="560">
        <v>32</v>
      </c>
      <c r="C64" s="193">
        <v>42145</v>
      </c>
      <c r="D64" s="193">
        <v>42145</v>
      </c>
      <c r="E64" s="562" t="s">
        <v>223</v>
      </c>
      <c r="F64" s="562" t="s">
        <v>1110</v>
      </c>
      <c r="G64" s="562" t="s">
        <v>1114</v>
      </c>
      <c r="H64" s="562">
        <v>55</v>
      </c>
      <c r="I64" s="560">
        <v>55</v>
      </c>
      <c r="J64" s="562"/>
      <c r="K64" s="562" t="s">
        <v>1112</v>
      </c>
      <c r="L64" s="449">
        <v>5</v>
      </c>
      <c r="M64" s="449">
        <v>35</v>
      </c>
      <c r="N64" s="448">
        <v>42172</v>
      </c>
    </row>
    <row r="65" spans="1:29">
      <c r="A65" s="559" t="s">
        <v>1580</v>
      </c>
      <c r="B65" s="560">
        <v>32</v>
      </c>
      <c r="C65" s="193">
        <v>42145</v>
      </c>
      <c r="D65" s="193">
        <v>42145</v>
      </c>
      <c r="E65" s="562" t="s">
        <v>171</v>
      </c>
      <c r="F65" s="562" t="s">
        <v>1110</v>
      </c>
      <c r="G65" s="563" t="s">
        <v>1116</v>
      </c>
      <c r="H65" s="562">
        <v>91</v>
      </c>
      <c r="I65" s="560">
        <v>91</v>
      </c>
      <c r="J65" s="562"/>
      <c r="K65" s="562" t="s">
        <v>1112</v>
      </c>
      <c r="L65" s="447">
        <v>2</v>
      </c>
      <c r="M65" s="447">
        <v>8</v>
      </c>
      <c r="N65" s="448">
        <v>42172</v>
      </c>
    </row>
    <row r="66" spans="1:29">
      <c r="A66" s="559" t="s">
        <v>1586</v>
      </c>
      <c r="B66" s="560">
        <v>18</v>
      </c>
      <c r="C66" s="193">
        <v>42145</v>
      </c>
      <c r="D66" s="193">
        <v>42145</v>
      </c>
      <c r="E66" s="561" t="s">
        <v>195</v>
      </c>
      <c r="F66" s="562" t="s">
        <v>1110</v>
      </c>
      <c r="G66" s="563" t="s">
        <v>1111</v>
      </c>
      <c r="H66" s="562">
        <v>549</v>
      </c>
      <c r="I66" s="560">
        <v>549</v>
      </c>
      <c r="J66" s="562"/>
      <c r="K66" s="377" t="s">
        <v>1112</v>
      </c>
      <c r="L66" s="447">
        <v>6</v>
      </c>
      <c r="M66" s="447">
        <v>42</v>
      </c>
      <c r="N66" s="448">
        <v>42152</v>
      </c>
    </row>
    <row r="67" spans="1:29">
      <c r="A67" s="559" t="s">
        <v>1586</v>
      </c>
      <c r="B67" s="560">
        <v>18</v>
      </c>
      <c r="C67" s="193">
        <v>42145</v>
      </c>
      <c r="D67" s="193">
        <v>42145</v>
      </c>
      <c r="E67" s="562" t="s">
        <v>177</v>
      </c>
      <c r="F67" s="562" t="s">
        <v>1110</v>
      </c>
      <c r="G67" s="562" t="s">
        <v>1113</v>
      </c>
      <c r="H67" s="562">
        <v>145</v>
      </c>
      <c r="I67" s="560">
        <v>145</v>
      </c>
      <c r="J67" s="562"/>
      <c r="K67" s="562" t="s">
        <v>1112</v>
      </c>
      <c r="L67" s="447">
        <v>2</v>
      </c>
      <c r="M67" s="447">
        <v>8</v>
      </c>
      <c r="N67" s="448">
        <v>42146</v>
      </c>
    </row>
    <row r="68" spans="1:29">
      <c r="A68" s="559" t="s">
        <v>1586</v>
      </c>
      <c r="B68" s="560">
        <v>18</v>
      </c>
      <c r="C68" s="193">
        <v>42145</v>
      </c>
      <c r="D68" s="193">
        <v>42145</v>
      </c>
      <c r="E68" s="562" t="s">
        <v>223</v>
      </c>
      <c r="F68" s="562" t="s">
        <v>1110</v>
      </c>
      <c r="G68" s="562" t="s">
        <v>1114</v>
      </c>
      <c r="H68" s="562">
        <v>26</v>
      </c>
      <c r="I68" s="560">
        <v>26</v>
      </c>
      <c r="J68" s="562" t="s">
        <v>1115</v>
      </c>
      <c r="K68" s="377" t="s">
        <v>1112</v>
      </c>
      <c r="L68" s="449">
        <v>5</v>
      </c>
      <c r="M68" s="449">
        <v>35</v>
      </c>
      <c r="N68" s="448">
        <v>42160</v>
      </c>
    </row>
    <row r="69" spans="1:29">
      <c r="A69" s="559" t="s">
        <v>1586</v>
      </c>
      <c r="B69" s="560">
        <v>18</v>
      </c>
      <c r="C69" s="193">
        <v>42145</v>
      </c>
      <c r="D69" s="193">
        <v>42145</v>
      </c>
      <c r="E69" s="562" t="s">
        <v>171</v>
      </c>
      <c r="F69" s="562" t="s">
        <v>1110</v>
      </c>
      <c r="G69" s="563" t="s">
        <v>1116</v>
      </c>
      <c r="H69" s="562">
        <v>33</v>
      </c>
      <c r="I69" s="560">
        <v>33</v>
      </c>
      <c r="J69" s="562"/>
      <c r="K69" s="562" t="s">
        <v>1112</v>
      </c>
      <c r="L69" s="447">
        <v>2</v>
      </c>
      <c r="M69" s="447">
        <v>8</v>
      </c>
      <c r="N69" s="448">
        <v>42152</v>
      </c>
    </row>
    <row r="70" spans="1:29">
      <c r="A70" s="559" t="s">
        <v>1587</v>
      </c>
      <c r="B70" s="560">
        <v>19</v>
      </c>
      <c r="C70" s="193">
        <v>42145</v>
      </c>
      <c r="D70" s="193">
        <v>42145</v>
      </c>
      <c r="E70" s="561" t="s">
        <v>195</v>
      </c>
      <c r="F70" s="562" t="s">
        <v>1110</v>
      </c>
      <c r="G70" s="563" t="s">
        <v>1111</v>
      </c>
      <c r="H70" s="562">
        <v>673</v>
      </c>
      <c r="I70" s="560">
        <v>673</v>
      </c>
      <c r="J70" s="562"/>
      <c r="K70" s="377" t="s">
        <v>1112</v>
      </c>
      <c r="L70" s="447">
        <v>6</v>
      </c>
      <c r="M70" s="447">
        <v>42</v>
      </c>
      <c r="N70" s="448">
        <v>42152</v>
      </c>
    </row>
    <row r="71" spans="1:29">
      <c r="A71" s="559" t="s">
        <v>1587</v>
      </c>
      <c r="B71" s="560">
        <v>19</v>
      </c>
      <c r="C71" s="193">
        <v>42145</v>
      </c>
      <c r="D71" s="193">
        <v>42145</v>
      </c>
      <c r="E71" s="562" t="s">
        <v>177</v>
      </c>
      <c r="F71" s="562" t="s">
        <v>1110</v>
      </c>
      <c r="G71" s="562" t="s">
        <v>1113</v>
      </c>
      <c r="H71" s="562">
        <v>361</v>
      </c>
      <c r="I71" s="560">
        <v>361</v>
      </c>
      <c r="J71" s="562"/>
      <c r="K71" s="562" t="s">
        <v>1112</v>
      </c>
      <c r="L71" s="447">
        <v>2</v>
      </c>
      <c r="M71" s="447">
        <v>8</v>
      </c>
      <c r="N71" s="448">
        <v>42146</v>
      </c>
    </row>
    <row r="72" spans="1:29">
      <c r="A72" s="559" t="s">
        <v>1587</v>
      </c>
      <c r="B72" s="560">
        <v>19</v>
      </c>
      <c r="C72" s="193">
        <v>42145</v>
      </c>
      <c r="D72" s="193">
        <v>42145</v>
      </c>
      <c r="E72" s="562" t="s">
        <v>223</v>
      </c>
      <c r="F72" s="562" t="s">
        <v>1110</v>
      </c>
      <c r="G72" s="562" t="s">
        <v>1114</v>
      </c>
      <c r="H72" s="562">
        <v>31</v>
      </c>
      <c r="I72" s="560">
        <v>31</v>
      </c>
      <c r="J72" s="562" t="s">
        <v>1115</v>
      </c>
      <c r="K72" s="377" t="s">
        <v>1112</v>
      </c>
      <c r="L72" s="449">
        <v>5</v>
      </c>
      <c r="M72" s="449">
        <v>35</v>
      </c>
      <c r="N72" s="448">
        <v>42160</v>
      </c>
    </row>
    <row r="73" spans="1:29">
      <c r="A73" s="559" t="s">
        <v>1587</v>
      </c>
      <c r="B73" s="560">
        <v>19</v>
      </c>
      <c r="C73" s="193">
        <v>42145</v>
      </c>
      <c r="D73" s="193">
        <v>42145</v>
      </c>
      <c r="E73" s="562" t="s">
        <v>171</v>
      </c>
      <c r="F73" s="562" t="s">
        <v>1110</v>
      </c>
      <c r="G73" s="563" t="s">
        <v>1116</v>
      </c>
      <c r="H73" s="562">
        <v>69</v>
      </c>
      <c r="I73" s="560">
        <v>69</v>
      </c>
      <c r="J73" s="562"/>
      <c r="K73" s="562" t="s">
        <v>1112</v>
      </c>
      <c r="L73" s="447">
        <v>2</v>
      </c>
      <c r="M73" s="447">
        <v>8</v>
      </c>
      <c r="N73" s="448">
        <v>42152</v>
      </c>
    </row>
    <row r="76" spans="1:29" s="710" customFormat="1">
      <c r="P76" s="559"/>
      <c r="Q76" s="560"/>
      <c r="R76" s="193"/>
      <c r="S76" s="193"/>
      <c r="T76" s="561"/>
      <c r="U76" s="562"/>
      <c r="V76" s="563"/>
      <c r="W76" s="562"/>
      <c r="X76" s="560"/>
      <c r="Y76" s="562"/>
      <c r="Z76" s="377"/>
      <c r="AA76" s="447"/>
      <c r="AB76" s="447"/>
      <c r="AC76" s="448"/>
    </row>
    <row r="77" spans="1:29" s="710" customFormat="1">
      <c r="P77" s="559"/>
      <c r="Q77" s="560"/>
      <c r="R77" s="193"/>
      <c r="S77" s="193"/>
      <c r="T77" s="561"/>
      <c r="U77" s="562"/>
      <c r="V77" s="563"/>
      <c r="W77" s="562"/>
      <c r="X77" s="560"/>
      <c r="Y77" s="562"/>
      <c r="Z77" s="377"/>
      <c r="AA77" s="447"/>
      <c r="AB77" s="447"/>
      <c r="AC77" s="448"/>
    </row>
    <row r="78" spans="1:29" s="710" customFormat="1">
      <c r="P78" s="559"/>
      <c r="Q78" s="560"/>
      <c r="R78" s="193"/>
      <c r="S78" s="193"/>
      <c r="T78" s="561"/>
      <c r="U78" s="562"/>
      <c r="V78" s="563"/>
      <c r="W78" s="562"/>
      <c r="X78" s="560"/>
      <c r="Y78" s="562"/>
      <c r="Z78" s="377"/>
      <c r="AA78" s="447"/>
      <c r="AB78" s="447"/>
      <c r="AC78" s="448"/>
    </row>
    <row r="79" spans="1:29" s="710" customFormat="1">
      <c r="A79" s="559"/>
      <c r="B79" s="560"/>
      <c r="C79" s="193"/>
      <c r="D79" s="193"/>
      <c r="E79" s="562"/>
      <c r="F79" s="562"/>
      <c r="G79" s="563"/>
      <c r="H79" s="562"/>
      <c r="I79" s="560"/>
      <c r="J79" s="562"/>
      <c r="K79" s="562"/>
      <c r="L79" s="447"/>
      <c r="M79" s="447"/>
      <c r="N79" s="448"/>
      <c r="P79" s="559"/>
      <c r="Q79" s="560"/>
      <c r="R79" s="193"/>
      <c r="S79" s="193"/>
      <c r="T79" s="561"/>
      <c r="U79" s="562"/>
      <c r="V79" s="563"/>
      <c r="W79" s="562"/>
      <c r="X79" s="560"/>
      <c r="Y79" s="562"/>
      <c r="Z79" s="377"/>
      <c r="AA79" s="447"/>
      <c r="AB79" s="447"/>
      <c r="AC79" s="448"/>
    </row>
    <row r="80" spans="1:29" s="710" customFormat="1">
      <c r="A80" s="559"/>
      <c r="B80" s="560"/>
      <c r="C80" s="193"/>
      <c r="D80" s="193"/>
      <c r="E80" s="562"/>
      <c r="F80" s="562"/>
      <c r="G80" s="563"/>
      <c r="H80" s="562"/>
      <c r="I80" s="560"/>
      <c r="J80" s="562"/>
      <c r="K80" s="562"/>
      <c r="L80" s="447"/>
      <c r="M80" s="447"/>
      <c r="N80" s="448"/>
      <c r="P80" s="559"/>
      <c r="Q80" s="560"/>
      <c r="R80" s="193"/>
      <c r="S80" s="193"/>
      <c r="T80" s="561"/>
      <c r="U80" s="562"/>
      <c r="V80" s="563"/>
      <c r="W80" s="562"/>
      <c r="X80" s="560"/>
      <c r="Y80" s="562"/>
      <c r="Z80" s="377"/>
      <c r="AA80" s="447"/>
      <c r="AB80" s="447"/>
      <c r="AC80" s="448"/>
    </row>
    <row r="81" spans="1:29" s="710" customFormat="1">
      <c r="A81" s="559" t="s">
        <v>1478</v>
      </c>
      <c r="B81" s="560">
        <v>79</v>
      </c>
      <c r="C81" s="193">
        <v>42171</v>
      </c>
      <c r="D81" s="193">
        <v>42171</v>
      </c>
      <c r="E81" s="561" t="s">
        <v>195</v>
      </c>
      <c r="F81" s="562" t="s">
        <v>1110</v>
      </c>
      <c r="G81" s="563" t="s">
        <v>1111</v>
      </c>
      <c r="H81" s="562">
        <v>1374</v>
      </c>
      <c r="I81" s="560">
        <v>1374</v>
      </c>
      <c r="J81" s="562"/>
      <c r="K81" s="377" t="s">
        <v>1112</v>
      </c>
      <c r="L81" s="447">
        <v>6</v>
      </c>
      <c r="M81" s="447">
        <v>42</v>
      </c>
      <c r="N81" s="448">
        <v>42181</v>
      </c>
      <c r="P81" s="559"/>
      <c r="Q81" s="560"/>
      <c r="R81" s="193"/>
      <c r="S81" s="193"/>
      <c r="T81" s="561"/>
      <c r="U81" s="562"/>
      <c r="V81" s="563"/>
      <c r="W81" s="562"/>
      <c r="X81" s="560"/>
      <c r="Y81" s="562"/>
      <c r="Z81" s="377"/>
      <c r="AA81" s="447"/>
      <c r="AB81" s="447"/>
      <c r="AC81" s="448"/>
    </row>
    <row r="82" spans="1:29" s="710" customFormat="1">
      <c r="A82" s="559" t="s">
        <v>1478</v>
      </c>
      <c r="B82" s="560">
        <v>79</v>
      </c>
      <c r="C82" s="193">
        <v>42171</v>
      </c>
      <c r="D82" s="193">
        <v>42171</v>
      </c>
      <c r="E82" s="562" t="s">
        <v>171</v>
      </c>
      <c r="F82" s="562" t="s">
        <v>1110</v>
      </c>
      <c r="G82" s="563" t="s">
        <v>1116</v>
      </c>
      <c r="H82" s="562">
        <v>46</v>
      </c>
      <c r="I82" s="560">
        <v>46</v>
      </c>
      <c r="J82" s="562"/>
      <c r="K82" s="562" t="s">
        <v>1112</v>
      </c>
      <c r="L82" s="447">
        <v>2</v>
      </c>
      <c r="M82" s="447">
        <v>8</v>
      </c>
      <c r="N82" s="448">
        <v>42181</v>
      </c>
      <c r="P82" s="559"/>
      <c r="Q82" s="560"/>
      <c r="R82" s="193"/>
      <c r="S82" s="193"/>
      <c r="T82" s="561"/>
      <c r="U82" s="562"/>
      <c r="V82" s="563"/>
      <c r="W82" s="562"/>
      <c r="X82" s="560"/>
      <c r="Y82" s="562"/>
      <c r="Z82" s="377"/>
      <c r="AA82" s="447"/>
      <c r="AB82" s="447"/>
      <c r="AC82" s="448"/>
    </row>
    <row r="83" spans="1:29" s="710" customFormat="1">
      <c r="A83" s="559" t="s">
        <v>1303</v>
      </c>
      <c r="B83" s="560">
        <v>80</v>
      </c>
      <c r="C83" s="193">
        <v>42173</v>
      </c>
      <c r="D83" s="193">
        <v>42173</v>
      </c>
      <c r="E83" s="561" t="s">
        <v>195</v>
      </c>
      <c r="F83" s="562" t="s">
        <v>1110</v>
      </c>
      <c r="G83" s="563" t="s">
        <v>1111</v>
      </c>
      <c r="H83" s="562">
        <v>1654</v>
      </c>
      <c r="I83" s="560">
        <v>1654</v>
      </c>
      <c r="J83" s="562"/>
      <c r="K83" s="377" t="s">
        <v>1112</v>
      </c>
      <c r="L83" s="447">
        <v>6</v>
      </c>
      <c r="M83" s="447">
        <v>42</v>
      </c>
      <c r="N83" s="448">
        <v>42184</v>
      </c>
      <c r="P83" s="559"/>
      <c r="Q83" s="560"/>
      <c r="R83" s="193"/>
      <c r="S83" s="193"/>
      <c r="T83" s="561"/>
      <c r="U83" s="562"/>
      <c r="V83" s="563"/>
      <c r="W83" s="562"/>
      <c r="X83" s="560"/>
      <c r="Y83" s="562"/>
      <c r="Z83" s="377"/>
      <c r="AA83" s="447"/>
      <c r="AB83" s="447"/>
      <c r="AC83" s="448"/>
    </row>
    <row r="84" spans="1:29" s="710" customFormat="1">
      <c r="A84" s="559" t="s">
        <v>1303</v>
      </c>
      <c r="B84" s="560">
        <v>80</v>
      </c>
      <c r="C84" s="193">
        <v>42173</v>
      </c>
      <c r="D84" s="193">
        <v>42173</v>
      </c>
      <c r="E84" s="562" t="s">
        <v>171</v>
      </c>
      <c r="F84" s="562" t="s">
        <v>1110</v>
      </c>
      <c r="G84" s="563" t="s">
        <v>1116</v>
      </c>
      <c r="H84" s="562">
        <v>75</v>
      </c>
      <c r="I84" s="560">
        <v>75</v>
      </c>
      <c r="J84" s="562"/>
      <c r="K84" s="562" t="s">
        <v>1112</v>
      </c>
      <c r="L84" s="447">
        <v>2</v>
      </c>
      <c r="M84" s="447">
        <v>8</v>
      </c>
      <c r="N84" s="448">
        <v>42184</v>
      </c>
      <c r="P84" s="559"/>
      <c r="Q84" s="560"/>
      <c r="R84" s="193"/>
      <c r="S84" s="193"/>
      <c r="T84" s="561"/>
      <c r="U84" s="562"/>
      <c r="V84" s="563"/>
      <c r="W84" s="562"/>
      <c r="X84" s="560"/>
      <c r="Y84" s="562"/>
      <c r="Z84" s="377"/>
      <c r="AA84" s="447"/>
      <c r="AB84" s="447"/>
      <c r="AC84" s="448"/>
    </row>
    <row r="86" spans="1:29">
      <c r="A86" s="559" t="s">
        <v>1462</v>
      </c>
      <c r="B86" s="560">
        <v>58</v>
      </c>
      <c r="C86" s="193">
        <v>42171</v>
      </c>
      <c r="D86" s="193">
        <v>42171</v>
      </c>
      <c r="E86" s="561" t="s">
        <v>195</v>
      </c>
      <c r="F86" s="562" t="s">
        <v>1110</v>
      </c>
      <c r="G86" s="563" t="s">
        <v>1111</v>
      </c>
      <c r="H86" s="562">
        <v>360</v>
      </c>
      <c r="I86" s="560">
        <v>360</v>
      </c>
      <c r="J86" s="562"/>
      <c r="K86" s="377" t="s">
        <v>1112</v>
      </c>
      <c r="L86" s="447">
        <v>6</v>
      </c>
      <c r="M86" s="447">
        <v>42</v>
      </c>
      <c r="N86" s="448">
        <v>42181</v>
      </c>
    </row>
    <row r="87" spans="1:29">
      <c r="A87" s="559" t="s">
        <v>1462</v>
      </c>
      <c r="B87" s="560">
        <v>58</v>
      </c>
      <c r="C87" s="193">
        <v>42171</v>
      </c>
      <c r="D87" s="193">
        <v>42171</v>
      </c>
      <c r="E87" s="562" t="s">
        <v>177</v>
      </c>
      <c r="F87" s="562" t="s">
        <v>1110</v>
      </c>
      <c r="G87" s="562" t="s">
        <v>1113</v>
      </c>
      <c r="H87" s="562">
        <v>90</v>
      </c>
      <c r="I87" s="560">
        <v>90</v>
      </c>
      <c r="J87" s="562"/>
      <c r="K87" s="562" t="s">
        <v>1112</v>
      </c>
      <c r="L87" s="447">
        <v>2</v>
      </c>
      <c r="M87" s="447">
        <v>8</v>
      </c>
      <c r="N87" s="448">
        <v>42171</v>
      </c>
    </row>
    <row r="88" spans="1:29">
      <c r="A88" s="559" t="s">
        <v>1462</v>
      </c>
      <c r="B88" s="560">
        <v>58</v>
      </c>
      <c r="C88" s="193">
        <v>42171</v>
      </c>
      <c r="D88" s="193">
        <v>42171</v>
      </c>
      <c r="E88" s="562" t="s">
        <v>223</v>
      </c>
      <c r="F88" s="562" t="s">
        <v>1110</v>
      </c>
      <c r="G88" s="562" t="s">
        <v>1114</v>
      </c>
      <c r="H88" s="562">
        <v>17</v>
      </c>
      <c r="I88" s="560">
        <v>17</v>
      </c>
      <c r="J88" s="562" t="s">
        <v>1115</v>
      </c>
      <c r="K88" s="377" t="s">
        <v>1112</v>
      </c>
      <c r="L88" s="449">
        <v>5</v>
      </c>
      <c r="M88" s="449">
        <v>35</v>
      </c>
      <c r="N88" s="448">
        <v>42173</v>
      </c>
    </row>
    <row r="89" spans="1:29" s="710" customFormat="1">
      <c r="A89" s="559" t="s">
        <v>1462</v>
      </c>
      <c r="B89" s="560">
        <v>58</v>
      </c>
      <c r="C89" s="193">
        <v>42171</v>
      </c>
      <c r="D89" s="193">
        <v>42171</v>
      </c>
      <c r="E89" s="562" t="s">
        <v>171</v>
      </c>
      <c r="F89" s="562" t="s">
        <v>1110</v>
      </c>
      <c r="G89" s="563" t="s">
        <v>1116</v>
      </c>
      <c r="H89" s="562">
        <v>42</v>
      </c>
      <c r="I89" s="560">
        <v>42</v>
      </c>
      <c r="J89" s="562"/>
      <c r="K89" s="562" t="s">
        <v>1112</v>
      </c>
      <c r="L89" s="447">
        <v>2</v>
      </c>
      <c r="M89" s="447">
        <v>8</v>
      </c>
      <c r="N89" s="448">
        <v>42181</v>
      </c>
    </row>
    <row r="90" spans="1:29" s="710" customFormat="1">
      <c r="A90" s="559" t="s">
        <v>1464</v>
      </c>
      <c r="B90" s="560" t="s">
        <v>678</v>
      </c>
      <c r="C90" s="193">
        <v>42171</v>
      </c>
      <c r="D90" s="193">
        <v>42171</v>
      </c>
      <c r="E90" s="561" t="s">
        <v>195</v>
      </c>
      <c r="F90" s="562" t="s">
        <v>1110</v>
      </c>
      <c r="G90" s="563" t="s">
        <v>1111</v>
      </c>
      <c r="H90" s="562">
        <v>349</v>
      </c>
      <c r="I90" s="560">
        <v>349</v>
      </c>
      <c r="J90" s="562"/>
      <c r="K90" s="377" t="s">
        <v>1112</v>
      </c>
      <c r="L90" s="447">
        <v>6</v>
      </c>
      <c r="M90" s="447">
        <v>42</v>
      </c>
      <c r="N90" s="448">
        <v>42181</v>
      </c>
    </row>
    <row r="91" spans="1:29" s="710" customFormat="1">
      <c r="A91" s="559" t="s">
        <v>1464</v>
      </c>
      <c r="B91" s="560" t="s">
        <v>678</v>
      </c>
      <c r="C91" s="193">
        <v>42171</v>
      </c>
      <c r="D91" s="193">
        <v>42171</v>
      </c>
      <c r="E91" s="562" t="s">
        <v>177</v>
      </c>
      <c r="F91" s="562" t="s">
        <v>1110</v>
      </c>
      <c r="G91" s="562" t="s">
        <v>1113</v>
      </c>
      <c r="H91" s="562">
        <v>50</v>
      </c>
      <c r="I91" s="560">
        <v>50</v>
      </c>
      <c r="J91" s="562"/>
      <c r="K91" s="562" t="s">
        <v>1112</v>
      </c>
      <c r="L91" s="447">
        <v>2</v>
      </c>
      <c r="M91" s="447">
        <v>8</v>
      </c>
      <c r="N91" s="448">
        <v>42171</v>
      </c>
    </row>
    <row r="92" spans="1:29" s="710" customFormat="1">
      <c r="A92" s="559" t="s">
        <v>1464</v>
      </c>
      <c r="B92" s="560" t="s">
        <v>678</v>
      </c>
      <c r="C92" s="193">
        <v>42171</v>
      </c>
      <c r="D92" s="193">
        <v>42171</v>
      </c>
      <c r="E92" s="562" t="s">
        <v>223</v>
      </c>
      <c r="F92" s="562" t="s">
        <v>1110</v>
      </c>
      <c r="G92" s="562" t="s">
        <v>1114</v>
      </c>
      <c r="H92" s="562">
        <v>27</v>
      </c>
      <c r="I92" s="560">
        <v>27</v>
      </c>
      <c r="J92" s="562" t="s">
        <v>1115</v>
      </c>
      <c r="K92" s="377" t="s">
        <v>1112</v>
      </c>
      <c r="L92" s="449">
        <v>5</v>
      </c>
      <c r="M92" s="449">
        <v>35</v>
      </c>
      <c r="N92" s="448">
        <v>42173</v>
      </c>
    </row>
    <row r="93" spans="1:29" s="710" customFormat="1">
      <c r="A93" s="559" t="s">
        <v>1464</v>
      </c>
      <c r="B93" s="560" t="s">
        <v>678</v>
      </c>
      <c r="C93" s="193">
        <v>42171</v>
      </c>
      <c r="D93" s="193">
        <v>42171</v>
      </c>
      <c r="E93" s="562" t="s">
        <v>171</v>
      </c>
      <c r="F93" s="562" t="s">
        <v>1110</v>
      </c>
      <c r="G93" s="563" t="s">
        <v>1116</v>
      </c>
      <c r="H93" s="562">
        <v>58</v>
      </c>
      <c r="I93" s="560">
        <v>58</v>
      </c>
      <c r="J93" s="562"/>
      <c r="K93" s="562" t="s">
        <v>1112</v>
      </c>
      <c r="L93" s="447">
        <v>2</v>
      </c>
      <c r="M93" s="447">
        <v>8</v>
      </c>
      <c r="N93" s="448">
        <v>42181</v>
      </c>
    </row>
    <row r="94" spans="1:29">
      <c r="A94" s="562" t="s">
        <v>1465</v>
      </c>
      <c r="B94" s="560" t="s">
        <v>677</v>
      </c>
      <c r="C94" s="193">
        <v>42171</v>
      </c>
      <c r="D94" s="193">
        <v>42171</v>
      </c>
      <c r="E94" s="561" t="s">
        <v>195</v>
      </c>
      <c r="F94" s="562" t="s">
        <v>1110</v>
      </c>
      <c r="G94" s="563" t="s">
        <v>1111</v>
      </c>
      <c r="H94" s="562">
        <v>354</v>
      </c>
      <c r="I94" s="560">
        <v>354</v>
      </c>
      <c r="J94" s="562"/>
      <c r="K94" s="377" t="s">
        <v>1112</v>
      </c>
      <c r="L94" s="447">
        <v>6</v>
      </c>
      <c r="M94" s="447">
        <v>42</v>
      </c>
      <c r="N94" s="448">
        <v>42181</v>
      </c>
    </row>
    <row r="95" spans="1:29">
      <c r="A95" s="562" t="s">
        <v>1465</v>
      </c>
      <c r="B95" s="560" t="s">
        <v>677</v>
      </c>
      <c r="C95" s="193">
        <v>42171</v>
      </c>
      <c r="D95" s="193">
        <v>42171</v>
      </c>
      <c r="E95" s="562" t="s">
        <v>177</v>
      </c>
      <c r="F95" s="562" t="s">
        <v>1110</v>
      </c>
      <c r="G95" s="562" t="s">
        <v>1113</v>
      </c>
      <c r="H95" s="562">
        <v>58</v>
      </c>
      <c r="I95" s="560">
        <v>58</v>
      </c>
      <c r="J95" s="562"/>
      <c r="K95" s="562" t="s">
        <v>1112</v>
      </c>
      <c r="L95" s="447">
        <v>2</v>
      </c>
      <c r="M95" s="447">
        <v>8</v>
      </c>
      <c r="N95" s="448">
        <v>42171</v>
      </c>
    </row>
    <row r="96" spans="1:29" s="710" customFormat="1">
      <c r="A96" s="562" t="s">
        <v>1465</v>
      </c>
      <c r="B96" s="560" t="s">
        <v>677</v>
      </c>
      <c r="C96" s="193">
        <v>42171</v>
      </c>
      <c r="D96" s="193">
        <v>42171</v>
      </c>
      <c r="E96" s="562" t="s">
        <v>223</v>
      </c>
      <c r="F96" s="562" t="s">
        <v>1110</v>
      </c>
      <c r="G96" s="562" t="s">
        <v>1114</v>
      </c>
      <c r="H96" s="562">
        <v>30</v>
      </c>
      <c r="I96" s="560">
        <v>30</v>
      </c>
      <c r="J96" s="562" t="s">
        <v>1115</v>
      </c>
      <c r="K96" s="377" t="s">
        <v>1112</v>
      </c>
      <c r="L96" s="449">
        <v>5</v>
      </c>
      <c r="M96" s="449">
        <v>35</v>
      </c>
      <c r="N96" s="448">
        <v>42173</v>
      </c>
    </row>
    <row r="97" spans="1:14">
      <c r="A97" s="562" t="s">
        <v>1465</v>
      </c>
      <c r="B97" s="560" t="s">
        <v>677</v>
      </c>
      <c r="C97" s="193">
        <v>42171</v>
      </c>
      <c r="D97" s="193">
        <v>42171</v>
      </c>
      <c r="E97" s="562" t="s">
        <v>171</v>
      </c>
      <c r="F97" s="562" t="s">
        <v>1110</v>
      </c>
      <c r="G97" s="563" t="s">
        <v>1116</v>
      </c>
      <c r="H97" s="562">
        <v>67</v>
      </c>
      <c r="I97" s="560">
        <v>67</v>
      </c>
      <c r="J97" s="562"/>
      <c r="K97" s="562" t="s">
        <v>1112</v>
      </c>
      <c r="L97" s="447">
        <v>2</v>
      </c>
      <c r="M97" s="447">
        <v>8</v>
      </c>
      <c r="N97" s="448">
        <v>42181</v>
      </c>
    </row>
    <row r="98" spans="1:14">
      <c r="A98" s="559" t="s">
        <v>1463</v>
      </c>
      <c r="B98" s="560">
        <v>25</v>
      </c>
      <c r="C98" s="193">
        <v>42171</v>
      </c>
      <c r="D98" s="193">
        <v>42171</v>
      </c>
      <c r="E98" s="561" t="s">
        <v>195</v>
      </c>
      <c r="F98" s="562" t="s">
        <v>1110</v>
      </c>
      <c r="G98" s="563" t="s">
        <v>1111</v>
      </c>
      <c r="H98" s="562">
        <v>364</v>
      </c>
      <c r="I98" s="560">
        <v>364</v>
      </c>
      <c r="J98" s="562"/>
      <c r="K98" s="377" t="s">
        <v>1112</v>
      </c>
      <c r="L98" s="447">
        <v>6</v>
      </c>
      <c r="M98" s="447">
        <v>42</v>
      </c>
      <c r="N98" s="448">
        <v>42181</v>
      </c>
    </row>
    <row r="99" spans="1:14">
      <c r="A99" s="559" t="s">
        <v>1463</v>
      </c>
      <c r="B99" s="560">
        <v>25</v>
      </c>
      <c r="C99" s="193">
        <v>42171</v>
      </c>
      <c r="D99" s="193">
        <v>42171</v>
      </c>
      <c r="E99" s="562" t="s">
        <v>177</v>
      </c>
      <c r="F99" s="562" t="s">
        <v>1110</v>
      </c>
      <c r="G99" s="562" t="s">
        <v>1113</v>
      </c>
      <c r="H99" s="562">
        <v>21</v>
      </c>
      <c r="I99" s="560">
        <v>21</v>
      </c>
      <c r="J99" s="562"/>
      <c r="K99" s="562" t="s">
        <v>1112</v>
      </c>
      <c r="L99" s="447">
        <v>2</v>
      </c>
      <c r="M99" s="447">
        <v>8</v>
      </c>
      <c r="N99" s="448">
        <v>42171</v>
      </c>
    </row>
    <row r="100" spans="1:14">
      <c r="A100" s="559" t="s">
        <v>1463</v>
      </c>
      <c r="B100" s="560">
        <v>25</v>
      </c>
      <c r="C100" s="193">
        <v>42171</v>
      </c>
      <c r="D100" s="193">
        <v>42171</v>
      </c>
      <c r="E100" s="562" t="s">
        <v>223</v>
      </c>
      <c r="F100" s="562" t="s">
        <v>1110</v>
      </c>
      <c r="G100" s="562" t="s">
        <v>1114</v>
      </c>
      <c r="H100" s="562">
        <v>27</v>
      </c>
      <c r="I100" s="560">
        <v>27</v>
      </c>
      <c r="J100" s="562" t="s">
        <v>1115</v>
      </c>
      <c r="K100" s="377" t="s">
        <v>1112</v>
      </c>
      <c r="L100" s="449">
        <v>5</v>
      </c>
      <c r="M100" s="449">
        <v>35</v>
      </c>
      <c r="N100" s="448">
        <v>42173</v>
      </c>
    </row>
    <row r="101" spans="1:14">
      <c r="A101" s="559" t="s">
        <v>1463</v>
      </c>
      <c r="B101" s="560">
        <v>25</v>
      </c>
      <c r="C101" s="193">
        <v>42171</v>
      </c>
      <c r="D101" s="193">
        <v>42171</v>
      </c>
      <c r="E101" s="562" t="s">
        <v>171</v>
      </c>
      <c r="F101" s="562" t="s">
        <v>1110</v>
      </c>
      <c r="G101" s="563" t="s">
        <v>1116</v>
      </c>
      <c r="H101" s="562">
        <v>60</v>
      </c>
      <c r="I101" s="560">
        <v>60</v>
      </c>
      <c r="J101" s="562"/>
      <c r="K101" s="562" t="s">
        <v>1112</v>
      </c>
      <c r="L101" s="447">
        <v>2</v>
      </c>
      <c r="M101" s="447">
        <v>8</v>
      </c>
      <c r="N101" s="448">
        <v>42181</v>
      </c>
    </row>
    <row r="102" spans="1:14">
      <c r="A102" s="559" t="s">
        <v>1478</v>
      </c>
      <c r="B102" s="560">
        <v>79</v>
      </c>
      <c r="C102" s="193">
        <v>42171</v>
      </c>
      <c r="D102" s="193">
        <v>42171</v>
      </c>
      <c r="E102" s="561" t="s">
        <v>195</v>
      </c>
      <c r="F102" s="562" t="s">
        <v>1110</v>
      </c>
      <c r="G102" s="563" t="s">
        <v>1111</v>
      </c>
      <c r="H102" s="562">
        <v>1374</v>
      </c>
      <c r="I102" s="560">
        <v>1374</v>
      </c>
      <c r="J102" s="562"/>
      <c r="K102" s="377" t="s">
        <v>1112</v>
      </c>
      <c r="L102" s="447">
        <v>6</v>
      </c>
      <c r="M102" s="447">
        <v>42</v>
      </c>
      <c r="N102" s="448">
        <v>42181</v>
      </c>
    </row>
    <row r="103" spans="1:14">
      <c r="A103" s="559" t="s">
        <v>1478</v>
      </c>
      <c r="B103" s="560">
        <v>79</v>
      </c>
      <c r="C103" s="193">
        <v>42171</v>
      </c>
      <c r="D103" s="193">
        <v>42171</v>
      </c>
      <c r="E103" s="562" t="s">
        <v>171</v>
      </c>
      <c r="F103" s="562" t="s">
        <v>1110</v>
      </c>
      <c r="G103" s="563" t="s">
        <v>1116</v>
      </c>
      <c r="H103" s="562">
        <v>46</v>
      </c>
      <c r="I103" s="560">
        <v>46</v>
      </c>
      <c r="J103" s="562"/>
      <c r="K103" s="562" t="s">
        <v>1112</v>
      </c>
      <c r="L103" s="447">
        <v>2</v>
      </c>
      <c r="M103" s="447">
        <v>8</v>
      </c>
      <c r="N103" s="448">
        <v>42181</v>
      </c>
    </row>
    <row r="104" spans="1:14">
      <c r="A104" s="559" t="s">
        <v>1466</v>
      </c>
      <c r="B104" s="560">
        <v>5</v>
      </c>
      <c r="C104" s="193">
        <v>42171</v>
      </c>
      <c r="D104" s="193">
        <v>42171</v>
      </c>
      <c r="E104" s="561" t="s">
        <v>195</v>
      </c>
      <c r="F104" s="562" t="s">
        <v>1110</v>
      </c>
      <c r="G104" s="563" t="s">
        <v>1111</v>
      </c>
      <c r="H104" s="562">
        <v>366</v>
      </c>
      <c r="I104" s="560">
        <v>366</v>
      </c>
      <c r="J104" s="562"/>
      <c r="K104" s="377" t="s">
        <v>1112</v>
      </c>
      <c r="L104" s="447">
        <v>6</v>
      </c>
      <c r="M104" s="447">
        <v>42</v>
      </c>
      <c r="N104" s="448">
        <v>42181</v>
      </c>
    </row>
    <row r="105" spans="1:14">
      <c r="A105" s="559" t="s">
        <v>1466</v>
      </c>
      <c r="B105" s="560">
        <v>5</v>
      </c>
      <c r="C105" s="193">
        <v>42171</v>
      </c>
      <c r="D105" s="193">
        <v>42171</v>
      </c>
      <c r="E105" s="562" t="s">
        <v>177</v>
      </c>
      <c r="F105" s="562" t="s">
        <v>1110</v>
      </c>
      <c r="G105" s="562" t="s">
        <v>1113</v>
      </c>
      <c r="H105" s="562">
        <v>73</v>
      </c>
      <c r="I105" s="560">
        <v>73</v>
      </c>
      <c r="J105" s="562"/>
      <c r="K105" s="562" t="s">
        <v>1112</v>
      </c>
      <c r="L105" s="447">
        <v>2</v>
      </c>
      <c r="M105" s="447">
        <v>8</v>
      </c>
      <c r="N105" s="448">
        <v>42171</v>
      </c>
    </row>
    <row r="106" spans="1:14">
      <c r="A106" s="559" t="s">
        <v>1466</v>
      </c>
      <c r="B106" s="560">
        <v>5</v>
      </c>
      <c r="C106" s="193">
        <v>42171</v>
      </c>
      <c r="D106" s="193">
        <v>42171</v>
      </c>
      <c r="E106" s="562" t="s">
        <v>223</v>
      </c>
      <c r="F106" s="562" t="s">
        <v>1110</v>
      </c>
      <c r="G106" s="562" t="s">
        <v>1114</v>
      </c>
      <c r="H106" s="562">
        <v>35</v>
      </c>
      <c r="I106" s="560">
        <v>35</v>
      </c>
      <c r="J106" s="562" t="s">
        <v>1115</v>
      </c>
      <c r="K106" s="377" t="s">
        <v>1112</v>
      </c>
      <c r="L106" s="449">
        <v>5</v>
      </c>
      <c r="M106" s="449">
        <v>35</v>
      </c>
      <c r="N106" s="448">
        <v>42173</v>
      </c>
    </row>
    <row r="107" spans="1:14">
      <c r="A107" s="559" t="s">
        <v>1466</v>
      </c>
      <c r="B107" s="560">
        <v>5</v>
      </c>
      <c r="C107" s="193">
        <v>42171</v>
      </c>
      <c r="D107" s="193">
        <v>42171</v>
      </c>
      <c r="E107" s="562" t="s">
        <v>171</v>
      </c>
      <c r="F107" s="562" t="s">
        <v>1110</v>
      </c>
      <c r="G107" s="563" t="s">
        <v>1116</v>
      </c>
      <c r="H107" s="562">
        <v>59</v>
      </c>
      <c r="I107" s="560">
        <v>59</v>
      </c>
      <c r="J107" s="562"/>
      <c r="K107" s="562" t="s">
        <v>1112</v>
      </c>
      <c r="L107" s="447">
        <v>2</v>
      </c>
      <c r="M107" s="447">
        <v>8</v>
      </c>
      <c r="N107" s="448">
        <v>42181</v>
      </c>
    </row>
    <row r="108" spans="1:14">
      <c r="A108" s="559" t="s">
        <v>1467</v>
      </c>
      <c r="B108" s="560" t="s">
        <v>302</v>
      </c>
      <c r="C108" s="193">
        <v>42171</v>
      </c>
      <c r="D108" s="193">
        <v>42171</v>
      </c>
      <c r="E108" s="561" t="s">
        <v>195</v>
      </c>
      <c r="F108" s="562" t="s">
        <v>1110</v>
      </c>
      <c r="G108" s="563" t="s">
        <v>1111</v>
      </c>
      <c r="H108" s="562">
        <v>394</v>
      </c>
      <c r="I108" s="560">
        <v>394</v>
      </c>
      <c r="J108" s="562"/>
      <c r="K108" s="377" t="s">
        <v>1112</v>
      </c>
      <c r="L108" s="447">
        <v>6</v>
      </c>
      <c r="M108" s="447">
        <v>42</v>
      </c>
      <c r="N108" s="448">
        <v>42181</v>
      </c>
    </row>
    <row r="109" spans="1:14">
      <c r="A109" s="559" t="s">
        <v>1467</v>
      </c>
      <c r="B109" s="560" t="s">
        <v>302</v>
      </c>
      <c r="C109" s="193">
        <v>42171</v>
      </c>
      <c r="D109" s="193">
        <v>42171</v>
      </c>
      <c r="E109" s="562" t="s">
        <v>177</v>
      </c>
      <c r="F109" s="562" t="s">
        <v>1110</v>
      </c>
      <c r="G109" s="562" t="s">
        <v>1113</v>
      </c>
      <c r="H109" s="562">
        <v>83</v>
      </c>
      <c r="I109" s="560">
        <v>83</v>
      </c>
      <c r="J109" s="562"/>
      <c r="K109" s="377" t="s">
        <v>1112</v>
      </c>
      <c r="L109" s="447">
        <v>2</v>
      </c>
      <c r="M109" s="447">
        <v>8</v>
      </c>
      <c r="N109" s="448">
        <v>42171</v>
      </c>
    </row>
    <row r="110" spans="1:14">
      <c r="A110" s="559" t="s">
        <v>1467</v>
      </c>
      <c r="B110" s="560" t="s">
        <v>302</v>
      </c>
      <c r="C110" s="193">
        <v>42171</v>
      </c>
      <c r="D110" s="193">
        <v>42171</v>
      </c>
      <c r="E110" s="562" t="s">
        <v>223</v>
      </c>
      <c r="F110" s="562" t="s">
        <v>1110</v>
      </c>
      <c r="G110" s="562" t="s">
        <v>1114</v>
      </c>
      <c r="H110" s="562">
        <v>40</v>
      </c>
      <c r="I110" s="560">
        <v>40</v>
      </c>
      <c r="J110" s="562"/>
      <c r="K110" s="562" t="s">
        <v>1112</v>
      </c>
      <c r="L110" s="449">
        <v>5</v>
      </c>
      <c r="M110" s="449">
        <v>35</v>
      </c>
      <c r="N110" s="448">
        <v>42173</v>
      </c>
    </row>
    <row r="111" spans="1:14">
      <c r="A111" s="559" t="s">
        <v>1467</v>
      </c>
      <c r="B111" s="560" t="s">
        <v>302</v>
      </c>
      <c r="C111" s="193">
        <v>42171</v>
      </c>
      <c r="D111" s="193">
        <v>42171</v>
      </c>
      <c r="E111" s="562" t="s">
        <v>171</v>
      </c>
      <c r="F111" s="562" t="s">
        <v>1110</v>
      </c>
      <c r="G111" s="563" t="s">
        <v>1116</v>
      </c>
      <c r="H111" s="562">
        <v>68</v>
      </c>
      <c r="I111" s="560">
        <v>68</v>
      </c>
      <c r="J111" s="562"/>
      <c r="K111" s="562" t="s">
        <v>1112</v>
      </c>
      <c r="L111" s="447">
        <v>2</v>
      </c>
      <c r="M111" s="447">
        <v>8</v>
      </c>
      <c r="N111" s="448">
        <v>42181</v>
      </c>
    </row>
    <row r="112" spans="1:14">
      <c r="A112" s="559" t="s">
        <v>1469</v>
      </c>
      <c r="B112" s="560">
        <v>9</v>
      </c>
      <c r="C112" s="193">
        <v>42171</v>
      </c>
      <c r="D112" s="193">
        <v>42171</v>
      </c>
      <c r="E112" s="561" t="s">
        <v>195</v>
      </c>
      <c r="F112" s="562" t="s">
        <v>1110</v>
      </c>
      <c r="G112" s="563" t="s">
        <v>1111</v>
      </c>
      <c r="H112" s="562">
        <v>403</v>
      </c>
      <c r="I112" s="560">
        <v>403</v>
      </c>
      <c r="J112" s="562"/>
      <c r="K112" s="377" t="s">
        <v>1112</v>
      </c>
      <c r="L112" s="447">
        <v>6</v>
      </c>
      <c r="M112" s="447">
        <v>42</v>
      </c>
      <c r="N112" s="448">
        <v>42181</v>
      </c>
    </row>
    <row r="113" spans="1:14">
      <c r="A113" s="559" t="s">
        <v>1469</v>
      </c>
      <c r="B113" s="560">
        <v>9</v>
      </c>
      <c r="C113" s="193">
        <v>42171</v>
      </c>
      <c r="D113" s="193">
        <v>42171</v>
      </c>
      <c r="E113" s="562" t="s">
        <v>177</v>
      </c>
      <c r="F113" s="562" t="s">
        <v>1110</v>
      </c>
      <c r="G113" s="562" t="s">
        <v>1113</v>
      </c>
      <c r="H113" s="562">
        <v>105</v>
      </c>
      <c r="I113" s="560">
        <v>105</v>
      </c>
      <c r="J113" s="562"/>
      <c r="K113" s="562" t="s">
        <v>1112</v>
      </c>
      <c r="L113" s="447">
        <v>2</v>
      </c>
      <c r="M113" s="447">
        <v>8</v>
      </c>
      <c r="N113" s="448">
        <v>42171</v>
      </c>
    </row>
    <row r="114" spans="1:14">
      <c r="A114" s="559" t="s">
        <v>1469</v>
      </c>
      <c r="B114" s="560">
        <v>9</v>
      </c>
      <c r="C114" s="193">
        <v>42171</v>
      </c>
      <c r="D114" s="193">
        <v>42171</v>
      </c>
      <c r="E114" s="562" t="s">
        <v>223</v>
      </c>
      <c r="F114" s="562" t="s">
        <v>1110</v>
      </c>
      <c r="G114" s="562" t="s">
        <v>1114</v>
      </c>
      <c r="H114" s="562">
        <v>48</v>
      </c>
      <c r="I114" s="560">
        <v>48</v>
      </c>
      <c r="J114" s="562"/>
      <c r="K114" s="377" t="s">
        <v>1112</v>
      </c>
      <c r="L114" s="449">
        <v>5</v>
      </c>
      <c r="M114" s="449">
        <v>35</v>
      </c>
      <c r="N114" s="448">
        <v>42173</v>
      </c>
    </row>
    <row r="115" spans="1:14">
      <c r="A115" s="559" t="s">
        <v>1469</v>
      </c>
      <c r="B115" s="560">
        <v>9</v>
      </c>
      <c r="C115" s="193">
        <v>42171</v>
      </c>
      <c r="D115" s="193">
        <v>42171</v>
      </c>
      <c r="E115" s="562" t="s">
        <v>171</v>
      </c>
      <c r="F115" s="562" t="s">
        <v>1110</v>
      </c>
      <c r="G115" s="563" t="s">
        <v>1116</v>
      </c>
      <c r="H115" s="562">
        <v>61</v>
      </c>
      <c r="I115" s="560">
        <v>61</v>
      </c>
      <c r="J115" s="562"/>
      <c r="K115" s="562" t="s">
        <v>1112</v>
      </c>
      <c r="L115" s="447">
        <v>2</v>
      </c>
      <c r="M115" s="447">
        <v>8</v>
      </c>
      <c r="N115" s="448">
        <v>42181</v>
      </c>
    </row>
    <row r="116" spans="1:14">
      <c r="A116" s="559" t="s">
        <v>1470</v>
      </c>
      <c r="B116" s="560">
        <v>12</v>
      </c>
      <c r="C116" s="193">
        <v>42171</v>
      </c>
      <c r="D116" s="193">
        <v>42171</v>
      </c>
      <c r="E116" s="561" t="s">
        <v>195</v>
      </c>
      <c r="F116" s="562" t="s">
        <v>1110</v>
      </c>
      <c r="G116" s="563" t="s">
        <v>1111</v>
      </c>
      <c r="H116" s="562">
        <v>380</v>
      </c>
      <c r="I116" s="560">
        <v>380</v>
      </c>
      <c r="J116" s="562"/>
      <c r="K116" s="377" t="s">
        <v>1112</v>
      </c>
      <c r="L116" s="447">
        <v>6</v>
      </c>
      <c r="M116" s="447">
        <v>42</v>
      </c>
      <c r="N116" s="448">
        <v>42181</v>
      </c>
    </row>
    <row r="117" spans="1:14" s="710" customFormat="1">
      <c r="A117" s="559" t="s">
        <v>1470</v>
      </c>
      <c r="B117" s="560">
        <v>12</v>
      </c>
      <c r="C117" s="193">
        <v>42171</v>
      </c>
      <c r="D117" s="193">
        <v>42171</v>
      </c>
      <c r="E117" s="562" t="s">
        <v>177</v>
      </c>
      <c r="F117" s="562" t="s">
        <v>1110</v>
      </c>
      <c r="G117" s="562" t="s">
        <v>1113</v>
      </c>
      <c r="H117" s="562">
        <v>132</v>
      </c>
      <c r="I117" s="560">
        <v>132</v>
      </c>
      <c r="J117" s="562"/>
      <c r="K117" s="562" t="s">
        <v>1112</v>
      </c>
      <c r="L117" s="447">
        <v>2</v>
      </c>
      <c r="M117" s="447">
        <v>8</v>
      </c>
      <c r="N117" s="448">
        <v>42171</v>
      </c>
    </row>
    <row r="118" spans="1:14" s="710" customFormat="1">
      <c r="A118" s="559" t="s">
        <v>1470</v>
      </c>
      <c r="B118" s="560">
        <v>12</v>
      </c>
      <c r="C118" s="193">
        <v>42171</v>
      </c>
      <c r="D118" s="193">
        <v>42171</v>
      </c>
      <c r="E118" s="562" t="s">
        <v>223</v>
      </c>
      <c r="F118" s="562" t="s">
        <v>1110</v>
      </c>
      <c r="G118" s="562" t="s">
        <v>1114</v>
      </c>
      <c r="H118" s="562">
        <v>44</v>
      </c>
      <c r="I118" s="560">
        <v>44</v>
      </c>
      <c r="J118" s="562"/>
      <c r="K118" s="377" t="s">
        <v>1112</v>
      </c>
      <c r="L118" s="449">
        <v>5</v>
      </c>
      <c r="M118" s="449">
        <v>35</v>
      </c>
      <c r="N118" s="448">
        <v>42173</v>
      </c>
    </row>
    <row r="119" spans="1:14" s="710" customFormat="1">
      <c r="A119" s="559" t="s">
        <v>1470</v>
      </c>
      <c r="B119" s="560">
        <v>12</v>
      </c>
      <c r="C119" s="193">
        <v>42171</v>
      </c>
      <c r="D119" s="193">
        <v>42171</v>
      </c>
      <c r="E119" s="562" t="s">
        <v>171</v>
      </c>
      <c r="F119" s="562" t="s">
        <v>1110</v>
      </c>
      <c r="G119" s="563" t="s">
        <v>1116</v>
      </c>
      <c r="H119" s="562">
        <v>57</v>
      </c>
      <c r="I119" s="560">
        <v>57</v>
      </c>
      <c r="J119" s="562"/>
      <c r="K119" s="562" t="s">
        <v>1112</v>
      </c>
      <c r="L119" s="447">
        <v>2</v>
      </c>
      <c r="M119" s="447">
        <v>8</v>
      </c>
      <c r="N119" s="448">
        <v>42181</v>
      </c>
    </row>
    <row r="120" spans="1:14" s="710" customFormat="1">
      <c r="A120" s="559" t="s">
        <v>1471</v>
      </c>
      <c r="B120" s="560" t="s">
        <v>303</v>
      </c>
      <c r="C120" s="193">
        <v>42171</v>
      </c>
      <c r="D120" s="193">
        <v>42171</v>
      </c>
      <c r="E120" s="561" t="s">
        <v>195</v>
      </c>
      <c r="F120" s="562" t="s">
        <v>1110</v>
      </c>
      <c r="G120" s="563" t="s">
        <v>1111</v>
      </c>
      <c r="H120" s="562">
        <v>434</v>
      </c>
      <c r="I120" s="560">
        <v>434</v>
      </c>
      <c r="J120" s="562"/>
      <c r="K120" s="377" t="s">
        <v>1112</v>
      </c>
      <c r="L120" s="447">
        <v>6</v>
      </c>
      <c r="M120" s="447">
        <v>42</v>
      </c>
      <c r="N120" s="448">
        <v>42181</v>
      </c>
    </row>
    <row r="121" spans="1:14">
      <c r="A121" s="559" t="s">
        <v>1471</v>
      </c>
      <c r="B121" s="560" t="s">
        <v>303</v>
      </c>
      <c r="C121" s="193">
        <v>42171</v>
      </c>
      <c r="D121" s="193">
        <v>42171</v>
      </c>
      <c r="E121" s="562" t="s">
        <v>177</v>
      </c>
      <c r="F121" s="562" t="s">
        <v>1110</v>
      </c>
      <c r="G121" s="562" t="s">
        <v>1113</v>
      </c>
      <c r="H121" s="562">
        <v>138</v>
      </c>
      <c r="I121" s="560">
        <v>138</v>
      </c>
      <c r="J121" s="562"/>
      <c r="K121" s="562" t="s">
        <v>1112</v>
      </c>
      <c r="L121" s="447">
        <v>2</v>
      </c>
      <c r="M121" s="447">
        <v>8</v>
      </c>
      <c r="N121" s="448">
        <v>42171</v>
      </c>
    </row>
    <row r="122" spans="1:14">
      <c r="A122" s="559" t="s">
        <v>1471</v>
      </c>
      <c r="B122" s="560" t="s">
        <v>303</v>
      </c>
      <c r="C122" s="193">
        <v>42171</v>
      </c>
      <c r="D122" s="193">
        <v>42171</v>
      </c>
      <c r="E122" s="562" t="s">
        <v>223</v>
      </c>
      <c r="F122" s="562" t="s">
        <v>1110</v>
      </c>
      <c r="G122" s="562" t="s">
        <v>1114</v>
      </c>
      <c r="H122" s="562">
        <v>39</v>
      </c>
      <c r="I122" s="560">
        <v>39</v>
      </c>
      <c r="J122" s="562"/>
      <c r="K122" s="377" t="s">
        <v>1112</v>
      </c>
      <c r="L122" s="449">
        <v>5</v>
      </c>
      <c r="M122" s="449">
        <v>35</v>
      </c>
      <c r="N122" s="448">
        <v>42173</v>
      </c>
    </row>
    <row r="123" spans="1:14">
      <c r="A123" s="559" t="s">
        <v>1471</v>
      </c>
      <c r="B123" s="560" t="s">
        <v>303</v>
      </c>
      <c r="C123" s="193">
        <v>42171</v>
      </c>
      <c r="D123" s="193">
        <v>42171</v>
      </c>
      <c r="E123" s="562" t="s">
        <v>171</v>
      </c>
      <c r="F123" s="562" t="s">
        <v>1110</v>
      </c>
      <c r="G123" s="563" t="s">
        <v>1116</v>
      </c>
      <c r="H123" s="562">
        <v>211</v>
      </c>
      <c r="I123" s="560">
        <v>211</v>
      </c>
      <c r="J123" s="562"/>
      <c r="K123" s="562" t="s">
        <v>1112</v>
      </c>
      <c r="L123" s="447">
        <v>2</v>
      </c>
      <c r="M123" s="447">
        <v>8</v>
      </c>
      <c r="N123" s="448">
        <v>42181</v>
      </c>
    </row>
    <row r="124" spans="1:14">
      <c r="A124" s="559" t="s">
        <v>1472</v>
      </c>
      <c r="B124" s="560" t="s">
        <v>679</v>
      </c>
      <c r="C124" s="193">
        <v>42171</v>
      </c>
      <c r="D124" s="193">
        <v>42171</v>
      </c>
      <c r="E124" s="561" t="s">
        <v>195</v>
      </c>
      <c r="F124" s="562" t="s">
        <v>1110</v>
      </c>
      <c r="G124" s="563" t="s">
        <v>1111</v>
      </c>
      <c r="H124" s="562">
        <v>462</v>
      </c>
      <c r="I124" s="560">
        <v>462</v>
      </c>
      <c r="J124" s="562"/>
      <c r="K124" s="377" t="s">
        <v>1112</v>
      </c>
      <c r="L124" s="447">
        <v>6</v>
      </c>
      <c r="M124" s="447">
        <v>42</v>
      </c>
      <c r="N124" s="448">
        <v>42181</v>
      </c>
    </row>
    <row r="125" spans="1:14">
      <c r="A125" s="559" t="s">
        <v>1472</v>
      </c>
      <c r="B125" s="560" t="s">
        <v>679</v>
      </c>
      <c r="C125" s="193">
        <v>42171</v>
      </c>
      <c r="D125" s="193">
        <v>42171</v>
      </c>
      <c r="E125" s="562" t="s">
        <v>177</v>
      </c>
      <c r="F125" s="562" t="s">
        <v>1110</v>
      </c>
      <c r="G125" s="562" t="s">
        <v>1113</v>
      </c>
      <c r="H125" s="562">
        <v>148</v>
      </c>
      <c r="I125" s="560">
        <v>148</v>
      </c>
      <c r="J125" s="562"/>
      <c r="K125" s="562" t="s">
        <v>1112</v>
      </c>
      <c r="L125" s="447">
        <v>2</v>
      </c>
      <c r="M125" s="447">
        <v>8</v>
      </c>
      <c r="N125" s="448">
        <v>42171</v>
      </c>
    </row>
    <row r="126" spans="1:14">
      <c r="A126" s="559" t="s">
        <v>1472</v>
      </c>
      <c r="B126" s="560" t="s">
        <v>679</v>
      </c>
      <c r="C126" s="193">
        <v>42171</v>
      </c>
      <c r="D126" s="193">
        <v>42171</v>
      </c>
      <c r="E126" s="562" t="s">
        <v>223</v>
      </c>
      <c r="F126" s="562" t="s">
        <v>1110</v>
      </c>
      <c r="G126" s="562" t="s">
        <v>1114</v>
      </c>
      <c r="H126" s="562">
        <v>37</v>
      </c>
      <c r="I126" s="560">
        <v>37</v>
      </c>
      <c r="J126" s="562"/>
      <c r="K126" s="377" t="s">
        <v>1112</v>
      </c>
      <c r="L126" s="449">
        <v>5</v>
      </c>
      <c r="M126" s="449">
        <v>35</v>
      </c>
      <c r="N126" s="448">
        <v>42173</v>
      </c>
    </row>
    <row r="127" spans="1:14">
      <c r="A127" s="559" t="s">
        <v>1472</v>
      </c>
      <c r="B127" s="560" t="s">
        <v>679</v>
      </c>
      <c r="C127" s="193">
        <v>42171</v>
      </c>
      <c r="D127" s="193">
        <v>42171</v>
      </c>
      <c r="E127" s="562" t="s">
        <v>171</v>
      </c>
      <c r="F127" s="562" t="s">
        <v>1110</v>
      </c>
      <c r="G127" s="563" t="s">
        <v>1116</v>
      </c>
      <c r="H127" s="562">
        <v>79</v>
      </c>
      <c r="I127" s="560">
        <v>79</v>
      </c>
      <c r="J127" s="562"/>
      <c r="K127" s="562" t="s">
        <v>1112</v>
      </c>
      <c r="L127" s="447">
        <v>2</v>
      </c>
      <c r="M127" s="447">
        <v>8</v>
      </c>
      <c r="N127" s="448">
        <v>42181</v>
      </c>
    </row>
    <row r="128" spans="1:14">
      <c r="A128" s="559" t="s">
        <v>1473</v>
      </c>
      <c r="B128" s="560">
        <v>34</v>
      </c>
      <c r="C128" s="193">
        <v>42171</v>
      </c>
      <c r="D128" s="193">
        <v>42171</v>
      </c>
      <c r="E128" s="561" t="s">
        <v>195</v>
      </c>
      <c r="F128" s="562" t="s">
        <v>1110</v>
      </c>
      <c r="G128" s="563" t="s">
        <v>1111</v>
      </c>
      <c r="H128" s="562">
        <v>1889</v>
      </c>
      <c r="I128" s="560">
        <v>1889</v>
      </c>
      <c r="J128" s="562"/>
      <c r="K128" s="377" t="s">
        <v>1112</v>
      </c>
      <c r="L128" s="447">
        <v>6</v>
      </c>
      <c r="M128" s="447">
        <v>42</v>
      </c>
      <c r="N128" s="448">
        <v>42181</v>
      </c>
    </row>
    <row r="129" spans="1:14">
      <c r="A129" s="559" t="s">
        <v>1473</v>
      </c>
      <c r="B129" s="560">
        <v>34</v>
      </c>
      <c r="C129" s="193">
        <v>42171</v>
      </c>
      <c r="D129" s="193">
        <v>42171</v>
      </c>
      <c r="E129" s="562" t="s">
        <v>177</v>
      </c>
      <c r="F129" s="562" t="s">
        <v>1110</v>
      </c>
      <c r="G129" s="562" t="s">
        <v>1113</v>
      </c>
      <c r="H129" s="562">
        <v>1655</v>
      </c>
      <c r="I129" s="560">
        <v>1655</v>
      </c>
      <c r="J129" s="562"/>
      <c r="K129" s="562" t="s">
        <v>1112</v>
      </c>
      <c r="L129" s="447">
        <v>2</v>
      </c>
      <c r="M129" s="447">
        <v>8</v>
      </c>
      <c r="N129" s="448">
        <v>42171</v>
      </c>
    </row>
    <row r="130" spans="1:14">
      <c r="A130" s="559" t="s">
        <v>1473</v>
      </c>
      <c r="B130" s="560">
        <v>34</v>
      </c>
      <c r="C130" s="193">
        <v>42171</v>
      </c>
      <c r="D130" s="193">
        <v>42171</v>
      </c>
      <c r="E130" s="562" t="s">
        <v>223</v>
      </c>
      <c r="F130" s="562" t="s">
        <v>1110</v>
      </c>
      <c r="G130" s="562" t="s">
        <v>1114</v>
      </c>
      <c r="H130" s="562">
        <v>44</v>
      </c>
      <c r="I130" s="560">
        <v>44</v>
      </c>
      <c r="J130" s="562"/>
      <c r="K130" s="377" t="s">
        <v>1112</v>
      </c>
      <c r="L130" s="449">
        <v>5</v>
      </c>
      <c r="M130" s="449">
        <v>35</v>
      </c>
      <c r="N130" s="448">
        <v>42173</v>
      </c>
    </row>
    <row r="131" spans="1:14">
      <c r="A131" s="559" t="s">
        <v>1473</v>
      </c>
      <c r="B131" s="560">
        <v>34</v>
      </c>
      <c r="C131" s="193">
        <v>42171</v>
      </c>
      <c r="D131" s="193">
        <v>42171</v>
      </c>
      <c r="E131" s="562" t="s">
        <v>171</v>
      </c>
      <c r="F131" s="562" t="s">
        <v>1110</v>
      </c>
      <c r="G131" s="563" t="s">
        <v>1116</v>
      </c>
      <c r="H131" s="562">
        <v>70</v>
      </c>
      <c r="I131" s="560">
        <v>70</v>
      </c>
      <c r="J131" s="562"/>
      <c r="K131" s="562" t="s">
        <v>1112</v>
      </c>
      <c r="L131" s="447">
        <v>2</v>
      </c>
      <c r="M131" s="447">
        <v>8</v>
      </c>
      <c r="N131" s="448">
        <v>42181</v>
      </c>
    </row>
    <row r="132" spans="1:14">
      <c r="A132" s="559" t="s">
        <v>1476</v>
      </c>
      <c r="B132" s="560">
        <v>35</v>
      </c>
      <c r="C132" s="193">
        <v>42171</v>
      </c>
      <c r="D132" s="193">
        <v>42171</v>
      </c>
      <c r="E132" s="561" t="s">
        <v>195</v>
      </c>
      <c r="F132" s="562" t="s">
        <v>1110</v>
      </c>
      <c r="G132" s="563" t="s">
        <v>1111</v>
      </c>
      <c r="H132" s="562">
        <v>327</v>
      </c>
      <c r="I132" s="560">
        <v>327</v>
      </c>
      <c r="J132" s="562"/>
      <c r="K132" s="377" t="s">
        <v>1112</v>
      </c>
      <c r="L132" s="447">
        <v>6</v>
      </c>
      <c r="M132" s="447">
        <v>42</v>
      </c>
      <c r="N132" s="448">
        <v>42181</v>
      </c>
    </row>
    <row r="133" spans="1:14">
      <c r="A133" s="559" t="s">
        <v>1476</v>
      </c>
      <c r="B133" s="560">
        <v>35</v>
      </c>
      <c r="C133" s="193">
        <v>42171</v>
      </c>
      <c r="D133" s="193">
        <v>42171</v>
      </c>
      <c r="E133" s="562" t="s">
        <v>177</v>
      </c>
      <c r="F133" s="562" t="s">
        <v>1110</v>
      </c>
      <c r="G133" s="562" t="s">
        <v>1113</v>
      </c>
      <c r="H133" s="562">
        <v>148</v>
      </c>
      <c r="I133" s="560">
        <v>148</v>
      </c>
      <c r="J133" s="562"/>
      <c r="K133" s="562" t="s">
        <v>1112</v>
      </c>
      <c r="L133" s="447">
        <v>2</v>
      </c>
      <c r="M133" s="447">
        <v>8</v>
      </c>
      <c r="N133" s="448">
        <v>42171</v>
      </c>
    </row>
    <row r="134" spans="1:14">
      <c r="A134" s="559" t="s">
        <v>1476</v>
      </c>
      <c r="B134" s="560">
        <v>35</v>
      </c>
      <c r="C134" s="193">
        <v>42171</v>
      </c>
      <c r="D134" s="193">
        <v>42171</v>
      </c>
      <c r="E134" s="562" t="s">
        <v>223</v>
      </c>
      <c r="F134" s="562" t="s">
        <v>1110</v>
      </c>
      <c r="G134" s="562" t="s">
        <v>1114</v>
      </c>
      <c r="H134" s="562">
        <v>18</v>
      </c>
      <c r="I134" s="560">
        <v>18</v>
      </c>
      <c r="J134" s="562" t="s">
        <v>1115</v>
      </c>
      <c r="K134" s="377" t="s">
        <v>1112</v>
      </c>
      <c r="L134" s="449">
        <v>5</v>
      </c>
      <c r="M134" s="449">
        <v>35</v>
      </c>
      <c r="N134" s="448">
        <v>42173</v>
      </c>
    </row>
    <row r="135" spans="1:14">
      <c r="A135" s="559" t="s">
        <v>1476</v>
      </c>
      <c r="B135" s="560">
        <v>35</v>
      </c>
      <c r="C135" s="193">
        <v>42171</v>
      </c>
      <c r="D135" s="193">
        <v>42171</v>
      </c>
      <c r="E135" s="562" t="s">
        <v>171</v>
      </c>
      <c r="F135" s="562" t="s">
        <v>1110</v>
      </c>
      <c r="G135" s="563" t="s">
        <v>1116</v>
      </c>
      <c r="H135" s="562">
        <v>28</v>
      </c>
      <c r="I135" s="560">
        <v>28</v>
      </c>
      <c r="J135" s="562"/>
      <c r="K135" s="562" t="s">
        <v>1112</v>
      </c>
      <c r="L135" s="447">
        <v>2</v>
      </c>
      <c r="M135" s="447">
        <v>8</v>
      </c>
      <c r="N135" s="448">
        <v>42181</v>
      </c>
    </row>
    <row r="136" spans="1:14">
      <c r="A136" s="559" t="s">
        <v>1477</v>
      </c>
      <c r="B136" s="560">
        <v>50</v>
      </c>
      <c r="C136" s="193">
        <v>42171</v>
      </c>
      <c r="D136" s="193">
        <v>42171</v>
      </c>
      <c r="E136" s="561" t="s">
        <v>195</v>
      </c>
      <c r="F136" s="562" t="s">
        <v>1110</v>
      </c>
      <c r="G136" s="563" t="s">
        <v>1111</v>
      </c>
      <c r="H136" s="562">
        <v>558</v>
      </c>
      <c r="I136" s="560">
        <v>558</v>
      </c>
      <c r="J136" s="562"/>
      <c r="K136" s="377" t="s">
        <v>1112</v>
      </c>
      <c r="L136" s="447">
        <v>6</v>
      </c>
      <c r="M136" s="447">
        <v>42</v>
      </c>
      <c r="N136" s="448">
        <v>42181</v>
      </c>
    </row>
    <row r="137" spans="1:14">
      <c r="A137" s="559" t="s">
        <v>1477</v>
      </c>
      <c r="B137" s="560">
        <v>50</v>
      </c>
      <c r="C137" s="193">
        <v>42171</v>
      </c>
      <c r="D137" s="193">
        <v>42171</v>
      </c>
      <c r="E137" s="562" t="s">
        <v>177</v>
      </c>
      <c r="F137" s="562" t="s">
        <v>1110</v>
      </c>
      <c r="G137" s="562" t="s">
        <v>1113</v>
      </c>
      <c r="H137" s="562">
        <v>224</v>
      </c>
      <c r="I137" s="560">
        <v>224</v>
      </c>
      <c r="J137" s="562"/>
      <c r="K137" s="562" t="s">
        <v>1112</v>
      </c>
      <c r="L137" s="447">
        <v>2</v>
      </c>
      <c r="M137" s="447">
        <v>8</v>
      </c>
      <c r="N137" s="448">
        <v>42171</v>
      </c>
    </row>
    <row r="138" spans="1:14">
      <c r="A138" s="559" t="s">
        <v>1477</v>
      </c>
      <c r="B138" s="560">
        <v>50</v>
      </c>
      <c r="C138" s="193">
        <v>42171</v>
      </c>
      <c r="D138" s="193">
        <v>42171</v>
      </c>
      <c r="E138" s="562" t="s">
        <v>223</v>
      </c>
      <c r="F138" s="562" t="s">
        <v>1110</v>
      </c>
      <c r="G138" s="562" t="s">
        <v>1114</v>
      </c>
      <c r="H138" s="562">
        <v>98</v>
      </c>
      <c r="I138" s="560">
        <v>98</v>
      </c>
      <c r="J138" s="562"/>
      <c r="K138" s="377" t="s">
        <v>1112</v>
      </c>
      <c r="L138" s="449">
        <v>5</v>
      </c>
      <c r="M138" s="449">
        <v>35</v>
      </c>
      <c r="N138" s="448">
        <v>42173</v>
      </c>
    </row>
    <row r="139" spans="1:14">
      <c r="A139" s="559" t="s">
        <v>1477</v>
      </c>
      <c r="B139" s="560">
        <v>50</v>
      </c>
      <c r="C139" s="193">
        <v>42171</v>
      </c>
      <c r="D139" s="193">
        <v>42171</v>
      </c>
      <c r="E139" s="562" t="s">
        <v>171</v>
      </c>
      <c r="F139" s="562" t="s">
        <v>1110</v>
      </c>
      <c r="G139" s="563" t="s">
        <v>1116</v>
      </c>
      <c r="H139" s="562">
        <v>256</v>
      </c>
      <c r="I139" s="560">
        <v>256</v>
      </c>
      <c r="J139" s="562"/>
      <c r="K139" s="562" t="s">
        <v>1112</v>
      </c>
      <c r="L139" s="447">
        <v>2</v>
      </c>
      <c r="M139" s="447">
        <v>8</v>
      </c>
      <c r="N139" s="448">
        <v>42181</v>
      </c>
    </row>
    <row r="140" spans="1:14">
      <c r="A140" s="559" t="s">
        <v>1461</v>
      </c>
      <c r="B140" s="560">
        <v>64</v>
      </c>
      <c r="C140" s="193">
        <v>42171</v>
      </c>
      <c r="D140" s="193">
        <v>42171</v>
      </c>
      <c r="E140" s="561" t="s">
        <v>195</v>
      </c>
      <c r="F140" s="562" t="s">
        <v>1110</v>
      </c>
      <c r="G140" s="563" t="s">
        <v>1111</v>
      </c>
      <c r="H140" s="562">
        <v>664</v>
      </c>
      <c r="I140" s="560">
        <v>664</v>
      </c>
      <c r="J140" s="562"/>
      <c r="K140" s="377" t="s">
        <v>1112</v>
      </c>
      <c r="L140" s="447">
        <v>6</v>
      </c>
      <c r="M140" s="447">
        <v>42</v>
      </c>
      <c r="N140" s="448">
        <v>42181</v>
      </c>
    </row>
    <row r="141" spans="1:14">
      <c r="A141" s="559" t="s">
        <v>1461</v>
      </c>
      <c r="B141" s="560">
        <v>64</v>
      </c>
      <c r="C141" s="193">
        <v>42171</v>
      </c>
      <c r="D141" s="193">
        <v>42171</v>
      </c>
      <c r="E141" s="562" t="s">
        <v>177</v>
      </c>
      <c r="F141" s="562" t="s">
        <v>1110</v>
      </c>
      <c r="G141" s="562" t="s">
        <v>1113</v>
      </c>
      <c r="H141" s="562">
        <v>147</v>
      </c>
      <c r="I141" s="560">
        <v>147</v>
      </c>
      <c r="J141" s="562"/>
      <c r="K141" s="562" t="s">
        <v>1112</v>
      </c>
      <c r="L141" s="447">
        <v>2</v>
      </c>
      <c r="M141" s="447">
        <v>8</v>
      </c>
      <c r="N141" s="448">
        <v>42171</v>
      </c>
    </row>
    <row r="142" spans="1:14">
      <c r="A142" s="559" t="s">
        <v>1461</v>
      </c>
      <c r="B142" s="560">
        <v>64</v>
      </c>
      <c r="C142" s="193">
        <v>42171</v>
      </c>
      <c r="D142" s="193">
        <v>42171</v>
      </c>
      <c r="E142" s="562" t="s">
        <v>223</v>
      </c>
      <c r="F142" s="562" t="s">
        <v>1110</v>
      </c>
      <c r="G142" s="562" t="s">
        <v>1114</v>
      </c>
      <c r="H142" s="562">
        <v>27</v>
      </c>
      <c r="I142" s="560">
        <v>27</v>
      </c>
      <c r="J142" s="562" t="s">
        <v>1115</v>
      </c>
      <c r="K142" s="377" t="s">
        <v>1112</v>
      </c>
      <c r="L142" s="449">
        <v>5</v>
      </c>
      <c r="M142" s="449">
        <v>35</v>
      </c>
      <c r="N142" s="448">
        <v>42173</v>
      </c>
    </row>
    <row r="143" spans="1:14">
      <c r="A143" s="559" t="s">
        <v>1461</v>
      </c>
      <c r="B143" s="560">
        <v>64</v>
      </c>
      <c r="C143" s="193">
        <v>42171</v>
      </c>
      <c r="D143" s="193">
        <v>42171</v>
      </c>
      <c r="E143" s="562" t="s">
        <v>171</v>
      </c>
      <c r="F143" s="562" t="s">
        <v>1110</v>
      </c>
      <c r="G143" s="563" t="s">
        <v>1116</v>
      </c>
      <c r="H143" s="562">
        <v>48</v>
      </c>
      <c r="I143" s="560">
        <v>48</v>
      </c>
      <c r="J143" s="562"/>
      <c r="K143" s="562" t="s">
        <v>1112</v>
      </c>
      <c r="L143" s="447">
        <v>2</v>
      </c>
      <c r="M143" s="447">
        <v>8</v>
      </c>
      <c r="N143" s="448">
        <v>42181</v>
      </c>
    </row>
    <row r="144" spans="1:14">
      <c r="A144" s="559" t="s">
        <v>1468</v>
      </c>
      <c r="B144" s="560">
        <v>32</v>
      </c>
      <c r="C144" s="193">
        <v>42171</v>
      </c>
      <c r="D144" s="193">
        <v>42171</v>
      </c>
      <c r="E144" s="561" t="s">
        <v>195</v>
      </c>
      <c r="F144" s="562" t="s">
        <v>1110</v>
      </c>
      <c r="G144" s="563" t="s">
        <v>1111</v>
      </c>
      <c r="H144" s="562">
        <v>1663</v>
      </c>
      <c r="I144" s="560">
        <v>1663</v>
      </c>
      <c r="J144" s="562"/>
      <c r="K144" s="377" t="s">
        <v>1112</v>
      </c>
      <c r="L144" s="447">
        <v>6</v>
      </c>
      <c r="M144" s="447">
        <v>42</v>
      </c>
      <c r="N144" s="448">
        <v>42181</v>
      </c>
    </row>
    <row r="145" spans="1:14">
      <c r="A145" s="559" t="s">
        <v>1468</v>
      </c>
      <c r="B145" s="560">
        <v>32</v>
      </c>
      <c r="C145" s="193">
        <v>42171</v>
      </c>
      <c r="D145" s="193">
        <v>42171</v>
      </c>
      <c r="E145" s="562" t="s">
        <v>177</v>
      </c>
      <c r="F145" s="562" t="s">
        <v>1110</v>
      </c>
      <c r="G145" s="562" t="s">
        <v>1113</v>
      </c>
      <c r="H145" s="562">
        <v>674</v>
      </c>
      <c r="I145" s="560">
        <v>674</v>
      </c>
      <c r="J145" s="562"/>
      <c r="K145" s="562" t="s">
        <v>1112</v>
      </c>
      <c r="L145" s="447">
        <v>2</v>
      </c>
      <c r="M145" s="447">
        <v>8</v>
      </c>
      <c r="N145" s="448">
        <v>42171</v>
      </c>
    </row>
    <row r="146" spans="1:14">
      <c r="A146" s="559" t="s">
        <v>1468</v>
      </c>
      <c r="B146" s="560">
        <v>32</v>
      </c>
      <c r="C146" s="193">
        <v>42171</v>
      </c>
      <c r="D146" s="193">
        <v>42171</v>
      </c>
      <c r="E146" s="562" t="s">
        <v>223</v>
      </c>
      <c r="F146" s="562" t="s">
        <v>1110</v>
      </c>
      <c r="G146" s="562" t="s">
        <v>1114</v>
      </c>
      <c r="H146" s="562">
        <v>621</v>
      </c>
      <c r="I146" s="560">
        <v>621</v>
      </c>
      <c r="J146" s="562"/>
      <c r="K146" s="562" t="s">
        <v>1112</v>
      </c>
      <c r="L146" s="449">
        <v>5</v>
      </c>
      <c r="M146" s="449">
        <v>35</v>
      </c>
      <c r="N146" s="448">
        <v>42173</v>
      </c>
    </row>
    <row r="147" spans="1:14">
      <c r="A147" s="559" t="s">
        <v>1468</v>
      </c>
      <c r="B147" s="560">
        <v>32</v>
      </c>
      <c r="C147" s="193">
        <v>42171</v>
      </c>
      <c r="D147" s="193">
        <v>42171</v>
      </c>
      <c r="E147" s="562" t="s">
        <v>171</v>
      </c>
      <c r="F147" s="562" t="s">
        <v>1110</v>
      </c>
      <c r="G147" s="563" t="s">
        <v>1116</v>
      </c>
      <c r="H147" s="562">
        <v>194</v>
      </c>
      <c r="I147" s="560">
        <v>194</v>
      </c>
      <c r="J147" s="562"/>
      <c r="K147" s="562" t="s">
        <v>1112</v>
      </c>
      <c r="L147" s="447">
        <v>2</v>
      </c>
      <c r="M147" s="447">
        <v>8</v>
      </c>
      <c r="N147" s="448">
        <v>42181</v>
      </c>
    </row>
    <row r="148" spans="1:14">
      <c r="A148" s="559" t="s">
        <v>1474</v>
      </c>
      <c r="B148" s="560">
        <v>18</v>
      </c>
      <c r="C148" s="193">
        <v>42171</v>
      </c>
      <c r="D148" s="193">
        <v>42171</v>
      </c>
      <c r="E148" s="561" t="s">
        <v>195</v>
      </c>
      <c r="F148" s="562" t="s">
        <v>1110</v>
      </c>
      <c r="G148" s="563" t="s">
        <v>1111</v>
      </c>
      <c r="H148" s="562">
        <v>793</v>
      </c>
      <c r="I148" s="560">
        <v>793</v>
      </c>
      <c r="J148" s="562"/>
      <c r="K148" s="377" t="s">
        <v>1112</v>
      </c>
      <c r="L148" s="447">
        <v>6</v>
      </c>
      <c r="M148" s="447">
        <v>42</v>
      </c>
      <c r="N148" s="448">
        <v>42181</v>
      </c>
    </row>
    <row r="149" spans="1:14">
      <c r="A149" s="559" t="s">
        <v>1474</v>
      </c>
      <c r="B149" s="560">
        <v>18</v>
      </c>
      <c r="C149" s="193">
        <v>42171</v>
      </c>
      <c r="D149" s="193">
        <v>42171</v>
      </c>
      <c r="E149" s="562" t="s">
        <v>177</v>
      </c>
      <c r="F149" s="562" t="s">
        <v>1110</v>
      </c>
      <c r="G149" s="562" t="s">
        <v>1113</v>
      </c>
      <c r="H149" s="562">
        <v>66</v>
      </c>
      <c r="I149" s="560">
        <v>66</v>
      </c>
      <c r="J149" s="562"/>
      <c r="K149" s="562" t="s">
        <v>1112</v>
      </c>
      <c r="L149" s="447">
        <v>2</v>
      </c>
      <c r="M149" s="447">
        <v>8</v>
      </c>
      <c r="N149" s="448">
        <v>42171</v>
      </c>
    </row>
    <row r="150" spans="1:14">
      <c r="A150" s="559" t="s">
        <v>1474</v>
      </c>
      <c r="B150" s="560">
        <v>18</v>
      </c>
      <c r="C150" s="193">
        <v>42171</v>
      </c>
      <c r="D150" s="193">
        <v>42171</v>
      </c>
      <c r="E150" s="562" t="s">
        <v>223</v>
      </c>
      <c r="F150" s="562" t="s">
        <v>1110</v>
      </c>
      <c r="G150" s="562" t="s">
        <v>1114</v>
      </c>
      <c r="H150" s="562">
        <v>37</v>
      </c>
      <c r="I150" s="560">
        <v>37</v>
      </c>
      <c r="J150" s="562"/>
      <c r="K150" s="377" t="s">
        <v>1112</v>
      </c>
      <c r="L150" s="449">
        <v>5</v>
      </c>
      <c r="M150" s="449">
        <v>35</v>
      </c>
      <c r="N150" s="448">
        <v>42173</v>
      </c>
    </row>
    <row r="151" spans="1:14">
      <c r="A151" s="559" t="s">
        <v>1474</v>
      </c>
      <c r="B151" s="560">
        <v>18</v>
      </c>
      <c r="C151" s="193">
        <v>42171</v>
      </c>
      <c r="D151" s="193">
        <v>42171</v>
      </c>
      <c r="E151" s="562" t="s">
        <v>171</v>
      </c>
      <c r="F151" s="562" t="s">
        <v>1110</v>
      </c>
      <c r="G151" s="563" t="s">
        <v>1116</v>
      </c>
      <c r="H151" s="562">
        <v>59</v>
      </c>
      <c r="I151" s="560">
        <v>59</v>
      </c>
      <c r="J151" s="562"/>
      <c r="K151" s="562" t="s">
        <v>1112</v>
      </c>
      <c r="L151" s="447">
        <v>2</v>
      </c>
      <c r="M151" s="447">
        <v>8</v>
      </c>
      <c r="N151" s="448">
        <v>42181</v>
      </c>
    </row>
    <row r="152" spans="1:14">
      <c r="A152" s="559" t="s">
        <v>1475</v>
      </c>
      <c r="B152" s="560">
        <v>19</v>
      </c>
      <c r="C152" s="193">
        <v>42171</v>
      </c>
      <c r="D152" s="193">
        <v>42171</v>
      </c>
      <c r="E152" s="561" t="s">
        <v>195</v>
      </c>
      <c r="F152" s="562" t="s">
        <v>1110</v>
      </c>
      <c r="G152" s="563" t="s">
        <v>1111</v>
      </c>
      <c r="H152" s="562">
        <v>528</v>
      </c>
      <c r="I152" s="560">
        <v>528</v>
      </c>
      <c r="J152" s="562"/>
      <c r="K152" s="377" t="s">
        <v>1112</v>
      </c>
      <c r="L152" s="447">
        <v>6</v>
      </c>
      <c r="M152" s="447">
        <v>42</v>
      </c>
      <c r="N152" s="448">
        <v>42181</v>
      </c>
    </row>
    <row r="153" spans="1:14">
      <c r="A153" s="559" t="s">
        <v>1475</v>
      </c>
      <c r="B153" s="560">
        <v>19</v>
      </c>
      <c r="C153" s="193">
        <v>42171</v>
      </c>
      <c r="D153" s="193">
        <v>42171</v>
      </c>
      <c r="E153" s="562" t="s">
        <v>177</v>
      </c>
      <c r="F153" s="562" t="s">
        <v>1110</v>
      </c>
      <c r="G153" s="562" t="s">
        <v>1113</v>
      </c>
      <c r="H153" s="562">
        <v>237</v>
      </c>
      <c r="I153" s="560">
        <v>237</v>
      </c>
      <c r="J153" s="562"/>
      <c r="K153" s="562" t="s">
        <v>1112</v>
      </c>
      <c r="L153" s="447">
        <v>2</v>
      </c>
      <c r="M153" s="447">
        <v>8</v>
      </c>
      <c r="N153" s="448">
        <v>42171</v>
      </c>
    </row>
    <row r="154" spans="1:14">
      <c r="A154" s="559" t="s">
        <v>1475</v>
      </c>
      <c r="B154" s="560">
        <v>19</v>
      </c>
      <c r="C154" s="193">
        <v>42171</v>
      </c>
      <c r="D154" s="193">
        <v>42171</v>
      </c>
      <c r="E154" s="562" t="s">
        <v>223</v>
      </c>
      <c r="F154" s="562" t="s">
        <v>1110</v>
      </c>
      <c r="G154" s="562" t="s">
        <v>1114</v>
      </c>
      <c r="H154" s="562">
        <v>22</v>
      </c>
      <c r="I154" s="560">
        <v>22</v>
      </c>
      <c r="J154" s="562" t="s">
        <v>1115</v>
      </c>
      <c r="K154" s="377" t="s">
        <v>1112</v>
      </c>
      <c r="L154" s="449">
        <v>5</v>
      </c>
      <c r="M154" s="449">
        <v>35</v>
      </c>
      <c r="N154" s="448">
        <v>42173</v>
      </c>
    </row>
    <row r="155" spans="1:14">
      <c r="A155" s="559" t="s">
        <v>1475</v>
      </c>
      <c r="B155" s="560">
        <v>19</v>
      </c>
      <c r="C155" s="193">
        <v>42171</v>
      </c>
      <c r="D155" s="193">
        <v>42171</v>
      </c>
      <c r="E155" s="562" t="s">
        <v>171</v>
      </c>
      <c r="F155" s="562" t="s">
        <v>1110</v>
      </c>
      <c r="G155" s="563" t="s">
        <v>1116</v>
      </c>
      <c r="H155" s="562">
        <v>43</v>
      </c>
      <c r="I155" s="560">
        <v>43</v>
      </c>
      <c r="J155" s="562"/>
      <c r="K155" s="562" t="s">
        <v>1112</v>
      </c>
      <c r="L155" s="447">
        <v>2</v>
      </c>
      <c r="M155" s="447">
        <v>8</v>
      </c>
      <c r="N155" s="448">
        <v>42181</v>
      </c>
    </row>
    <row r="157" spans="1:14">
      <c r="A157" s="559" t="s">
        <v>1482</v>
      </c>
      <c r="B157" s="560">
        <v>58</v>
      </c>
      <c r="C157" s="193">
        <v>42192</v>
      </c>
      <c r="D157" s="193">
        <v>42192</v>
      </c>
      <c r="E157" s="561" t="s">
        <v>195</v>
      </c>
      <c r="F157" s="562" t="s">
        <v>1110</v>
      </c>
      <c r="G157" s="563" t="s">
        <v>1111</v>
      </c>
      <c r="H157" s="562">
        <v>244</v>
      </c>
      <c r="I157" s="560">
        <v>244</v>
      </c>
      <c r="J157" s="562"/>
      <c r="K157" s="377" t="s">
        <v>1112</v>
      </c>
      <c r="L157" s="447">
        <v>6</v>
      </c>
      <c r="M157" s="447">
        <v>42</v>
      </c>
      <c r="N157" s="448">
        <v>42198</v>
      </c>
    </row>
    <row r="158" spans="1:14">
      <c r="A158" s="559" t="s">
        <v>1482</v>
      </c>
      <c r="B158" s="560">
        <v>58</v>
      </c>
      <c r="C158" s="193">
        <v>42192</v>
      </c>
      <c r="D158" s="193">
        <v>42192</v>
      </c>
      <c r="E158" s="562" t="s">
        <v>177</v>
      </c>
      <c r="F158" s="562" t="s">
        <v>1110</v>
      </c>
      <c r="G158" s="562" t="s">
        <v>1113</v>
      </c>
      <c r="H158" s="562">
        <v>84</v>
      </c>
      <c r="I158" s="560">
        <v>84</v>
      </c>
      <c r="J158" s="562"/>
      <c r="K158" s="562" t="s">
        <v>1112</v>
      </c>
      <c r="L158" s="447">
        <v>2</v>
      </c>
      <c r="M158" s="447">
        <v>8</v>
      </c>
      <c r="N158" s="448">
        <v>42192</v>
      </c>
    </row>
    <row r="159" spans="1:14">
      <c r="A159" s="559" t="s">
        <v>1482</v>
      </c>
      <c r="B159" s="560">
        <v>58</v>
      </c>
      <c r="C159" s="193">
        <v>42192</v>
      </c>
      <c r="D159" s="193">
        <v>42192</v>
      </c>
      <c r="E159" s="562" t="s">
        <v>223</v>
      </c>
      <c r="F159" s="562" t="s">
        <v>1110</v>
      </c>
      <c r="G159" s="562" t="s">
        <v>1114</v>
      </c>
      <c r="H159" s="562">
        <v>6</v>
      </c>
      <c r="I159" s="560">
        <v>6</v>
      </c>
      <c r="J159" s="562" t="s">
        <v>1115</v>
      </c>
      <c r="K159" s="377" t="s">
        <v>1112</v>
      </c>
      <c r="L159" s="449">
        <v>5</v>
      </c>
      <c r="M159" s="449">
        <v>35</v>
      </c>
      <c r="N159" s="448">
        <v>42195</v>
      </c>
    </row>
    <row r="160" spans="1:14">
      <c r="A160" s="559" t="s">
        <v>1482</v>
      </c>
      <c r="B160" s="560">
        <v>58</v>
      </c>
      <c r="C160" s="193">
        <v>42192</v>
      </c>
      <c r="D160" s="193">
        <v>42192</v>
      </c>
      <c r="E160" s="562" t="s">
        <v>171</v>
      </c>
      <c r="F160" s="562" t="s">
        <v>1110</v>
      </c>
      <c r="G160" s="563" t="s">
        <v>1116</v>
      </c>
      <c r="H160" s="562">
        <v>19</v>
      </c>
      <c r="I160" s="560">
        <v>19</v>
      </c>
      <c r="J160" s="562"/>
      <c r="K160" s="562" t="s">
        <v>1112</v>
      </c>
      <c r="L160" s="447">
        <v>2</v>
      </c>
      <c r="M160" s="447">
        <v>8</v>
      </c>
      <c r="N160" s="448">
        <v>42198</v>
      </c>
    </row>
    <row r="161" spans="1:14">
      <c r="A161" s="559" t="s">
        <v>1484</v>
      </c>
      <c r="B161" s="560" t="s">
        <v>678</v>
      </c>
      <c r="C161" s="193">
        <v>42192</v>
      </c>
      <c r="D161" s="193">
        <v>42192</v>
      </c>
      <c r="E161" s="561" t="s">
        <v>195</v>
      </c>
      <c r="F161" s="562" t="s">
        <v>1110</v>
      </c>
      <c r="G161" s="563" t="s">
        <v>1111</v>
      </c>
      <c r="H161" s="562">
        <v>235</v>
      </c>
      <c r="I161" s="560">
        <v>235</v>
      </c>
      <c r="J161" s="562"/>
      <c r="K161" s="377" t="s">
        <v>1112</v>
      </c>
      <c r="L161" s="447">
        <v>6</v>
      </c>
      <c r="M161" s="447">
        <v>42</v>
      </c>
      <c r="N161" s="448">
        <v>42198</v>
      </c>
    </row>
    <row r="162" spans="1:14">
      <c r="A162" s="559" t="s">
        <v>1484</v>
      </c>
      <c r="B162" s="560" t="s">
        <v>678</v>
      </c>
      <c r="C162" s="193">
        <v>42192</v>
      </c>
      <c r="D162" s="193">
        <v>42192</v>
      </c>
      <c r="E162" s="562" t="s">
        <v>177</v>
      </c>
      <c r="F162" s="562" t="s">
        <v>1110</v>
      </c>
      <c r="G162" s="562" t="s">
        <v>1113</v>
      </c>
      <c r="H162" s="562">
        <v>59</v>
      </c>
      <c r="I162" s="560">
        <v>59</v>
      </c>
      <c r="J162" s="562"/>
      <c r="K162" s="562" t="s">
        <v>1112</v>
      </c>
      <c r="L162" s="447">
        <v>2</v>
      </c>
      <c r="M162" s="447">
        <v>8</v>
      </c>
      <c r="N162" s="448">
        <v>42192</v>
      </c>
    </row>
    <row r="163" spans="1:14">
      <c r="A163" s="559" t="s">
        <v>1484</v>
      </c>
      <c r="B163" s="560" t="s">
        <v>678</v>
      </c>
      <c r="C163" s="193">
        <v>42192</v>
      </c>
      <c r="D163" s="193">
        <v>42192</v>
      </c>
      <c r="E163" s="562" t="s">
        <v>223</v>
      </c>
      <c r="F163" s="562" t="s">
        <v>1110</v>
      </c>
      <c r="G163" s="562" t="s">
        <v>1114</v>
      </c>
      <c r="H163" s="562">
        <v>12</v>
      </c>
      <c r="I163" s="560">
        <v>12</v>
      </c>
      <c r="J163" s="562" t="s">
        <v>1115</v>
      </c>
      <c r="K163" s="377" t="s">
        <v>1112</v>
      </c>
      <c r="L163" s="449">
        <v>5</v>
      </c>
      <c r="M163" s="449">
        <v>35</v>
      </c>
      <c r="N163" s="448">
        <v>42195</v>
      </c>
    </row>
    <row r="164" spans="1:14">
      <c r="A164" s="559" t="s">
        <v>1484</v>
      </c>
      <c r="B164" s="560" t="s">
        <v>678</v>
      </c>
      <c r="C164" s="193">
        <v>42192</v>
      </c>
      <c r="D164" s="193">
        <v>42192</v>
      </c>
      <c r="E164" s="562" t="s">
        <v>171</v>
      </c>
      <c r="F164" s="562" t="s">
        <v>1110</v>
      </c>
      <c r="G164" s="563" t="s">
        <v>1116</v>
      </c>
      <c r="H164" s="562">
        <v>33</v>
      </c>
      <c r="I164" s="560">
        <v>33</v>
      </c>
      <c r="J164" s="562"/>
      <c r="K164" s="562" t="s">
        <v>1112</v>
      </c>
      <c r="L164" s="447">
        <v>2</v>
      </c>
      <c r="M164" s="447">
        <v>8</v>
      </c>
      <c r="N164" s="448">
        <v>42198</v>
      </c>
    </row>
    <row r="165" spans="1:14">
      <c r="A165" s="562" t="s">
        <v>1485</v>
      </c>
      <c r="B165" s="560" t="s">
        <v>677</v>
      </c>
      <c r="C165" s="193">
        <v>42192</v>
      </c>
      <c r="D165" s="193">
        <v>42192</v>
      </c>
      <c r="E165" s="561" t="s">
        <v>195</v>
      </c>
      <c r="F165" s="562" t="s">
        <v>1110</v>
      </c>
      <c r="G165" s="563" t="s">
        <v>1111</v>
      </c>
      <c r="H165" s="562">
        <v>240</v>
      </c>
      <c r="I165" s="560">
        <v>240</v>
      </c>
      <c r="J165" s="562"/>
      <c r="K165" s="377" t="s">
        <v>1112</v>
      </c>
      <c r="L165" s="447">
        <v>6</v>
      </c>
      <c r="M165" s="447">
        <v>42</v>
      </c>
      <c r="N165" s="448">
        <v>42198</v>
      </c>
    </row>
    <row r="166" spans="1:14">
      <c r="A166" s="562" t="s">
        <v>1485</v>
      </c>
      <c r="B166" s="560" t="s">
        <v>677</v>
      </c>
      <c r="C166" s="193">
        <v>42192</v>
      </c>
      <c r="D166" s="193">
        <v>42192</v>
      </c>
      <c r="E166" s="562" t="s">
        <v>177</v>
      </c>
      <c r="F166" s="562" t="s">
        <v>1110</v>
      </c>
      <c r="G166" s="562" t="s">
        <v>1113</v>
      </c>
      <c r="H166" s="562">
        <v>62</v>
      </c>
      <c r="I166" s="560">
        <v>62</v>
      </c>
      <c r="J166" s="562"/>
      <c r="K166" s="562" t="s">
        <v>1112</v>
      </c>
      <c r="L166" s="447">
        <v>2</v>
      </c>
      <c r="M166" s="447">
        <v>8</v>
      </c>
      <c r="N166" s="448">
        <v>42192</v>
      </c>
    </row>
    <row r="167" spans="1:14">
      <c r="A167" s="562" t="s">
        <v>1485</v>
      </c>
      <c r="B167" s="560" t="s">
        <v>677</v>
      </c>
      <c r="C167" s="193">
        <v>42192</v>
      </c>
      <c r="D167" s="193">
        <v>42192</v>
      </c>
      <c r="E167" s="562" t="s">
        <v>223</v>
      </c>
      <c r="F167" s="562" t="s">
        <v>1110</v>
      </c>
      <c r="G167" s="562" t="s">
        <v>1114</v>
      </c>
      <c r="H167" s="562">
        <v>12</v>
      </c>
      <c r="I167" s="560">
        <v>12</v>
      </c>
      <c r="J167" s="562" t="s">
        <v>1115</v>
      </c>
      <c r="K167" s="377" t="s">
        <v>1112</v>
      </c>
      <c r="L167" s="449">
        <v>5</v>
      </c>
      <c r="M167" s="449">
        <v>35</v>
      </c>
      <c r="N167" s="448">
        <v>42195</v>
      </c>
    </row>
    <row r="168" spans="1:14">
      <c r="A168" s="562" t="s">
        <v>1485</v>
      </c>
      <c r="B168" s="560" t="s">
        <v>677</v>
      </c>
      <c r="C168" s="193">
        <v>42192</v>
      </c>
      <c r="D168" s="193">
        <v>42192</v>
      </c>
      <c r="E168" s="562" t="s">
        <v>171</v>
      </c>
      <c r="F168" s="562" t="s">
        <v>1110</v>
      </c>
      <c r="G168" s="563" t="s">
        <v>1116</v>
      </c>
      <c r="H168" s="562">
        <v>42</v>
      </c>
      <c r="I168" s="560">
        <v>42</v>
      </c>
      <c r="J168" s="562"/>
      <c r="K168" s="562" t="s">
        <v>1112</v>
      </c>
      <c r="L168" s="447">
        <v>2</v>
      </c>
      <c r="M168" s="447">
        <v>8</v>
      </c>
      <c r="N168" s="448">
        <v>42198</v>
      </c>
    </row>
    <row r="169" spans="1:14" s="710" customFormat="1">
      <c r="A169" s="559" t="s">
        <v>1483</v>
      </c>
      <c r="B169" s="560">
        <v>25</v>
      </c>
      <c r="C169" s="193">
        <v>42192</v>
      </c>
      <c r="D169" s="193">
        <v>42192</v>
      </c>
      <c r="E169" s="561" t="s">
        <v>195</v>
      </c>
      <c r="F169" s="562" t="s">
        <v>1110</v>
      </c>
      <c r="G169" s="563" t="s">
        <v>1111</v>
      </c>
      <c r="H169" s="562">
        <v>154</v>
      </c>
      <c r="I169" s="560">
        <v>154</v>
      </c>
      <c r="J169" s="562"/>
      <c r="K169" s="377" t="s">
        <v>1112</v>
      </c>
      <c r="L169" s="447">
        <v>6</v>
      </c>
      <c r="M169" s="447">
        <v>42</v>
      </c>
      <c r="N169" s="448">
        <v>42198</v>
      </c>
    </row>
    <row r="170" spans="1:14" s="710" customFormat="1">
      <c r="A170" s="559" t="s">
        <v>1483</v>
      </c>
      <c r="B170" s="560">
        <v>25</v>
      </c>
      <c r="C170" s="193">
        <v>42192</v>
      </c>
      <c r="D170" s="193">
        <v>42192</v>
      </c>
      <c r="E170" s="562" t="s">
        <v>177</v>
      </c>
      <c r="F170" s="562" t="s">
        <v>1110</v>
      </c>
      <c r="G170" s="562" t="s">
        <v>1113</v>
      </c>
      <c r="H170" s="562">
        <v>28</v>
      </c>
      <c r="I170" s="560">
        <v>28</v>
      </c>
      <c r="J170" s="562"/>
      <c r="K170" s="562" t="s">
        <v>1112</v>
      </c>
      <c r="L170" s="447">
        <v>2</v>
      </c>
      <c r="M170" s="447">
        <v>8</v>
      </c>
      <c r="N170" s="448">
        <v>42192</v>
      </c>
    </row>
    <row r="171" spans="1:14" s="710" customFormat="1">
      <c r="A171" s="559" t="s">
        <v>1483</v>
      </c>
      <c r="B171" s="560">
        <v>25</v>
      </c>
      <c r="C171" s="193">
        <v>42192</v>
      </c>
      <c r="D171" s="193">
        <v>42192</v>
      </c>
      <c r="E171" s="562" t="s">
        <v>223</v>
      </c>
      <c r="F171" s="562" t="s">
        <v>1110</v>
      </c>
      <c r="G171" s="562" t="s">
        <v>1114</v>
      </c>
      <c r="H171" s="562">
        <v>8</v>
      </c>
      <c r="I171" s="560">
        <v>8</v>
      </c>
      <c r="J171" s="562" t="s">
        <v>1115</v>
      </c>
      <c r="K171" s="377" t="s">
        <v>1112</v>
      </c>
      <c r="L171" s="449">
        <v>5</v>
      </c>
      <c r="M171" s="449">
        <v>35</v>
      </c>
      <c r="N171" s="448">
        <v>42195</v>
      </c>
    </row>
    <row r="172" spans="1:14" s="710" customFormat="1">
      <c r="A172" s="559" t="s">
        <v>1483</v>
      </c>
      <c r="B172" s="560">
        <v>25</v>
      </c>
      <c r="C172" s="193">
        <v>42192</v>
      </c>
      <c r="D172" s="193">
        <v>42192</v>
      </c>
      <c r="E172" s="562" t="s">
        <v>171</v>
      </c>
      <c r="F172" s="562" t="s">
        <v>1110</v>
      </c>
      <c r="G172" s="563" t="s">
        <v>1116</v>
      </c>
      <c r="H172" s="562">
        <v>24</v>
      </c>
      <c r="I172" s="560">
        <v>24</v>
      </c>
      <c r="J172" s="562"/>
      <c r="K172" s="562" t="s">
        <v>1112</v>
      </c>
      <c r="L172" s="447">
        <v>2</v>
      </c>
      <c r="M172" s="447">
        <v>8</v>
      </c>
      <c r="N172" s="448">
        <v>42198</v>
      </c>
    </row>
    <row r="173" spans="1:14">
      <c r="A173" s="559" t="s">
        <v>1486</v>
      </c>
      <c r="B173" s="560">
        <v>5</v>
      </c>
      <c r="C173" s="193">
        <v>42192</v>
      </c>
      <c r="D173" s="193">
        <v>42192</v>
      </c>
      <c r="E173" s="561" t="s">
        <v>195</v>
      </c>
      <c r="F173" s="562" t="s">
        <v>1110</v>
      </c>
      <c r="G173" s="563" t="s">
        <v>1111</v>
      </c>
      <c r="H173" s="562">
        <v>158</v>
      </c>
      <c r="I173" s="560">
        <v>158</v>
      </c>
      <c r="J173" s="562"/>
      <c r="K173" s="377" t="s">
        <v>1112</v>
      </c>
      <c r="L173" s="447">
        <v>6</v>
      </c>
      <c r="M173" s="447">
        <v>42</v>
      </c>
      <c r="N173" s="448">
        <v>42198</v>
      </c>
    </row>
    <row r="174" spans="1:14">
      <c r="A174" s="559" t="s">
        <v>1486</v>
      </c>
      <c r="B174" s="560">
        <v>5</v>
      </c>
      <c r="C174" s="193">
        <v>42192</v>
      </c>
      <c r="D174" s="193">
        <v>42192</v>
      </c>
      <c r="E174" s="562" t="s">
        <v>177</v>
      </c>
      <c r="F174" s="562" t="s">
        <v>1110</v>
      </c>
      <c r="G174" s="562" t="s">
        <v>1113</v>
      </c>
      <c r="H174" s="562">
        <v>60</v>
      </c>
      <c r="I174" s="560">
        <v>60</v>
      </c>
      <c r="J174" s="562"/>
      <c r="K174" s="562" t="s">
        <v>1112</v>
      </c>
      <c r="L174" s="447">
        <v>2</v>
      </c>
      <c r="M174" s="447">
        <v>8</v>
      </c>
      <c r="N174" s="448">
        <v>42192</v>
      </c>
    </row>
    <row r="175" spans="1:14" s="710" customFormat="1">
      <c r="A175" s="559" t="s">
        <v>1486</v>
      </c>
      <c r="B175" s="560">
        <v>5</v>
      </c>
      <c r="C175" s="193">
        <v>42192</v>
      </c>
      <c r="D175" s="193">
        <v>42192</v>
      </c>
      <c r="E175" s="562" t="s">
        <v>223</v>
      </c>
      <c r="F175" s="562" t="s">
        <v>1110</v>
      </c>
      <c r="G175" s="562" t="s">
        <v>1114</v>
      </c>
      <c r="H175" s="562">
        <v>10</v>
      </c>
      <c r="I175" s="560">
        <v>10</v>
      </c>
      <c r="J175" s="562" t="s">
        <v>1115</v>
      </c>
      <c r="K175" s="377" t="s">
        <v>1112</v>
      </c>
      <c r="L175" s="449">
        <v>5</v>
      </c>
      <c r="M175" s="449">
        <v>35</v>
      </c>
      <c r="N175" s="448">
        <v>42195</v>
      </c>
    </row>
    <row r="176" spans="1:14">
      <c r="A176" s="559" t="s">
        <v>1486</v>
      </c>
      <c r="B176" s="560">
        <v>5</v>
      </c>
      <c r="C176" s="193">
        <v>42192</v>
      </c>
      <c r="D176" s="193">
        <v>42192</v>
      </c>
      <c r="E176" s="562" t="s">
        <v>171</v>
      </c>
      <c r="F176" s="562" t="s">
        <v>1110</v>
      </c>
      <c r="G176" s="563" t="s">
        <v>1116</v>
      </c>
      <c r="H176" s="562">
        <v>27</v>
      </c>
      <c r="I176" s="560">
        <v>27</v>
      </c>
      <c r="J176" s="562"/>
      <c r="K176" s="562" t="s">
        <v>1112</v>
      </c>
      <c r="L176" s="447">
        <v>2</v>
      </c>
      <c r="M176" s="447">
        <v>8</v>
      </c>
      <c r="N176" s="448">
        <v>42198</v>
      </c>
    </row>
    <row r="177" spans="1:14">
      <c r="A177" s="559" t="s">
        <v>1487</v>
      </c>
      <c r="B177" s="560" t="s">
        <v>302</v>
      </c>
      <c r="C177" s="193">
        <v>42192</v>
      </c>
      <c r="D177" s="193">
        <v>42192</v>
      </c>
      <c r="E177" s="561" t="s">
        <v>195</v>
      </c>
      <c r="F177" s="562" t="s">
        <v>1110</v>
      </c>
      <c r="G177" s="563" t="s">
        <v>1111</v>
      </c>
      <c r="H177" s="562">
        <v>258</v>
      </c>
      <c r="I177" s="560">
        <v>258</v>
      </c>
      <c r="J177" s="562"/>
      <c r="K177" s="377" t="s">
        <v>1112</v>
      </c>
      <c r="L177" s="447">
        <v>6</v>
      </c>
      <c r="M177" s="447">
        <v>42</v>
      </c>
      <c r="N177" s="448">
        <v>42198</v>
      </c>
    </row>
    <row r="178" spans="1:14">
      <c r="A178" s="559" t="s">
        <v>1487</v>
      </c>
      <c r="B178" s="560" t="s">
        <v>302</v>
      </c>
      <c r="C178" s="193">
        <v>42192</v>
      </c>
      <c r="D178" s="193">
        <v>42192</v>
      </c>
      <c r="E178" s="562" t="s">
        <v>177</v>
      </c>
      <c r="F178" s="562" t="s">
        <v>1110</v>
      </c>
      <c r="G178" s="562" t="s">
        <v>1113</v>
      </c>
      <c r="H178" s="562">
        <v>69</v>
      </c>
      <c r="I178" s="560">
        <v>69</v>
      </c>
      <c r="J178" s="562"/>
      <c r="K178" s="377" t="s">
        <v>1112</v>
      </c>
      <c r="L178" s="447">
        <v>2</v>
      </c>
      <c r="M178" s="447">
        <v>8</v>
      </c>
      <c r="N178" s="448">
        <v>42192</v>
      </c>
    </row>
    <row r="179" spans="1:14">
      <c r="A179" s="559" t="s">
        <v>1487</v>
      </c>
      <c r="B179" s="560" t="s">
        <v>302</v>
      </c>
      <c r="C179" s="193">
        <v>42192</v>
      </c>
      <c r="D179" s="193">
        <v>42192</v>
      </c>
      <c r="E179" s="562" t="s">
        <v>223</v>
      </c>
      <c r="F179" s="562" t="s">
        <v>1110</v>
      </c>
      <c r="G179" s="562" t="s">
        <v>1114</v>
      </c>
      <c r="H179" s="562">
        <v>15</v>
      </c>
      <c r="I179" s="560">
        <v>15</v>
      </c>
      <c r="J179" s="562" t="s">
        <v>1115</v>
      </c>
      <c r="K179" s="562" t="s">
        <v>1112</v>
      </c>
      <c r="L179" s="449">
        <v>5</v>
      </c>
      <c r="M179" s="449">
        <v>35</v>
      </c>
      <c r="N179" s="448">
        <v>42195</v>
      </c>
    </row>
    <row r="180" spans="1:14">
      <c r="A180" s="559" t="s">
        <v>1487</v>
      </c>
      <c r="B180" s="560" t="s">
        <v>302</v>
      </c>
      <c r="C180" s="193">
        <v>42192</v>
      </c>
      <c r="D180" s="193">
        <v>42192</v>
      </c>
      <c r="E180" s="562" t="s">
        <v>171</v>
      </c>
      <c r="F180" s="562" t="s">
        <v>1110</v>
      </c>
      <c r="G180" s="563" t="s">
        <v>1116</v>
      </c>
      <c r="H180" s="562">
        <v>36</v>
      </c>
      <c r="I180" s="560">
        <v>36</v>
      </c>
      <c r="J180" s="562"/>
      <c r="K180" s="562" t="s">
        <v>1112</v>
      </c>
      <c r="L180" s="447">
        <v>2</v>
      </c>
      <c r="M180" s="447">
        <v>8</v>
      </c>
      <c r="N180" s="448">
        <v>42198</v>
      </c>
    </row>
    <row r="181" spans="1:14">
      <c r="A181" s="559" t="s">
        <v>1489</v>
      </c>
      <c r="B181" s="560">
        <v>9</v>
      </c>
      <c r="C181" s="193">
        <v>42192</v>
      </c>
      <c r="D181" s="193">
        <v>42192</v>
      </c>
      <c r="E181" s="561" t="s">
        <v>195</v>
      </c>
      <c r="F181" s="562" t="s">
        <v>1110</v>
      </c>
      <c r="G181" s="563" t="s">
        <v>1111</v>
      </c>
      <c r="H181" s="562">
        <v>292</v>
      </c>
      <c r="I181" s="560">
        <v>292</v>
      </c>
      <c r="J181" s="562"/>
      <c r="K181" s="377" t="s">
        <v>1112</v>
      </c>
      <c r="L181" s="447">
        <v>6</v>
      </c>
      <c r="M181" s="447">
        <v>42</v>
      </c>
      <c r="N181" s="448">
        <v>42198</v>
      </c>
    </row>
    <row r="182" spans="1:14">
      <c r="A182" s="559" t="s">
        <v>1489</v>
      </c>
      <c r="B182" s="560">
        <v>9</v>
      </c>
      <c r="C182" s="193">
        <v>42192</v>
      </c>
      <c r="D182" s="193">
        <v>42192</v>
      </c>
      <c r="E182" s="562" t="s">
        <v>177</v>
      </c>
      <c r="F182" s="562" t="s">
        <v>1110</v>
      </c>
      <c r="G182" s="562" t="s">
        <v>1113</v>
      </c>
      <c r="H182" s="562">
        <v>93</v>
      </c>
      <c r="I182" s="560">
        <v>93</v>
      </c>
      <c r="J182" s="562"/>
      <c r="K182" s="562" t="s">
        <v>1112</v>
      </c>
      <c r="L182" s="447">
        <v>2</v>
      </c>
      <c r="M182" s="447">
        <v>8</v>
      </c>
      <c r="N182" s="448">
        <v>42192</v>
      </c>
    </row>
    <row r="183" spans="1:14">
      <c r="A183" s="559" t="s">
        <v>1489</v>
      </c>
      <c r="B183" s="560">
        <v>9</v>
      </c>
      <c r="C183" s="193">
        <v>42192</v>
      </c>
      <c r="D183" s="193">
        <v>42192</v>
      </c>
      <c r="E183" s="562" t="s">
        <v>223</v>
      </c>
      <c r="F183" s="562" t="s">
        <v>1110</v>
      </c>
      <c r="G183" s="562" t="s">
        <v>1114</v>
      </c>
      <c r="H183" s="562">
        <v>20</v>
      </c>
      <c r="I183" s="560">
        <v>20</v>
      </c>
      <c r="J183" s="562" t="s">
        <v>1115</v>
      </c>
      <c r="K183" s="377" t="s">
        <v>1112</v>
      </c>
      <c r="L183" s="449">
        <v>5</v>
      </c>
      <c r="M183" s="449">
        <v>35</v>
      </c>
      <c r="N183" s="448">
        <v>42195</v>
      </c>
    </row>
    <row r="184" spans="1:14">
      <c r="A184" s="559" t="s">
        <v>1489</v>
      </c>
      <c r="B184" s="560">
        <v>9</v>
      </c>
      <c r="C184" s="193">
        <v>42192</v>
      </c>
      <c r="D184" s="193">
        <v>42192</v>
      </c>
      <c r="E184" s="562" t="s">
        <v>171</v>
      </c>
      <c r="F184" s="562" t="s">
        <v>1110</v>
      </c>
      <c r="G184" s="563" t="s">
        <v>1116</v>
      </c>
      <c r="H184" s="562">
        <v>43</v>
      </c>
      <c r="I184" s="560">
        <v>43</v>
      </c>
      <c r="J184" s="562"/>
      <c r="K184" s="562" t="s">
        <v>1112</v>
      </c>
      <c r="L184" s="447">
        <v>2</v>
      </c>
      <c r="M184" s="447">
        <v>8</v>
      </c>
      <c r="N184" s="448">
        <v>42198</v>
      </c>
    </row>
    <row r="185" spans="1:14">
      <c r="A185" s="559" t="s">
        <v>1490</v>
      </c>
      <c r="B185" s="560">
        <v>12</v>
      </c>
      <c r="C185" s="193">
        <v>42192</v>
      </c>
      <c r="D185" s="193">
        <v>42192</v>
      </c>
      <c r="E185" s="561" t="s">
        <v>195</v>
      </c>
      <c r="F185" s="562" t="s">
        <v>1110</v>
      </c>
      <c r="G185" s="563" t="s">
        <v>1111</v>
      </c>
      <c r="H185" s="562">
        <v>374</v>
      </c>
      <c r="I185" s="560">
        <v>374</v>
      </c>
      <c r="J185" s="562"/>
      <c r="K185" s="377" t="s">
        <v>1112</v>
      </c>
      <c r="L185" s="447">
        <v>6</v>
      </c>
      <c r="M185" s="447">
        <v>42</v>
      </c>
      <c r="N185" s="448">
        <v>42198</v>
      </c>
    </row>
    <row r="186" spans="1:14">
      <c r="A186" s="559" t="s">
        <v>1490</v>
      </c>
      <c r="B186" s="560">
        <v>12</v>
      </c>
      <c r="C186" s="193">
        <v>42192</v>
      </c>
      <c r="D186" s="193">
        <v>42192</v>
      </c>
      <c r="E186" s="562" t="s">
        <v>177</v>
      </c>
      <c r="F186" s="562" t="s">
        <v>1110</v>
      </c>
      <c r="G186" s="562" t="s">
        <v>1113</v>
      </c>
      <c r="H186" s="562">
        <v>143</v>
      </c>
      <c r="I186" s="560">
        <v>143</v>
      </c>
      <c r="J186" s="562"/>
      <c r="K186" s="562" t="s">
        <v>1112</v>
      </c>
      <c r="L186" s="447">
        <v>2</v>
      </c>
      <c r="M186" s="447">
        <v>8</v>
      </c>
      <c r="N186" s="448">
        <v>42192</v>
      </c>
    </row>
    <row r="187" spans="1:14">
      <c r="A187" s="559" t="s">
        <v>1490</v>
      </c>
      <c r="B187" s="560">
        <v>12</v>
      </c>
      <c r="C187" s="193">
        <v>42192</v>
      </c>
      <c r="D187" s="193">
        <v>42192</v>
      </c>
      <c r="E187" s="562" t="s">
        <v>223</v>
      </c>
      <c r="F187" s="562" t="s">
        <v>1110</v>
      </c>
      <c r="G187" s="562" t="s">
        <v>1114</v>
      </c>
      <c r="H187" s="562">
        <v>18</v>
      </c>
      <c r="I187" s="560">
        <v>18</v>
      </c>
      <c r="J187" s="562" t="s">
        <v>1115</v>
      </c>
      <c r="K187" s="377" t="s">
        <v>1112</v>
      </c>
      <c r="L187" s="449">
        <v>5</v>
      </c>
      <c r="M187" s="449">
        <v>35</v>
      </c>
      <c r="N187" s="448">
        <v>42195</v>
      </c>
    </row>
    <row r="188" spans="1:14">
      <c r="A188" s="559" t="s">
        <v>1490</v>
      </c>
      <c r="B188" s="560">
        <v>12</v>
      </c>
      <c r="C188" s="193">
        <v>42192</v>
      </c>
      <c r="D188" s="193">
        <v>42192</v>
      </c>
      <c r="E188" s="562" t="s">
        <v>171</v>
      </c>
      <c r="F188" s="562" t="s">
        <v>1110</v>
      </c>
      <c r="G188" s="563" t="s">
        <v>1116</v>
      </c>
      <c r="H188" s="562">
        <v>48</v>
      </c>
      <c r="I188" s="560">
        <v>48</v>
      </c>
      <c r="J188" s="562"/>
      <c r="K188" s="562" t="s">
        <v>1112</v>
      </c>
      <c r="L188" s="447">
        <v>2</v>
      </c>
      <c r="M188" s="447">
        <v>8</v>
      </c>
      <c r="N188" s="448">
        <v>42198</v>
      </c>
    </row>
    <row r="189" spans="1:14">
      <c r="A189" s="559" t="s">
        <v>1491</v>
      </c>
      <c r="B189" s="560" t="s">
        <v>303</v>
      </c>
      <c r="C189" s="193">
        <v>42192</v>
      </c>
      <c r="D189" s="193">
        <v>42192</v>
      </c>
      <c r="E189" s="561" t="s">
        <v>195</v>
      </c>
      <c r="F189" s="562" t="s">
        <v>1110</v>
      </c>
      <c r="G189" s="563" t="s">
        <v>1111</v>
      </c>
      <c r="H189" s="562">
        <v>354</v>
      </c>
      <c r="I189" s="560">
        <v>354</v>
      </c>
      <c r="J189" s="562"/>
      <c r="K189" s="377" t="s">
        <v>1112</v>
      </c>
      <c r="L189" s="447">
        <v>6</v>
      </c>
      <c r="M189" s="447">
        <v>42</v>
      </c>
      <c r="N189" s="448">
        <v>42198</v>
      </c>
    </row>
    <row r="190" spans="1:14">
      <c r="A190" s="559" t="s">
        <v>1491</v>
      </c>
      <c r="B190" s="560" t="s">
        <v>303</v>
      </c>
      <c r="C190" s="193">
        <v>42192</v>
      </c>
      <c r="D190" s="193">
        <v>42192</v>
      </c>
      <c r="E190" s="562" t="s">
        <v>177</v>
      </c>
      <c r="F190" s="562" t="s">
        <v>1110</v>
      </c>
      <c r="G190" s="562" t="s">
        <v>1113</v>
      </c>
      <c r="H190" s="562">
        <v>152</v>
      </c>
      <c r="I190" s="560">
        <v>152</v>
      </c>
      <c r="J190" s="562"/>
      <c r="K190" s="562" t="s">
        <v>1112</v>
      </c>
      <c r="L190" s="447">
        <v>2</v>
      </c>
      <c r="M190" s="447">
        <v>8</v>
      </c>
      <c r="N190" s="448">
        <v>42192</v>
      </c>
    </row>
    <row r="191" spans="1:14">
      <c r="A191" s="559" t="s">
        <v>1491</v>
      </c>
      <c r="B191" s="560" t="s">
        <v>303</v>
      </c>
      <c r="C191" s="193">
        <v>42192</v>
      </c>
      <c r="D191" s="193">
        <v>42192</v>
      </c>
      <c r="E191" s="562" t="s">
        <v>223</v>
      </c>
      <c r="F191" s="562" t="s">
        <v>1110</v>
      </c>
      <c r="G191" s="562" t="s">
        <v>1114</v>
      </c>
      <c r="H191" s="562">
        <v>16</v>
      </c>
      <c r="I191" s="560">
        <v>16</v>
      </c>
      <c r="J191" s="562" t="s">
        <v>1115</v>
      </c>
      <c r="K191" s="377" t="s">
        <v>1112</v>
      </c>
      <c r="L191" s="449">
        <v>5</v>
      </c>
      <c r="M191" s="449">
        <v>35</v>
      </c>
      <c r="N191" s="448">
        <v>42195</v>
      </c>
    </row>
    <row r="192" spans="1:14">
      <c r="A192" s="559" t="s">
        <v>1491</v>
      </c>
      <c r="B192" s="560" t="s">
        <v>303</v>
      </c>
      <c r="C192" s="193">
        <v>42192</v>
      </c>
      <c r="D192" s="193">
        <v>42192</v>
      </c>
      <c r="E192" s="562" t="s">
        <v>171</v>
      </c>
      <c r="F192" s="562" t="s">
        <v>1110</v>
      </c>
      <c r="G192" s="563" t="s">
        <v>1116</v>
      </c>
      <c r="H192" s="562">
        <v>50</v>
      </c>
      <c r="I192" s="560">
        <v>50</v>
      </c>
      <c r="J192" s="562"/>
      <c r="K192" s="562" t="s">
        <v>1112</v>
      </c>
      <c r="L192" s="447">
        <v>2</v>
      </c>
      <c r="M192" s="447">
        <v>8</v>
      </c>
      <c r="N192" s="448">
        <v>42198</v>
      </c>
    </row>
    <row r="193" spans="1:14">
      <c r="A193" s="559" t="s">
        <v>1492</v>
      </c>
      <c r="B193" s="560" t="s">
        <v>679</v>
      </c>
      <c r="C193" s="193">
        <v>42192</v>
      </c>
      <c r="D193" s="193">
        <v>42192</v>
      </c>
      <c r="E193" s="561" t="s">
        <v>195</v>
      </c>
      <c r="F193" s="562" t="s">
        <v>1110</v>
      </c>
      <c r="G193" s="563" t="s">
        <v>1111</v>
      </c>
      <c r="H193" s="562">
        <v>367</v>
      </c>
      <c r="I193" s="560">
        <v>367</v>
      </c>
      <c r="J193" s="562"/>
      <c r="K193" s="377" t="s">
        <v>1112</v>
      </c>
      <c r="L193" s="447">
        <v>6</v>
      </c>
      <c r="M193" s="447">
        <v>42</v>
      </c>
      <c r="N193" s="448">
        <v>42198</v>
      </c>
    </row>
    <row r="194" spans="1:14">
      <c r="A194" s="559" t="s">
        <v>1492</v>
      </c>
      <c r="B194" s="560" t="s">
        <v>679</v>
      </c>
      <c r="C194" s="193">
        <v>42192</v>
      </c>
      <c r="D194" s="193">
        <v>42192</v>
      </c>
      <c r="E194" s="562" t="s">
        <v>177</v>
      </c>
      <c r="F194" s="562" t="s">
        <v>1110</v>
      </c>
      <c r="G194" s="562" t="s">
        <v>1113</v>
      </c>
      <c r="H194" s="562">
        <v>154</v>
      </c>
      <c r="I194" s="560">
        <v>154</v>
      </c>
      <c r="J194" s="562"/>
      <c r="K194" s="562" t="s">
        <v>1112</v>
      </c>
      <c r="L194" s="447">
        <v>2</v>
      </c>
      <c r="M194" s="447">
        <v>8</v>
      </c>
      <c r="N194" s="448">
        <v>42192</v>
      </c>
    </row>
    <row r="195" spans="1:14">
      <c r="A195" s="559" t="s">
        <v>1492</v>
      </c>
      <c r="B195" s="560" t="s">
        <v>679</v>
      </c>
      <c r="C195" s="193">
        <v>42192</v>
      </c>
      <c r="D195" s="193">
        <v>42192</v>
      </c>
      <c r="E195" s="562" t="s">
        <v>223</v>
      </c>
      <c r="F195" s="562" t="s">
        <v>1110</v>
      </c>
      <c r="G195" s="562" t="s">
        <v>1114</v>
      </c>
      <c r="H195" s="562">
        <v>17</v>
      </c>
      <c r="I195" s="560">
        <v>17</v>
      </c>
      <c r="J195" s="562" t="s">
        <v>1115</v>
      </c>
      <c r="K195" s="377" t="s">
        <v>1112</v>
      </c>
      <c r="L195" s="449">
        <v>5</v>
      </c>
      <c r="M195" s="449">
        <v>35</v>
      </c>
      <c r="N195" s="448">
        <v>42195</v>
      </c>
    </row>
    <row r="196" spans="1:14">
      <c r="A196" s="559" t="s">
        <v>1492</v>
      </c>
      <c r="B196" s="560" t="s">
        <v>679</v>
      </c>
      <c r="C196" s="193">
        <v>42192</v>
      </c>
      <c r="D196" s="193">
        <v>42192</v>
      </c>
      <c r="E196" s="562" t="s">
        <v>171</v>
      </c>
      <c r="F196" s="562" t="s">
        <v>1110</v>
      </c>
      <c r="G196" s="563" t="s">
        <v>1116</v>
      </c>
      <c r="H196" s="562">
        <v>54</v>
      </c>
      <c r="I196" s="560">
        <v>54</v>
      </c>
      <c r="J196" s="562"/>
      <c r="K196" s="562" t="s">
        <v>1112</v>
      </c>
      <c r="L196" s="447">
        <v>2</v>
      </c>
      <c r="M196" s="447">
        <v>8</v>
      </c>
      <c r="N196" s="448">
        <v>42198</v>
      </c>
    </row>
    <row r="197" spans="1:14">
      <c r="A197" s="559" t="s">
        <v>1493</v>
      </c>
      <c r="B197" s="560">
        <v>34</v>
      </c>
      <c r="C197" s="193">
        <v>42192</v>
      </c>
      <c r="D197" s="193">
        <v>42192</v>
      </c>
      <c r="E197" s="561" t="s">
        <v>195</v>
      </c>
      <c r="F197" s="562" t="s">
        <v>1110</v>
      </c>
      <c r="G197" s="563" t="s">
        <v>1111</v>
      </c>
      <c r="H197" s="562">
        <v>1908</v>
      </c>
      <c r="I197" s="560">
        <v>1908</v>
      </c>
      <c r="J197" s="562"/>
      <c r="K197" s="377" t="s">
        <v>1112</v>
      </c>
      <c r="L197" s="447">
        <v>6</v>
      </c>
      <c r="M197" s="447">
        <v>42</v>
      </c>
      <c r="N197" s="448">
        <v>42198</v>
      </c>
    </row>
    <row r="198" spans="1:14">
      <c r="A198" s="559" t="s">
        <v>1493</v>
      </c>
      <c r="B198" s="560">
        <v>34</v>
      </c>
      <c r="C198" s="193">
        <v>42192</v>
      </c>
      <c r="D198" s="193">
        <v>42192</v>
      </c>
      <c r="E198" s="562" t="s">
        <v>177</v>
      </c>
      <c r="F198" s="562" t="s">
        <v>1110</v>
      </c>
      <c r="G198" s="562" t="s">
        <v>1113</v>
      </c>
      <c r="H198" s="562">
        <v>1335</v>
      </c>
      <c r="I198" s="560">
        <v>1335</v>
      </c>
      <c r="J198" s="562"/>
      <c r="K198" s="562" t="s">
        <v>1112</v>
      </c>
      <c r="L198" s="447">
        <v>2</v>
      </c>
      <c r="M198" s="447">
        <v>8</v>
      </c>
      <c r="N198" s="448">
        <v>42192</v>
      </c>
    </row>
    <row r="199" spans="1:14">
      <c r="A199" s="559" t="s">
        <v>1493</v>
      </c>
      <c r="B199" s="560">
        <v>34</v>
      </c>
      <c r="C199" s="193">
        <v>42192</v>
      </c>
      <c r="D199" s="193">
        <v>42192</v>
      </c>
      <c r="E199" s="562" t="s">
        <v>223</v>
      </c>
      <c r="F199" s="562" t="s">
        <v>1110</v>
      </c>
      <c r="G199" s="562" t="s">
        <v>1114</v>
      </c>
      <c r="H199" s="562">
        <v>30</v>
      </c>
      <c r="I199" s="560">
        <v>30</v>
      </c>
      <c r="J199" s="562" t="s">
        <v>1115</v>
      </c>
      <c r="K199" s="377" t="s">
        <v>1112</v>
      </c>
      <c r="L199" s="449">
        <v>5</v>
      </c>
      <c r="M199" s="449">
        <v>35</v>
      </c>
      <c r="N199" s="448">
        <v>42195</v>
      </c>
    </row>
    <row r="200" spans="1:14">
      <c r="A200" s="559" t="s">
        <v>1493</v>
      </c>
      <c r="B200" s="560">
        <v>34</v>
      </c>
      <c r="C200" s="193">
        <v>42192</v>
      </c>
      <c r="D200" s="193">
        <v>42192</v>
      </c>
      <c r="E200" s="562" t="s">
        <v>171</v>
      </c>
      <c r="F200" s="562" t="s">
        <v>1110</v>
      </c>
      <c r="G200" s="563" t="s">
        <v>1116</v>
      </c>
      <c r="H200" s="562">
        <v>85</v>
      </c>
      <c r="I200" s="560">
        <v>85</v>
      </c>
      <c r="J200" s="562"/>
      <c r="K200" s="562" t="s">
        <v>1112</v>
      </c>
      <c r="L200" s="447">
        <v>2</v>
      </c>
      <c r="M200" s="447">
        <v>8</v>
      </c>
      <c r="N200" s="448">
        <v>42198</v>
      </c>
    </row>
    <row r="201" spans="1:14">
      <c r="A201" s="559" t="s">
        <v>1496</v>
      </c>
      <c r="B201" s="560">
        <v>35</v>
      </c>
      <c r="C201" s="193">
        <v>42192</v>
      </c>
      <c r="D201" s="193">
        <v>42192</v>
      </c>
      <c r="E201" s="561" t="s">
        <v>195</v>
      </c>
      <c r="F201" s="562" t="s">
        <v>1110</v>
      </c>
      <c r="G201" s="563" t="s">
        <v>1111</v>
      </c>
      <c r="H201" s="562">
        <v>219</v>
      </c>
      <c r="I201" s="560">
        <v>219</v>
      </c>
      <c r="J201" s="562"/>
      <c r="K201" s="377" t="s">
        <v>1112</v>
      </c>
      <c r="L201" s="447">
        <v>6</v>
      </c>
      <c r="M201" s="447">
        <v>42</v>
      </c>
      <c r="N201" s="448">
        <v>42198</v>
      </c>
    </row>
    <row r="202" spans="1:14">
      <c r="A202" s="559" t="s">
        <v>1496</v>
      </c>
      <c r="B202" s="560">
        <v>35</v>
      </c>
      <c r="C202" s="193">
        <v>42192</v>
      </c>
      <c r="D202" s="193">
        <v>42192</v>
      </c>
      <c r="E202" s="562" t="s">
        <v>177</v>
      </c>
      <c r="F202" s="562" t="s">
        <v>1110</v>
      </c>
      <c r="G202" s="562" t="s">
        <v>1113</v>
      </c>
      <c r="H202" s="562">
        <v>110</v>
      </c>
      <c r="I202" s="560">
        <v>110</v>
      </c>
      <c r="J202" s="562"/>
      <c r="K202" s="562" t="s">
        <v>1112</v>
      </c>
      <c r="L202" s="447">
        <v>2</v>
      </c>
      <c r="M202" s="447">
        <v>8</v>
      </c>
      <c r="N202" s="448">
        <v>42192</v>
      </c>
    </row>
    <row r="203" spans="1:14">
      <c r="A203" s="559" t="s">
        <v>1496</v>
      </c>
      <c r="B203" s="560">
        <v>35</v>
      </c>
      <c r="C203" s="193">
        <v>42192</v>
      </c>
      <c r="D203" s="193">
        <v>42192</v>
      </c>
      <c r="E203" s="562" t="s">
        <v>223</v>
      </c>
      <c r="F203" s="562" t="s">
        <v>1110</v>
      </c>
      <c r="G203" s="562" t="s">
        <v>1114</v>
      </c>
      <c r="H203" s="562">
        <v>14</v>
      </c>
      <c r="I203" s="560">
        <v>14</v>
      </c>
      <c r="J203" s="562" t="s">
        <v>1115</v>
      </c>
      <c r="K203" s="377" t="s">
        <v>1112</v>
      </c>
      <c r="L203" s="449">
        <v>5</v>
      </c>
      <c r="M203" s="449">
        <v>35</v>
      </c>
      <c r="N203" s="448">
        <v>42195</v>
      </c>
    </row>
    <row r="204" spans="1:14">
      <c r="A204" s="559" t="s">
        <v>1496</v>
      </c>
      <c r="B204" s="560">
        <v>35</v>
      </c>
      <c r="C204" s="193">
        <v>42192</v>
      </c>
      <c r="D204" s="193">
        <v>42192</v>
      </c>
      <c r="E204" s="562" t="s">
        <v>171</v>
      </c>
      <c r="F204" s="562" t="s">
        <v>1110</v>
      </c>
      <c r="G204" s="563" t="s">
        <v>1116</v>
      </c>
      <c r="H204" s="562">
        <v>29</v>
      </c>
      <c r="I204" s="560">
        <v>29</v>
      </c>
      <c r="J204" s="562"/>
      <c r="K204" s="562" t="s">
        <v>1112</v>
      </c>
      <c r="L204" s="447">
        <v>2</v>
      </c>
      <c r="M204" s="447">
        <v>8</v>
      </c>
      <c r="N204" s="448">
        <v>42198</v>
      </c>
    </row>
    <row r="205" spans="1:14">
      <c r="A205" s="559" t="s">
        <v>1497</v>
      </c>
      <c r="B205" s="560">
        <v>50</v>
      </c>
      <c r="C205" s="193">
        <v>42192</v>
      </c>
      <c r="D205" s="193">
        <v>42192</v>
      </c>
      <c r="E205" s="561" t="s">
        <v>195</v>
      </c>
      <c r="F205" s="562" t="s">
        <v>1110</v>
      </c>
      <c r="G205" s="563" t="s">
        <v>1111</v>
      </c>
      <c r="H205" s="562">
        <v>297</v>
      </c>
      <c r="I205" s="560">
        <v>297</v>
      </c>
      <c r="J205" s="562"/>
      <c r="K205" s="377" t="s">
        <v>1112</v>
      </c>
      <c r="L205" s="447">
        <v>6</v>
      </c>
      <c r="M205" s="447">
        <v>42</v>
      </c>
      <c r="N205" s="448">
        <v>42198</v>
      </c>
    </row>
    <row r="206" spans="1:14">
      <c r="A206" s="559" t="s">
        <v>1497</v>
      </c>
      <c r="B206" s="560">
        <v>50</v>
      </c>
      <c r="C206" s="193">
        <v>42192</v>
      </c>
      <c r="D206" s="193">
        <v>42192</v>
      </c>
      <c r="E206" s="562" t="s">
        <v>177</v>
      </c>
      <c r="F206" s="562" t="s">
        <v>1110</v>
      </c>
      <c r="G206" s="562" t="s">
        <v>1113</v>
      </c>
      <c r="H206" s="562">
        <v>124</v>
      </c>
      <c r="I206" s="560">
        <v>124</v>
      </c>
      <c r="J206" s="562"/>
      <c r="K206" s="562" t="s">
        <v>1112</v>
      </c>
      <c r="L206" s="447">
        <v>2</v>
      </c>
      <c r="M206" s="447">
        <v>8</v>
      </c>
      <c r="N206" s="448">
        <v>42192</v>
      </c>
    </row>
    <row r="207" spans="1:14">
      <c r="A207" s="559" t="s">
        <v>1497</v>
      </c>
      <c r="B207" s="560">
        <v>50</v>
      </c>
      <c r="C207" s="193">
        <v>42192</v>
      </c>
      <c r="D207" s="193">
        <v>42192</v>
      </c>
      <c r="E207" s="562" t="s">
        <v>223</v>
      </c>
      <c r="F207" s="562" t="s">
        <v>1110</v>
      </c>
      <c r="G207" s="562" t="s">
        <v>1114</v>
      </c>
      <c r="H207" s="562">
        <v>16</v>
      </c>
      <c r="I207" s="560">
        <v>16</v>
      </c>
      <c r="J207" s="562" t="s">
        <v>1115</v>
      </c>
      <c r="K207" s="377" t="s">
        <v>1112</v>
      </c>
      <c r="L207" s="449">
        <v>5</v>
      </c>
      <c r="M207" s="449">
        <v>35</v>
      </c>
      <c r="N207" s="448">
        <v>42195</v>
      </c>
    </row>
    <row r="208" spans="1:14">
      <c r="A208" s="559" t="s">
        <v>1497</v>
      </c>
      <c r="B208" s="560">
        <v>50</v>
      </c>
      <c r="C208" s="193">
        <v>42192</v>
      </c>
      <c r="D208" s="193">
        <v>42192</v>
      </c>
      <c r="E208" s="562" t="s">
        <v>171</v>
      </c>
      <c r="F208" s="562" t="s">
        <v>1110</v>
      </c>
      <c r="G208" s="563" t="s">
        <v>1116</v>
      </c>
      <c r="H208" s="562">
        <v>55</v>
      </c>
      <c r="I208" s="560">
        <v>55</v>
      </c>
      <c r="J208" s="562"/>
      <c r="K208" s="562" t="s">
        <v>1112</v>
      </c>
      <c r="L208" s="447">
        <v>2</v>
      </c>
      <c r="M208" s="447">
        <v>8</v>
      </c>
      <c r="N208" s="448">
        <v>42198</v>
      </c>
    </row>
    <row r="209" spans="1:14">
      <c r="A209" s="559" t="s">
        <v>1481</v>
      </c>
      <c r="B209" s="560">
        <v>64</v>
      </c>
      <c r="C209" s="193">
        <v>42192</v>
      </c>
      <c r="D209" s="193">
        <v>42192</v>
      </c>
      <c r="E209" s="561" t="s">
        <v>195</v>
      </c>
      <c r="F209" s="562" t="s">
        <v>1110</v>
      </c>
      <c r="G209" s="563" t="s">
        <v>1111</v>
      </c>
      <c r="H209" s="562">
        <v>618</v>
      </c>
      <c r="I209" s="560">
        <v>618</v>
      </c>
      <c r="J209" s="562"/>
      <c r="K209" s="377" t="s">
        <v>1112</v>
      </c>
      <c r="L209" s="447">
        <v>6</v>
      </c>
      <c r="M209" s="447">
        <v>42</v>
      </c>
      <c r="N209" s="448">
        <v>42198</v>
      </c>
    </row>
    <row r="210" spans="1:14">
      <c r="A210" s="559" t="s">
        <v>1481</v>
      </c>
      <c r="B210" s="560">
        <v>64</v>
      </c>
      <c r="C210" s="193">
        <v>42192</v>
      </c>
      <c r="D210" s="193">
        <v>42192</v>
      </c>
      <c r="E210" s="562" t="s">
        <v>177</v>
      </c>
      <c r="F210" s="562" t="s">
        <v>1110</v>
      </c>
      <c r="G210" s="562" t="s">
        <v>1113</v>
      </c>
      <c r="H210" s="562">
        <v>139</v>
      </c>
      <c r="I210" s="560">
        <v>139</v>
      </c>
      <c r="J210" s="562"/>
      <c r="K210" s="562" t="s">
        <v>1112</v>
      </c>
      <c r="L210" s="447">
        <v>2</v>
      </c>
      <c r="M210" s="447">
        <v>8</v>
      </c>
      <c r="N210" s="448">
        <v>42192</v>
      </c>
    </row>
    <row r="211" spans="1:14">
      <c r="A211" s="559" t="s">
        <v>1481</v>
      </c>
      <c r="B211" s="560">
        <v>64</v>
      </c>
      <c r="C211" s="193">
        <v>42192</v>
      </c>
      <c r="D211" s="193">
        <v>42192</v>
      </c>
      <c r="E211" s="562" t="s">
        <v>223</v>
      </c>
      <c r="F211" s="562" t="s">
        <v>1110</v>
      </c>
      <c r="G211" s="562" t="s">
        <v>1114</v>
      </c>
      <c r="H211" s="562">
        <v>35</v>
      </c>
      <c r="I211" s="560">
        <v>35</v>
      </c>
      <c r="J211" s="562" t="s">
        <v>1115</v>
      </c>
      <c r="K211" s="377" t="s">
        <v>1112</v>
      </c>
      <c r="L211" s="449">
        <v>5</v>
      </c>
      <c r="M211" s="449">
        <v>35</v>
      </c>
      <c r="N211" s="448">
        <v>42195</v>
      </c>
    </row>
    <row r="212" spans="1:14">
      <c r="A212" s="559" t="s">
        <v>1481</v>
      </c>
      <c r="B212" s="560">
        <v>64</v>
      </c>
      <c r="C212" s="193">
        <v>42192</v>
      </c>
      <c r="D212" s="193">
        <v>42192</v>
      </c>
      <c r="E212" s="562" t="s">
        <v>171</v>
      </c>
      <c r="F212" s="562" t="s">
        <v>1110</v>
      </c>
      <c r="G212" s="563" t="s">
        <v>1116</v>
      </c>
      <c r="H212" s="562">
        <v>103</v>
      </c>
      <c r="I212" s="560">
        <v>103</v>
      </c>
      <c r="J212" s="562"/>
      <c r="K212" s="562" t="s">
        <v>1112</v>
      </c>
      <c r="L212" s="447">
        <v>2</v>
      </c>
      <c r="M212" s="447">
        <v>8</v>
      </c>
      <c r="N212" s="448">
        <v>42198</v>
      </c>
    </row>
    <row r="213" spans="1:14">
      <c r="A213" s="559" t="s">
        <v>1488</v>
      </c>
      <c r="B213" s="560">
        <v>32</v>
      </c>
      <c r="C213" s="193">
        <v>42192</v>
      </c>
      <c r="D213" s="193">
        <v>42192</v>
      </c>
      <c r="E213" s="561" t="s">
        <v>195</v>
      </c>
      <c r="F213" s="562" t="s">
        <v>1110</v>
      </c>
      <c r="G213" s="563" t="s">
        <v>1111</v>
      </c>
      <c r="H213" s="562">
        <v>1017</v>
      </c>
      <c r="I213" s="560">
        <v>1017</v>
      </c>
      <c r="J213" s="562"/>
      <c r="K213" s="377" t="s">
        <v>1112</v>
      </c>
      <c r="L213" s="447">
        <v>6</v>
      </c>
      <c r="M213" s="447">
        <v>42</v>
      </c>
      <c r="N213" s="448">
        <v>42198</v>
      </c>
    </row>
    <row r="214" spans="1:14">
      <c r="A214" s="559" t="s">
        <v>1488</v>
      </c>
      <c r="B214" s="560">
        <v>32</v>
      </c>
      <c r="C214" s="193">
        <v>42192</v>
      </c>
      <c r="D214" s="193">
        <v>42192</v>
      </c>
      <c r="E214" s="562" t="s">
        <v>177</v>
      </c>
      <c r="F214" s="562" t="s">
        <v>1110</v>
      </c>
      <c r="G214" s="562" t="s">
        <v>1113</v>
      </c>
      <c r="H214" s="562">
        <v>434</v>
      </c>
      <c r="I214" s="560">
        <v>434</v>
      </c>
      <c r="J214" s="562"/>
      <c r="K214" s="562" t="s">
        <v>1112</v>
      </c>
      <c r="L214" s="447">
        <v>2</v>
      </c>
      <c r="M214" s="447">
        <v>8</v>
      </c>
      <c r="N214" s="448">
        <v>42192</v>
      </c>
    </row>
    <row r="215" spans="1:14">
      <c r="A215" s="559" t="s">
        <v>1488</v>
      </c>
      <c r="B215" s="560">
        <v>32</v>
      </c>
      <c r="C215" s="193">
        <v>42192</v>
      </c>
      <c r="D215" s="193">
        <v>42192</v>
      </c>
      <c r="E215" s="562" t="s">
        <v>223</v>
      </c>
      <c r="F215" s="562" t="s">
        <v>1110</v>
      </c>
      <c r="G215" s="562" t="s">
        <v>1114</v>
      </c>
      <c r="H215" s="562">
        <v>66</v>
      </c>
      <c r="I215" s="560">
        <v>66</v>
      </c>
      <c r="J215" s="562"/>
      <c r="K215" s="562" t="s">
        <v>1112</v>
      </c>
      <c r="L215" s="449">
        <v>5</v>
      </c>
      <c r="M215" s="449">
        <v>35</v>
      </c>
      <c r="N215" s="448">
        <v>42195</v>
      </c>
    </row>
    <row r="216" spans="1:14">
      <c r="A216" s="559" t="s">
        <v>1488</v>
      </c>
      <c r="B216" s="560">
        <v>32</v>
      </c>
      <c r="C216" s="193">
        <v>42192</v>
      </c>
      <c r="D216" s="193">
        <v>42192</v>
      </c>
      <c r="E216" s="562" t="s">
        <v>171</v>
      </c>
      <c r="F216" s="562" t="s">
        <v>1110</v>
      </c>
      <c r="G216" s="563" t="s">
        <v>1116</v>
      </c>
      <c r="H216" s="562">
        <v>114</v>
      </c>
      <c r="I216" s="560">
        <v>114</v>
      </c>
      <c r="J216" s="562"/>
      <c r="K216" s="562" t="s">
        <v>1112</v>
      </c>
      <c r="L216" s="447">
        <v>2</v>
      </c>
      <c r="M216" s="447">
        <v>8</v>
      </c>
      <c r="N216" s="448">
        <v>42198</v>
      </c>
    </row>
    <row r="217" spans="1:14">
      <c r="A217" s="559" t="s">
        <v>1494</v>
      </c>
      <c r="B217" s="560">
        <v>18</v>
      </c>
      <c r="C217" s="193">
        <v>42192</v>
      </c>
      <c r="D217" s="193">
        <v>42192</v>
      </c>
      <c r="E217" s="561" t="s">
        <v>195</v>
      </c>
      <c r="F217" s="562" t="s">
        <v>1110</v>
      </c>
      <c r="G217" s="563" t="s">
        <v>1111</v>
      </c>
      <c r="H217" s="562">
        <v>824</v>
      </c>
      <c r="I217" s="560">
        <v>824</v>
      </c>
      <c r="J217" s="562"/>
      <c r="K217" s="377" t="s">
        <v>1112</v>
      </c>
      <c r="L217" s="447">
        <v>6</v>
      </c>
      <c r="M217" s="447">
        <v>42</v>
      </c>
      <c r="N217" s="448">
        <v>42198</v>
      </c>
    </row>
    <row r="218" spans="1:14">
      <c r="A218" s="559" t="s">
        <v>1494</v>
      </c>
      <c r="B218" s="560">
        <v>18</v>
      </c>
      <c r="C218" s="193">
        <v>42192</v>
      </c>
      <c r="D218" s="193">
        <v>42192</v>
      </c>
      <c r="E218" s="562" t="s">
        <v>177</v>
      </c>
      <c r="F218" s="562" t="s">
        <v>1110</v>
      </c>
      <c r="G218" s="562" t="s">
        <v>1113</v>
      </c>
      <c r="H218" s="562">
        <v>79</v>
      </c>
      <c r="I218" s="560">
        <v>79</v>
      </c>
      <c r="J218" s="562"/>
      <c r="K218" s="562" t="s">
        <v>1112</v>
      </c>
      <c r="L218" s="447">
        <v>2</v>
      </c>
      <c r="M218" s="447">
        <v>8</v>
      </c>
      <c r="N218" s="448">
        <v>42192</v>
      </c>
    </row>
    <row r="219" spans="1:14">
      <c r="A219" s="559" t="s">
        <v>1494</v>
      </c>
      <c r="B219" s="560">
        <v>18</v>
      </c>
      <c r="C219" s="193">
        <v>42192</v>
      </c>
      <c r="D219" s="193">
        <v>42192</v>
      </c>
      <c r="E219" s="562" t="s">
        <v>223</v>
      </c>
      <c r="F219" s="562" t="s">
        <v>1110</v>
      </c>
      <c r="G219" s="562" t="s">
        <v>1114</v>
      </c>
      <c r="H219" s="562">
        <v>41</v>
      </c>
      <c r="I219" s="560">
        <v>41</v>
      </c>
      <c r="J219" s="562"/>
      <c r="K219" s="377" t="s">
        <v>1112</v>
      </c>
      <c r="L219" s="449">
        <v>5</v>
      </c>
      <c r="M219" s="449">
        <v>35</v>
      </c>
      <c r="N219" s="448">
        <v>42195</v>
      </c>
    </row>
    <row r="220" spans="1:14">
      <c r="A220" s="559" t="s">
        <v>1494</v>
      </c>
      <c r="B220" s="560">
        <v>18</v>
      </c>
      <c r="C220" s="193">
        <v>42192</v>
      </c>
      <c r="D220" s="193">
        <v>42192</v>
      </c>
      <c r="E220" s="562" t="s">
        <v>171</v>
      </c>
      <c r="F220" s="562" t="s">
        <v>1110</v>
      </c>
      <c r="G220" s="563" t="s">
        <v>1116</v>
      </c>
      <c r="H220" s="562">
        <v>144</v>
      </c>
      <c r="I220" s="560">
        <v>144</v>
      </c>
      <c r="J220" s="562"/>
      <c r="K220" s="562" t="s">
        <v>1112</v>
      </c>
      <c r="L220" s="447">
        <v>2</v>
      </c>
      <c r="M220" s="447">
        <v>8</v>
      </c>
      <c r="N220" s="448">
        <v>42198</v>
      </c>
    </row>
    <row r="221" spans="1:14">
      <c r="A221" s="559" t="s">
        <v>1495</v>
      </c>
      <c r="B221" s="560">
        <v>19</v>
      </c>
      <c r="C221" s="193">
        <v>42192</v>
      </c>
      <c r="D221" s="193">
        <v>42192</v>
      </c>
      <c r="E221" s="561" t="s">
        <v>195</v>
      </c>
      <c r="F221" s="562" t="s">
        <v>1110</v>
      </c>
      <c r="G221" s="563" t="s">
        <v>1111</v>
      </c>
      <c r="H221" s="562">
        <v>401</v>
      </c>
      <c r="I221" s="560">
        <v>401</v>
      </c>
      <c r="J221" s="562"/>
      <c r="K221" s="377" t="s">
        <v>1112</v>
      </c>
      <c r="L221" s="447">
        <v>6</v>
      </c>
      <c r="M221" s="447">
        <v>42</v>
      </c>
      <c r="N221" s="448">
        <v>42198</v>
      </c>
    </row>
    <row r="222" spans="1:14">
      <c r="A222" s="559" t="s">
        <v>1495</v>
      </c>
      <c r="B222" s="560">
        <v>19</v>
      </c>
      <c r="C222" s="193">
        <v>42192</v>
      </c>
      <c r="D222" s="193">
        <v>42192</v>
      </c>
      <c r="E222" s="562" t="s">
        <v>177</v>
      </c>
      <c r="F222" s="562" t="s">
        <v>1110</v>
      </c>
      <c r="G222" s="562" t="s">
        <v>1113</v>
      </c>
      <c r="H222" s="562">
        <v>173</v>
      </c>
      <c r="I222" s="560">
        <v>173</v>
      </c>
      <c r="J222" s="562"/>
      <c r="K222" s="562" t="s">
        <v>1112</v>
      </c>
      <c r="L222" s="447">
        <v>2</v>
      </c>
      <c r="M222" s="447">
        <v>8</v>
      </c>
      <c r="N222" s="448">
        <v>42192</v>
      </c>
    </row>
    <row r="223" spans="1:14">
      <c r="A223" s="559" t="s">
        <v>1495</v>
      </c>
      <c r="B223" s="560">
        <v>19</v>
      </c>
      <c r="C223" s="193">
        <v>42192</v>
      </c>
      <c r="D223" s="193">
        <v>42192</v>
      </c>
      <c r="E223" s="562" t="s">
        <v>223</v>
      </c>
      <c r="F223" s="562" t="s">
        <v>1110</v>
      </c>
      <c r="G223" s="562" t="s">
        <v>1114</v>
      </c>
      <c r="H223" s="562">
        <v>23</v>
      </c>
      <c r="I223" s="560">
        <v>23</v>
      </c>
      <c r="J223" s="562" t="s">
        <v>1115</v>
      </c>
      <c r="K223" s="377" t="s">
        <v>1112</v>
      </c>
      <c r="L223" s="449">
        <v>5</v>
      </c>
      <c r="M223" s="449">
        <v>35</v>
      </c>
      <c r="N223" s="448">
        <v>42195</v>
      </c>
    </row>
    <row r="224" spans="1:14">
      <c r="A224" s="559" t="s">
        <v>1495</v>
      </c>
      <c r="B224" s="560">
        <v>19</v>
      </c>
      <c r="C224" s="193">
        <v>42192</v>
      </c>
      <c r="D224" s="193">
        <v>42192</v>
      </c>
      <c r="E224" s="562" t="s">
        <v>171</v>
      </c>
      <c r="F224" s="562" t="s">
        <v>1110</v>
      </c>
      <c r="G224" s="563" t="s">
        <v>1116</v>
      </c>
      <c r="H224" s="562">
        <v>54</v>
      </c>
      <c r="I224" s="560">
        <v>54</v>
      </c>
      <c r="J224" s="562"/>
      <c r="K224" s="562" t="s">
        <v>1112</v>
      </c>
      <c r="L224" s="447">
        <v>2</v>
      </c>
      <c r="M224" s="447">
        <v>8</v>
      </c>
      <c r="N224" s="448">
        <v>42198</v>
      </c>
    </row>
    <row r="226" spans="1:14">
      <c r="A226" s="559" t="s">
        <v>1499</v>
      </c>
      <c r="B226" s="560">
        <v>58</v>
      </c>
      <c r="C226" s="193">
        <v>42234</v>
      </c>
      <c r="D226" s="193">
        <v>42234</v>
      </c>
      <c r="E226" s="561" t="s">
        <v>195</v>
      </c>
      <c r="F226" s="562" t="s">
        <v>1110</v>
      </c>
      <c r="G226" s="563" t="s">
        <v>1111</v>
      </c>
      <c r="H226" s="562">
        <v>211</v>
      </c>
      <c r="I226" s="560">
        <v>211</v>
      </c>
      <c r="J226" s="562"/>
      <c r="K226" s="377" t="s">
        <v>1112</v>
      </c>
      <c r="L226" s="447">
        <v>6</v>
      </c>
      <c r="M226" s="447">
        <v>42</v>
      </c>
      <c r="N226" s="448">
        <v>42236</v>
      </c>
    </row>
    <row r="227" spans="1:14">
      <c r="A227" s="559" t="s">
        <v>1499</v>
      </c>
      <c r="B227" s="560">
        <v>58</v>
      </c>
      <c r="C227" s="193">
        <v>42234</v>
      </c>
      <c r="D227" s="193">
        <v>42234</v>
      </c>
      <c r="E227" s="562" t="s">
        <v>177</v>
      </c>
      <c r="F227" s="562" t="s">
        <v>1110</v>
      </c>
      <c r="G227" s="562" t="s">
        <v>1113</v>
      </c>
      <c r="H227" s="562">
        <v>93</v>
      </c>
      <c r="I227" s="560">
        <v>93</v>
      </c>
      <c r="J227" s="562"/>
      <c r="K227" s="562" t="s">
        <v>1112</v>
      </c>
      <c r="L227" s="447">
        <v>2</v>
      </c>
      <c r="M227" s="447">
        <v>8</v>
      </c>
      <c r="N227" s="448">
        <v>42235</v>
      </c>
    </row>
    <row r="228" spans="1:14">
      <c r="A228" s="559" t="s">
        <v>1499</v>
      </c>
      <c r="B228" s="560">
        <v>58</v>
      </c>
      <c r="C228" s="193">
        <v>42234</v>
      </c>
      <c r="D228" s="193">
        <v>42234</v>
      </c>
      <c r="E228" s="562" t="s">
        <v>223</v>
      </c>
      <c r="F228" s="562" t="s">
        <v>1110</v>
      </c>
      <c r="G228" s="562" t="s">
        <v>1114</v>
      </c>
      <c r="H228" s="562">
        <v>15</v>
      </c>
      <c r="I228" s="560">
        <v>15</v>
      </c>
      <c r="J228" s="562" t="s">
        <v>1115</v>
      </c>
      <c r="K228" s="377" t="s">
        <v>1112</v>
      </c>
      <c r="L228" s="449">
        <v>5</v>
      </c>
      <c r="M228" s="449">
        <v>35</v>
      </c>
      <c r="N228" s="448">
        <v>42242</v>
      </c>
    </row>
    <row r="229" spans="1:14">
      <c r="A229" s="559" t="s">
        <v>1499</v>
      </c>
      <c r="B229" s="560">
        <v>58</v>
      </c>
      <c r="C229" s="193">
        <v>42234</v>
      </c>
      <c r="D229" s="193">
        <v>42234</v>
      </c>
      <c r="E229" s="562" t="s">
        <v>171</v>
      </c>
      <c r="F229" s="562" t="s">
        <v>1110</v>
      </c>
      <c r="G229" s="563" t="s">
        <v>1116</v>
      </c>
      <c r="H229" s="562">
        <v>7</v>
      </c>
      <c r="I229" s="560">
        <v>7</v>
      </c>
      <c r="J229" s="562" t="s">
        <v>1115</v>
      </c>
      <c r="K229" s="562" t="s">
        <v>1112</v>
      </c>
      <c r="L229" s="447">
        <v>2</v>
      </c>
      <c r="M229" s="447">
        <v>8</v>
      </c>
      <c r="N229" s="448">
        <v>42236</v>
      </c>
    </row>
    <row r="230" spans="1:14">
      <c r="A230" s="559" t="s">
        <v>1501</v>
      </c>
      <c r="B230" s="560" t="s">
        <v>678</v>
      </c>
      <c r="C230" s="193">
        <v>42234</v>
      </c>
      <c r="D230" s="193">
        <v>42234</v>
      </c>
      <c r="E230" s="561" t="s">
        <v>195</v>
      </c>
      <c r="F230" s="562" t="s">
        <v>1110</v>
      </c>
      <c r="G230" s="563" t="s">
        <v>1111</v>
      </c>
      <c r="H230" s="562">
        <v>165</v>
      </c>
      <c r="I230" s="560">
        <v>165</v>
      </c>
      <c r="J230" s="562"/>
      <c r="K230" s="377" t="s">
        <v>1112</v>
      </c>
      <c r="L230" s="447">
        <v>6</v>
      </c>
      <c r="M230" s="447">
        <v>42</v>
      </c>
      <c r="N230" s="448">
        <v>42236</v>
      </c>
    </row>
    <row r="231" spans="1:14">
      <c r="A231" s="559" t="s">
        <v>1501</v>
      </c>
      <c r="B231" s="560" t="s">
        <v>678</v>
      </c>
      <c r="C231" s="193">
        <v>42234</v>
      </c>
      <c r="D231" s="193">
        <v>42234</v>
      </c>
      <c r="E231" s="562" t="s">
        <v>177</v>
      </c>
      <c r="F231" s="562" t="s">
        <v>1110</v>
      </c>
      <c r="G231" s="562" t="s">
        <v>1113</v>
      </c>
      <c r="H231" s="562">
        <v>43</v>
      </c>
      <c r="I231" s="560">
        <v>43</v>
      </c>
      <c r="J231" s="562"/>
      <c r="K231" s="562" t="s">
        <v>1112</v>
      </c>
      <c r="L231" s="447">
        <v>2</v>
      </c>
      <c r="M231" s="447">
        <v>8</v>
      </c>
      <c r="N231" s="448">
        <v>42235</v>
      </c>
    </row>
    <row r="232" spans="1:14">
      <c r="A232" s="559" t="s">
        <v>1501</v>
      </c>
      <c r="B232" s="560" t="s">
        <v>678</v>
      </c>
      <c r="C232" s="193">
        <v>42234</v>
      </c>
      <c r="D232" s="193">
        <v>42234</v>
      </c>
      <c r="E232" s="562" t="s">
        <v>223</v>
      </c>
      <c r="F232" s="562" t="s">
        <v>1110</v>
      </c>
      <c r="G232" s="562" t="s">
        <v>1114</v>
      </c>
      <c r="H232" s="562">
        <v>15</v>
      </c>
      <c r="I232" s="560">
        <v>15</v>
      </c>
      <c r="J232" s="562" t="s">
        <v>1115</v>
      </c>
      <c r="K232" s="377" t="s">
        <v>1112</v>
      </c>
      <c r="L232" s="449">
        <v>5</v>
      </c>
      <c r="M232" s="449">
        <v>35</v>
      </c>
      <c r="N232" s="448">
        <v>42242</v>
      </c>
    </row>
    <row r="233" spans="1:14">
      <c r="A233" s="559" t="s">
        <v>1501</v>
      </c>
      <c r="B233" s="560" t="s">
        <v>678</v>
      </c>
      <c r="C233" s="193">
        <v>42234</v>
      </c>
      <c r="D233" s="193">
        <v>42234</v>
      </c>
      <c r="E233" s="562" t="s">
        <v>171</v>
      </c>
      <c r="F233" s="562" t="s">
        <v>1110</v>
      </c>
      <c r="G233" s="563" t="s">
        <v>1116</v>
      </c>
      <c r="H233" s="562">
        <v>14</v>
      </c>
      <c r="I233" s="560">
        <v>14</v>
      </c>
      <c r="J233" s="562"/>
      <c r="K233" s="562" t="s">
        <v>1112</v>
      </c>
      <c r="L233" s="447">
        <v>2</v>
      </c>
      <c r="M233" s="447">
        <v>8</v>
      </c>
      <c r="N233" s="448">
        <v>42236</v>
      </c>
    </row>
    <row r="234" spans="1:14">
      <c r="A234" s="562" t="s">
        <v>1502</v>
      </c>
      <c r="B234" s="560" t="s">
        <v>677</v>
      </c>
      <c r="C234" s="193">
        <v>42234</v>
      </c>
      <c r="D234" s="193">
        <v>42234</v>
      </c>
      <c r="E234" s="561" t="s">
        <v>195</v>
      </c>
      <c r="F234" s="562" t="s">
        <v>1110</v>
      </c>
      <c r="G234" s="563" t="s">
        <v>1111</v>
      </c>
      <c r="H234" s="562">
        <v>170</v>
      </c>
      <c r="I234" s="560">
        <v>170</v>
      </c>
      <c r="J234" s="562"/>
      <c r="K234" s="377" t="s">
        <v>1112</v>
      </c>
      <c r="L234" s="447">
        <v>6</v>
      </c>
      <c r="M234" s="447">
        <v>42</v>
      </c>
      <c r="N234" s="448">
        <v>42236</v>
      </c>
    </row>
    <row r="235" spans="1:14">
      <c r="A235" s="562" t="s">
        <v>1502</v>
      </c>
      <c r="B235" s="560" t="s">
        <v>677</v>
      </c>
      <c r="C235" s="193">
        <v>42234</v>
      </c>
      <c r="D235" s="193">
        <v>42234</v>
      </c>
      <c r="E235" s="562" t="s">
        <v>177</v>
      </c>
      <c r="F235" s="562" t="s">
        <v>1110</v>
      </c>
      <c r="G235" s="562" t="s">
        <v>1113</v>
      </c>
      <c r="H235" s="562">
        <v>41</v>
      </c>
      <c r="I235" s="560">
        <v>41</v>
      </c>
      <c r="J235" s="562"/>
      <c r="K235" s="562" t="s">
        <v>1112</v>
      </c>
      <c r="L235" s="447">
        <v>2</v>
      </c>
      <c r="M235" s="447">
        <v>8</v>
      </c>
      <c r="N235" s="448">
        <v>42235</v>
      </c>
    </row>
    <row r="236" spans="1:14">
      <c r="A236" s="562" t="s">
        <v>1502</v>
      </c>
      <c r="B236" s="560" t="s">
        <v>677</v>
      </c>
      <c r="C236" s="193">
        <v>42234</v>
      </c>
      <c r="D236" s="193">
        <v>42234</v>
      </c>
      <c r="E236" s="562" t="s">
        <v>223</v>
      </c>
      <c r="F236" s="562" t="s">
        <v>1110</v>
      </c>
      <c r="G236" s="562" t="s">
        <v>1114</v>
      </c>
      <c r="H236" s="562">
        <v>19</v>
      </c>
      <c r="I236" s="560">
        <v>19</v>
      </c>
      <c r="J236" s="562" t="s">
        <v>1115</v>
      </c>
      <c r="K236" s="377" t="s">
        <v>1112</v>
      </c>
      <c r="L236" s="449">
        <v>5</v>
      </c>
      <c r="M236" s="449">
        <v>35</v>
      </c>
      <c r="N236" s="448">
        <v>42242</v>
      </c>
    </row>
    <row r="237" spans="1:14">
      <c r="A237" s="562" t="s">
        <v>1502</v>
      </c>
      <c r="B237" s="560" t="s">
        <v>677</v>
      </c>
      <c r="C237" s="193">
        <v>42234</v>
      </c>
      <c r="D237" s="193">
        <v>42234</v>
      </c>
      <c r="E237" s="562" t="s">
        <v>171</v>
      </c>
      <c r="F237" s="562" t="s">
        <v>1110</v>
      </c>
      <c r="G237" s="563" t="s">
        <v>1116</v>
      </c>
      <c r="H237" s="562">
        <v>20</v>
      </c>
      <c r="I237" s="560">
        <v>20</v>
      </c>
      <c r="J237" s="562"/>
      <c r="K237" s="562" t="s">
        <v>1112</v>
      </c>
      <c r="L237" s="447">
        <v>2</v>
      </c>
      <c r="M237" s="447">
        <v>8</v>
      </c>
      <c r="N237" s="448">
        <v>42236</v>
      </c>
    </row>
    <row r="238" spans="1:14">
      <c r="A238" s="559" t="s">
        <v>1500</v>
      </c>
      <c r="B238" s="560">
        <v>25</v>
      </c>
      <c r="C238" s="193">
        <v>42234</v>
      </c>
      <c r="D238" s="193">
        <v>42234</v>
      </c>
      <c r="E238" s="561" t="s">
        <v>195</v>
      </c>
      <c r="F238" s="562" t="s">
        <v>1110</v>
      </c>
      <c r="G238" s="563" t="s">
        <v>1111</v>
      </c>
      <c r="H238" s="562">
        <v>269</v>
      </c>
      <c r="I238" s="560">
        <v>269</v>
      </c>
      <c r="J238" s="562"/>
      <c r="K238" s="377" t="s">
        <v>1112</v>
      </c>
      <c r="L238" s="447">
        <v>6</v>
      </c>
      <c r="M238" s="447">
        <v>42</v>
      </c>
      <c r="N238" s="448">
        <v>42236</v>
      </c>
    </row>
    <row r="239" spans="1:14">
      <c r="A239" s="559" t="s">
        <v>1500</v>
      </c>
      <c r="B239" s="560">
        <v>25</v>
      </c>
      <c r="C239" s="193">
        <v>42234</v>
      </c>
      <c r="D239" s="193">
        <v>42234</v>
      </c>
      <c r="E239" s="562" t="s">
        <v>177</v>
      </c>
      <c r="F239" s="562" t="s">
        <v>1110</v>
      </c>
      <c r="G239" s="562" t="s">
        <v>1113</v>
      </c>
      <c r="H239" s="562">
        <v>30</v>
      </c>
      <c r="I239" s="560">
        <v>30</v>
      </c>
      <c r="J239" s="562"/>
      <c r="K239" s="562" t="s">
        <v>1112</v>
      </c>
      <c r="L239" s="447">
        <v>2</v>
      </c>
      <c r="M239" s="447">
        <v>8</v>
      </c>
      <c r="N239" s="448">
        <v>42235</v>
      </c>
    </row>
    <row r="240" spans="1:14">
      <c r="A240" s="559" t="s">
        <v>1500</v>
      </c>
      <c r="B240" s="560">
        <v>25</v>
      </c>
      <c r="C240" s="193">
        <v>42234</v>
      </c>
      <c r="D240" s="193">
        <v>42234</v>
      </c>
      <c r="E240" s="562" t="s">
        <v>223</v>
      </c>
      <c r="F240" s="562" t="s">
        <v>1110</v>
      </c>
      <c r="G240" s="562" t="s">
        <v>1114</v>
      </c>
      <c r="H240" s="562">
        <v>15</v>
      </c>
      <c r="I240" s="560">
        <v>15</v>
      </c>
      <c r="J240" s="562" t="s">
        <v>1115</v>
      </c>
      <c r="K240" s="377" t="s">
        <v>1112</v>
      </c>
      <c r="L240" s="449">
        <v>5</v>
      </c>
      <c r="M240" s="449">
        <v>35</v>
      </c>
      <c r="N240" s="448">
        <v>42242</v>
      </c>
    </row>
    <row r="241" spans="1:14">
      <c r="A241" s="559" t="s">
        <v>1500</v>
      </c>
      <c r="B241" s="560">
        <v>25</v>
      </c>
      <c r="C241" s="193">
        <v>42234</v>
      </c>
      <c r="D241" s="193">
        <v>42234</v>
      </c>
      <c r="E241" s="562" t="s">
        <v>171</v>
      </c>
      <c r="F241" s="562" t="s">
        <v>1110</v>
      </c>
      <c r="G241" s="563" t="s">
        <v>1116</v>
      </c>
      <c r="H241" s="562">
        <v>10</v>
      </c>
      <c r="I241" s="560">
        <v>10</v>
      </c>
      <c r="J241" s="562"/>
      <c r="K241" s="562" t="s">
        <v>1112</v>
      </c>
      <c r="L241" s="447">
        <v>2</v>
      </c>
      <c r="M241" s="447">
        <v>8</v>
      </c>
      <c r="N241" s="448">
        <v>42236</v>
      </c>
    </row>
    <row r="242" spans="1:14">
      <c r="A242" s="559" t="s">
        <v>1503</v>
      </c>
      <c r="B242" s="560">
        <v>5</v>
      </c>
      <c r="C242" s="193">
        <v>42234</v>
      </c>
      <c r="D242" s="193">
        <v>42234</v>
      </c>
      <c r="E242" s="561" t="s">
        <v>195</v>
      </c>
      <c r="F242" s="562" t="s">
        <v>1110</v>
      </c>
      <c r="G242" s="563" t="s">
        <v>1111</v>
      </c>
      <c r="H242" s="562">
        <v>270</v>
      </c>
      <c r="I242" s="560">
        <v>270</v>
      </c>
      <c r="J242" s="562"/>
      <c r="K242" s="377" t="s">
        <v>1112</v>
      </c>
      <c r="L242" s="447">
        <v>6</v>
      </c>
      <c r="M242" s="447">
        <v>42</v>
      </c>
      <c r="N242" s="448">
        <v>42236</v>
      </c>
    </row>
    <row r="243" spans="1:14">
      <c r="A243" s="559" t="s">
        <v>1503</v>
      </c>
      <c r="B243" s="560">
        <v>5</v>
      </c>
      <c r="C243" s="193">
        <v>42234</v>
      </c>
      <c r="D243" s="193">
        <v>42234</v>
      </c>
      <c r="E243" s="562" t="s">
        <v>177</v>
      </c>
      <c r="F243" s="562" t="s">
        <v>1110</v>
      </c>
      <c r="G243" s="562" t="s">
        <v>1113</v>
      </c>
      <c r="H243" s="562">
        <v>56</v>
      </c>
      <c r="I243" s="560">
        <v>56</v>
      </c>
      <c r="J243" s="562"/>
      <c r="K243" s="562" t="s">
        <v>1112</v>
      </c>
      <c r="L243" s="447">
        <v>2</v>
      </c>
      <c r="M243" s="447">
        <v>8</v>
      </c>
      <c r="N243" s="448">
        <v>42235</v>
      </c>
    </row>
    <row r="244" spans="1:14" s="710" customFormat="1">
      <c r="A244" s="559" t="s">
        <v>1503</v>
      </c>
      <c r="B244" s="560">
        <v>5</v>
      </c>
      <c r="C244" s="193">
        <v>42234</v>
      </c>
      <c r="D244" s="193">
        <v>42234</v>
      </c>
      <c r="E244" s="562" t="s">
        <v>223</v>
      </c>
      <c r="F244" s="562" t="s">
        <v>1110</v>
      </c>
      <c r="G244" s="562" t="s">
        <v>1114</v>
      </c>
      <c r="H244" s="562">
        <v>37</v>
      </c>
      <c r="I244" s="560">
        <v>37</v>
      </c>
      <c r="J244" s="562"/>
      <c r="K244" s="377" t="s">
        <v>1112</v>
      </c>
      <c r="L244" s="449">
        <v>5</v>
      </c>
      <c r="M244" s="449">
        <v>35</v>
      </c>
      <c r="N244" s="448">
        <v>42242</v>
      </c>
    </row>
    <row r="245" spans="1:14">
      <c r="A245" s="559" t="s">
        <v>1503</v>
      </c>
      <c r="B245" s="560">
        <v>5</v>
      </c>
      <c r="C245" s="193">
        <v>42234</v>
      </c>
      <c r="D245" s="193">
        <v>42234</v>
      </c>
      <c r="E245" s="562" t="s">
        <v>171</v>
      </c>
      <c r="F245" s="562" t="s">
        <v>1110</v>
      </c>
      <c r="G245" s="563" t="s">
        <v>1116</v>
      </c>
      <c r="H245" s="562">
        <v>30</v>
      </c>
      <c r="I245" s="560">
        <v>30</v>
      </c>
      <c r="J245" s="562"/>
      <c r="K245" s="562" t="s">
        <v>1112</v>
      </c>
      <c r="L245" s="447">
        <v>2</v>
      </c>
      <c r="M245" s="447">
        <v>8</v>
      </c>
      <c r="N245" s="448">
        <v>42236</v>
      </c>
    </row>
    <row r="246" spans="1:14">
      <c r="A246" s="559" t="s">
        <v>1504</v>
      </c>
      <c r="B246" s="560" t="s">
        <v>302</v>
      </c>
      <c r="C246" s="193">
        <v>42234</v>
      </c>
      <c r="D246" s="193">
        <v>42234</v>
      </c>
      <c r="E246" s="561" t="s">
        <v>195</v>
      </c>
      <c r="F246" s="562" t="s">
        <v>1110</v>
      </c>
      <c r="G246" s="563" t="s">
        <v>1111</v>
      </c>
      <c r="H246" s="562">
        <v>292</v>
      </c>
      <c r="I246" s="560">
        <v>292</v>
      </c>
      <c r="J246" s="562"/>
      <c r="K246" s="377" t="s">
        <v>1112</v>
      </c>
      <c r="L246" s="447">
        <v>6</v>
      </c>
      <c r="M246" s="447">
        <v>42</v>
      </c>
      <c r="N246" s="448">
        <v>42236</v>
      </c>
    </row>
    <row r="247" spans="1:14">
      <c r="A247" s="559" t="s">
        <v>1504</v>
      </c>
      <c r="B247" s="560" t="s">
        <v>302</v>
      </c>
      <c r="C247" s="193">
        <v>42234</v>
      </c>
      <c r="D247" s="193">
        <v>42234</v>
      </c>
      <c r="E247" s="562" t="s">
        <v>177</v>
      </c>
      <c r="F247" s="562" t="s">
        <v>1110</v>
      </c>
      <c r="G247" s="562" t="s">
        <v>1113</v>
      </c>
      <c r="H247" s="562">
        <v>97</v>
      </c>
      <c r="I247" s="560">
        <v>97</v>
      </c>
      <c r="J247" s="562"/>
      <c r="K247" s="377" t="s">
        <v>1112</v>
      </c>
      <c r="L247" s="447">
        <v>2</v>
      </c>
      <c r="M247" s="447">
        <v>8</v>
      </c>
      <c r="N247" s="448">
        <v>42235</v>
      </c>
    </row>
    <row r="248" spans="1:14">
      <c r="A248" s="559" t="s">
        <v>1504</v>
      </c>
      <c r="B248" s="560" t="s">
        <v>302</v>
      </c>
      <c r="C248" s="193">
        <v>42234</v>
      </c>
      <c r="D248" s="193">
        <v>42234</v>
      </c>
      <c r="E248" s="562" t="s">
        <v>223</v>
      </c>
      <c r="F248" s="562" t="s">
        <v>1110</v>
      </c>
      <c r="G248" s="562" t="s">
        <v>1114</v>
      </c>
      <c r="H248" s="562">
        <v>66</v>
      </c>
      <c r="I248" s="560">
        <v>66</v>
      </c>
      <c r="J248" s="562"/>
      <c r="K248" s="562" t="s">
        <v>1112</v>
      </c>
      <c r="L248" s="449">
        <v>5</v>
      </c>
      <c r="M248" s="449">
        <v>35</v>
      </c>
      <c r="N248" s="448">
        <v>42242</v>
      </c>
    </row>
    <row r="249" spans="1:14">
      <c r="A249" s="559" t="s">
        <v>1504</v>
      </c>
      <c r="B249" s="560" t="s">
        <v>302</v>
      </c>
      <c r="C249" s="193">
        <v>42234</v>
      </c>
      <c r="D249" s="193">
        <v>42234</v>
      </c>
      <c r="E249" s="562" t="s">
        <v>171</v>
      </c>
      <c r="F249" s="562" t="s">
        <v>1110</v>
      </c>
      <c r="G249" s="563" t="s">
        <v>1116</v>
      </c>
      <c r="H249" s="562">
        <v>31</v>
      </c>
      <c r="I249" s="560">
        <v>31</v>
      </c>
      <c r="J249" s="562"/>
      <c r="K249" s="562" t="s">
        <v>1112</v>
      </c>
      <c r="L249" s="447">
        <v>2</v>
      </c>
      <c r="M249" s="447">
        <v>8</v>
      </c>
      <c r="N249" s="448">
        <v>42236</v>
      </c>
    </row>
    <row r="250" spans="1:14">
      <c r="A250" s="559" t="s">
        <v>1506</v>
      </c>
      <c r="B250" s="560">
        <v>9</v>
      </c>
      <c r="C250" s="193">
        <v>42234</v>
      </c>
      <c r="D250" s="193">
        <v>42234</v>
      </c>
      <c r="E250" s="561" t="s">
        <v>195</v>
      </c>
      <c r="F250" s="562" t="s">
        <v>1110</v>
      </c>
      <c r="G250" s="563" t="s">
        <v>1111</v>
      </c>
      <c r="H250" s="562">
        <v>411</v>
      </c>
      <c r="I250" s="560">
        <v>411</v>
      </c>
      <c r="J250" s="562"/>
      <c r="K250" s="377" t="s">
        <v>1112</v>
      </c>
      <c r="L250" s="447">
        <v>6</v>
      </c>
      <c r="M250" s="447">
        <v>42</v>
      </c>
      <c r="N250" s="448">
        <v>42236</v>
      </c>
    </row>
    <row r="251" spans="1:14">
      <c r="A251" s="559" t="s">
        <v>1506</v>
      </c>
      <c r="B251" s="560">
        <v>9</v>
      </c>
      <c r="C251" s="193">
        <v>42234</v>
      </c>
      <c r="D251" s="193">
        <v>42234</v>
      </c>
      <c r="E251" s="562" t="s">
        <v>177</v>
      </c>
      <c r="F251" s="562" t="s">
        <v>1110</v>
      </c>
      <c r="G251" s="562" t="s">
        <v>1113</v>
      </c>
      <c r="H251" s="562">
        <v>189</v>
      </c>
      <c r="I251" s="560">
        <v>189</v>
      </c>
      <c r="J251" s="562"/>
      <c r="K251" s="562" t="s">
        <v>1112</v>
      </c>
      <c r="L251" s="447">
        <v>2</v>
      </c>
      <c r="M251" s="447">
        <v>8</v>
      </c>
      <c r="N251" s="448">
        <v>42235</v>
      </c>
    </row>
    <row r="252" spans="1:14">
      <c r="A252" s="559" t="s">
        <v>1506</v>
      </c>
      <c r="B252" s="560">
        <v>9</v>
      </c>
      <c r="C252" s="193">
        <v>42234</v>
      </c>
      <c r="D252" s="193">
        <v>42234</v>
      </c>
      <c r="E252" s="562" t="s">
        <v>223</v>
      </c>
      <c r="F252" s="562" t="s">
        <v>1110</v>
      </c>
      <c r="G252" s="562" t="s">
        <v>1114</v>
      </c>
      <c r="H252" s="562">
        <v>71</v>
      </c>
      <c r="I252" s="560">
        <v>71</v>
      </c>
      <c r="J252" s="562"/>
      <c r="K252" s="377" t="s">
        <v>1112</v>
      </c>
      <c r="L252" s="449">
        <v>5</v>
      </c>
      <c r="M252" s="449">
        <v>35</v>
      </c>
      <c r="N252" s="448">
        <v>42242</v>
      </c>
    </row>
    <row r="253" spans="1:14">
      <c r="A253" s="559" t="s">
        <v>1506</v>
      </c>
      <c r="B253" s="560">
        <v>9</v>
      </c>
      <c r="C253" s="193">
        <v>42234</v>
      </c>
      <c r="D253" s="193">
        <v>42234</v>
      </c>
      <c r="E253" s="562" t="s">
        <v>171</v>
      </c>
      <c r="F253" s="562" t="s">
        <v>1110</v>
      </c>
      <c r="G253" s="563" t="s">
        <v>1116</v>
      </c>
      <c r="H253" s="562">
        <v>45</v>
      </c>
      <c r="I253" s="560">
        <v>45</v>
      </c>
      <c r="J253" s="562"/>
      <c r="K253" s="562" t="s">
        <v>1112</v>
      </c>
      <c r="L253" s="447">
        <v>2</v>
      </c>
      <c r="M253" s="447">
        <v>8</v>
      </c>
      <c r="N253" s="448">
        <v>42236</v>
      </c>
    </row>
    <row r="254" spans="1:14">
      <c r="A254" s="559" t="s">
        <v>1507</v>
      </c>
      <c r="B254" s="560">
        <v>12</v>
      </c>
      <c r="C254" s="193">
        <v>42234</v>
      </c>
      <c r="D254" s="193">
        <v>42234</v>
      </c>
      <c r="E254" s="561" t="s">
        <v>195</v>
      </c>
      <c r="F254" s="562" t="s">
        <v>1110</v>
      </c>
      <c r="G254" s="563" t="s">
        <v>1111</v>
      </c>
      <c r="H254" s="562">
        <v>463</v>
      </c>
      <c r="I254" s="560">
        <v>463</v>
      </c>
      <c r="J254" s="562"/>
      <c r="K254" s="377" t="s">
        <v>1112</v>
      </c>
      <c r="L254" s="447">
        <v>6</v>
      </c>
      <c r="M254" s="447">
        <v>42</v>
      </c>
      <c r="N254" s="448">
        <v>42236</v>
      </c>
    </row>
    <row r="255" spans="1:14">
      <c r="A255" s="559" t="s">
        <v>1507</v>
      </c>
      <c r="B255" s="560">
        <v>12</v>
      </c>
      <c r="C255" s="193">
        <v>42234</v>
      </c>
      <c r="D255" s="193">
        <v>42234</v>
      </c>
      <c r="E255" s="562" t="s">
        <v>177</v>
      </c>
      <c r="F255" s="562" t="s">
        <v>1110</v>
      </c>
      <c r="G255" s="562" t="s">
        <v>1113</v>
      </c>
      <c r="H255" s="562">
        <v>273</v>
      </c>
      <c r="I255" s="560">
        <v>273</v>
      </c>
      <c r="J255" s="562"/>
      <c r="K255" s="562" t="s">
        <v>1112</v>
      </c>
      <c r="L255" s="447">
        <v>2</v>
      </c>
      <c r="M255" s="447">
        <v>8</v>
      </c>
      <c r="N255" s="448">
        <v>42235</v>
      </c>
    </row>
    <row r="256" spans="1:14">
      <c r="A256" s="559" t="s">
        <v>1507</v>
      </c>
      <c r="B256" s="560">
        <v>12</v>
      </c>
      <c r="C256" s="193">
        <v>42234</v>
      </c>
      <c r="D256" s="193">
        <v>42234</v>
      </c>
      <c r="E256" s="562" t="s">
        <v>223</v>
      </c>
      <c r="F256" s="562" t="s">
        <v>1110</v>
      </c>
      <c r="G256" s="562" t="s">
        <v>1114</v>
      </c>
      <c r="H256" s="562">
        <v>45</v>
      </c>
      <c r="I256" s="560">
        <v>45</v>
      </c>
      <c r="J256" s="562"/>
      <c r="K256" s="377" t="s">
        <v>1112</v>
      </c>
      <c r="L256" s="449">
        <v>5</v>
      </c>
      <c r="M256" s="449">
        <v>35</v>
      </c>
      <c r="N256" s="448">
        <v>42242</v>
      </c>
    </row>
    <row r="257" spans="1:14">
      <c r="A257" s="559" t="s">
        <v>1507</v>
      </c>
      <c r="B257" s="560">
        <v>12</v>
      </c>
      <c r="C257" s="193">
        <v>42234</v>
      </c>
      <c r="D257" s="193">
        <v>42234</v>
      </c>
      <c r="E257" s="562" t="s">
        <v>171</v>
      </c>
      <c r="F257" s="562" t="s">
        <v>1110</v>
      </c>
      <c r="G257" s="563" t="s">
        <v>1116</v>
      </c>
      <c r="H257" s="562">
        <v>44</v>
      </c>
      <c r="I257" s="560">
        <v>44</v>
      </c>
      <c r="J257" s="562"/>
      <c r="K257" s="562" t="s">
        <v>1112</v>
      </c>
      <c r="L257" s="447">
        <v>2</v>
      </c>
      <c r="M257" s="447">
        <v>8</v>
      </c>
      <c r="N257" s="448">
        <v>42236</v>
      </c>
    </row>
    <row r="258" spans="1:14">
      <c r="A258" s="559" t="s">
        <v>1508</v>
      </c>
      <c r="B258" s="560" t="s">
        <v>303</v>
      </c>
      <c r="C258" s="193">
        <v>42234</v>
      </c>
      <c r="D258" s="193">
        <v>42234</v>
      </c>
      <c r="E258" s="561" t="s">
        <v>195</v>
      </c>
      <c r="F258" s="562" t="s">
        <v>1110</v>
      </c>
      <c r="G258" s="563" t="s">
        <v>1111</v>
      </c>
      <c r="H258" s="562">
        <v>432</v>
      </c>
      <c r="I258" s="560">
        <v>432</v>
      </c>
      <c r="J258" s="562"/>
      <c r="K258" s="377" t="s">
        <v>1112</v>
      </c>
      <c r="L258" s="447">
        <v>6</v>
      </c>
      <c r="M258" s="447">
        <v>42</v>
      </c>
      <c r="N258" s="448">
        <v>42236</v>
      </c>
    </row>
    <row r="259" spans="1:14">
      <c r="A259" s="559" t="s">
        <v>1508</v>
      </c>
      <c r="B259" s="560" t="s">
        <v>303</v>
      </c>
      <c r="C259" s="193">
        <v>42234</v>
      </c>
      <c r="D259" s="193">
        <v>42234</v>
      </c>
      <c r="E259" s="562" t="s">
        <v>177</v>
      </c>
      <c r="F259" s="562" t="s">
        <v>1110</v>
      </c>
      <c r="G259" s="562" t="s">
        <v>1113</v>
      </c>
      <c r="H259" s="562">
        <v>244</v>
      </c>
      <c r="I259" s="560">
        <v>244</v>
      </c>
      <c r="J259" s="562"/>
      <c r="K259" s="562" t="s">
        <v>1112</v>
      </c>
      <c r="L259" s="447">
        <v>2</v>
      </c>
      <c r="M259" s="447">
        <v>8</v>
      </c>
      <c r="N259" s="448">
        <v>42235</v>
      </c>
    </row>
    <row r="260" spans="1:14">
      <c r="A260" s="559" t="s">
        <v>1508</v>
      </c>
      <c r="B260" s="560" t="s">
        <v>303</v>
      </c>
      <c r="C260" s="193">
        <v>42234</v>
      </c>
      <c r="D260" s="193">
        <v>42234</v>
      </c>
      <c r="E260" s="562" t="s">
        <v>223</v>
      </c>
      <c r="F260" s="562" t="s">
        <v>1110</v>
      </c>
      <c r="G260" s="562" t="s">
        <v>1114</v>
      </c>
      <c r="H260" s="562">
        <v>35</v>
      </c>
      <c r="I260" s="560">
        <v>35</v>
      </c>
      <c r="J260" s="562" t="s">
        <v>1115</v>
      </c>
      <c r="K260" s="377" t="s">
        <v>1112</v>
      </c>
      <c r="L260" s="449">
        <v>5</v>
      </c>
      <c r="M260" s="449">
        <v>35</v>
      </c>
      <c r="N260" s="448">
        <v>42242</v>
      </c>
    </row>
    <row r="261" spans="1:14">
      <c r="A261" s="559" t="s">
        <v>1508</v>
      </c>
      <c r="B261" s="560" t="s">
        <v>303</v>
      </c>
      <c r="C261" s="193">
        <v>42234</v>
      </c>
      <c r="D261" s="193">
        <v>42234</v>
      </c>
      <c r="E261" s="562" t="s">
        <v>171</v>
      </c>
      <c r="F261" s="562" t="s">
        <v>1110</v>
      </c>
      <c r="G261" s="563" t="s">
        <v>1116</v>
      </c>
      <c r="H261" s="562">
        <v>48</v>
      </c>
      <c r="I261" s="560">
        <v>48</v>
      </c>
      <c r="J261" s="562"/>
      <c r="K261" s="562" t="s">
        <v>1112</v>
      </c>
      <c r="L261" s="447">
        <v>2</v>
      </c>
      <c r="M261" s="447">
        <v>8</v>
      </c>
      <c r="N261" s="448">
        <v>42236</v>
      </c>
    </row>
    <row r="262" spans="1:14">
      <c r="A262" s="559" t="s">
        <v>1509</v>
      </c>
      <c r="B262" s="560" t="s">
        <v>679</v>
      </c>
      <c r="C262" s="193">
        <v>42234</v>
      </c>
      <c r="D262" s="193">
        <v>42234</v>
      </c>
      <c r="E262" s="561" t="s">
        <v>195</v>
      </c>
      <c r="F262" s="562" t="s">
        <v>1110</v>
      </c>
      <c r="G262" s="563" t="s">
        <v>1111</v>
      </c>
      <c r="H262" s="562">
        <v>448</v>
      </c>
      <c r="I262" s="560">
        <v>448</v>
      </c>
      <c r="J262" s="562"/>
      <c r="K262" s="377" t="s">
        <v>1112</v>
      </c>
      <c r="L262" s="447">
        <v>6</v>
      </c>
      <c r="M262" s="447">
        <v>42</v>
      </c>
      <c r="N262" s="448">
        <v>42236</v>
      </c>
    </row>
    <row r="263" spans="1:14">
      <c r="A263" s="559" t="s">
        <v>1509</v>
      </c>
      <c r="B263" s="560" t="s">
        <v>679</v>
      </c>
      <c r="C263" s="193">
        <v>42234</v>
      </c>
      <c r="D263" s="193">
        <v>42234</v>
      </c>
      <c r="E263" s="562" t="s">
        <v>177</v>
      </c>
      <c r="F263" s="562" t="s">
        <v>1110</v>
      </c>
      <c r="G263" s="562" t="s">
        <v>1113</v>
      </c>
      <c r="H263" s="562">
        <v>261</v>
      </c>
      <c r="I263" s="560">
        <v>261</v>
      </c>
      <c r="J263" s="562"/>
      <c r="K263" s="562" t="s">
        <v>1112</v>
      </c>
      <c r="L263" s="447">
        <v>2</v>
      </c>
      <c r="M263" s="447">
        <v>8</v>
      </c>
      <c r="N263" s="448">
        <v>42235</v>
      </c>
    </row>
    <row r="264" spans="1:14">
      <c r="A264" s="559" t="s">
        <v>1509</v>
      </c>
      <c r="B264" s="560" t="s">
        <v>679</v>
      </c>
      <c r="C264" s="193">
        <v>42234</v>
      </c>
      <c r="D264" s="193">
        <v>42234</v>
      </c>
      <c r="E264" s="562" t="s">
        <v>223</v>
      </c>
      <c r="F264" s="562" t="s">
        <v>1110</v>
      </c>
      <c r="G264" s="562" t="s">
        <v>1114</v>
      </c>
      <c r="H264" s="562">
        <v>31</v>
      </c>
      <c r="I264" s="560">
        <v>31</v>
      </c>
      <c r="J264" s="562" t="s">
        <v>1115</v>
      </c>
      <c r="K264" s="377" t="s">
        <v>1112</v>
      </c>
      <c r="L264" s="449">
        <v>5</v>
      </c>
      <c r="M264" s="449">
        <v>35</v>
      </c>
      <c r="N264" s="448">
        <v>42242</v>
      </c>
    </row>
    <row r="265" spans="1:14">
      <c r="A265" s="559" t="s">
        <v>1509</v>
      </c>
      <c r="B265" s="560" t="s">
        <v>679</v>
      </c>
      <c r="C265" s="193">
        <v>42234</v>
      </c>
      <c r="D265" s="193">
        <v>42234</v>
      </c>
      <c r="E265" s="562" t="s">
        <v>171</v>
      </c>
      <c r="F265" s="562" t="s">
        <v>1110</v>
      </c>
      <c r="G265" s="563" t="s">
        <v>1116</v>
      </c>
      <c r="H265" s="562">
        <v>45</v>
      </c>
      <c r="I265" s="560">
        <v>45</v>
      </c>
      <c r="J265" s="562"/>
      <c r="K265" s="562" t="s">
        <v>1112</v>
      </c>
      <c r="L265" s="447">
        <v>2</v>
      </c>
      <c r="M265" s="447">
        <v>8</v>
      </c>
      <c r="N265" s="448">
        <v>42236</v>
      </c>
    </row>
    <row r="266" spans="1:14">
      <c r="A266" s="559" t="s">
        <v>1510</v>
      </c>
      <c r="B266" s="560">
        <v>34</v>
      </c>
      <c r="C266" s="193">
        <v>42234</v>
      </c>
      <c r="D266" s="193">
        <v>42234</v>
      </c>
      <c r="E266" s="561" t="s">
        <v>195</v>
      </c>
      <c r="F266" s="562" t="s">
        <v>1110</v>
      </c>
      <c r="G266" s="563" t="s">
        <v>1111</v>
      </c>
      <c r="H266" s="562">
        <v>1755</v>
      </c>
      <c r="I266" s="560">
        <v>1755</v>
      </c>
      <c r="J266" s="562"/>
      <c r="K266" s="377" t="s">
        <v>1112</v>
      </c>
      <c r="L266" s="447">
        <v>6</v>
      </c>
      <c r="M266" s="447">
        <v>42</v>
      </c>
      <c r="N266" s="448">
        <v>42236</v>
      </c>
    </row>
    <row r="267" spans="1:14">
      <c r="A267" s="559" t="s">
        <v>1510</v>
      </c>
      <c r="B267" s="560">
        <v>34</v>
      </c>
      <c r="C267" s="193">
        <v>42234</v>
      </c>
      <c r="D267" s="193">
        <v>42234</v>
      </c>
      <c r="E267" s="562" t="s">
        <v>177</v>
      </c>
      <c r="F267" s="562" t="s">
        <v>1110</v>
      </c>
      <c r="G267" s="562" t="s">
        <v>1113</v>
      </c>
      <c r="H267" s="562">
        <v>1327</v>
      </c>
      <c r="I267" s="560">
        <v>1327</v>
      </c>
      <c r="J267" s="562"/>
      <c r="K267" s="562" t="s">
        <v>1112</v>
      </c>
      <c r="L267" s="447">
        <v>2</v>
      </c>
      <c r="M267" s="447">
        <v>8</v>
      </c>
      <c r="N267" s="448">
        <v>42235</v>
      </c>
    </row>
    <row r="268" spans="1:14">
      <c r="A268" s="559" t="s">
        <v>1510</v>
      </c>
      <c r="B268" s="560">
        <v>34</v>
      </c>
      <c r="C268" s="193">
        <v>42234</v>
      </c>
      <c r="D268" s="193">
        <v>42234</v>
      </c>
      <c r="E268" s="562" t="s">
        <v>223</v>
      </c>
      <c r="F268" s="562" t="s">
        <v>1110</v>
      </c>
      <c r="G268" s="562" t="s">
        <v>1114</v>
      </c>
      <c r="H268" s="562">
        <v>29</v>
      </c>
      <c r="I268" s="560">
        <v>29</v>
      </c>
      <c r="J268" s="562" t="s">
        <v>1115</v>
      </c>
      <c r="K268" s="377" t="s">
        <v>1112</v>
      </c>
      <c r="L268" s="449">
        <v>5</v>
      </c>
      <c r="M268" s="449">
        <v>35</v>
      </c>
      <c r="N268" s="448">
        <v>42242</v>
      </c>
    </row>
    <row r="269" spans="1:14">
      <c r="A269" s="559" t="s">
        <v>1510</v>
      </c>
      <c r="B269" s="560">
        <v>34</v>
      </c>
      <c r="C269" s="193">
        <v>42234</v>
      </c>
      <c r="D269" s="193">
        <v>42234</v>
      </c>
      <c r="E269" s="562" t="s">
        <v>171</v>
      </c>
      <c r="F269" s="562" t="s">
        <v>1110</v>
      </c>
      <c r="G269" s="563" t="s">
        <v>1116</v>
      </c>
      <c r="H269" s="562">
        <v>92</v>
      </c>
      <c r="I269" s="560">
        <v>92</v>
      </c>
      <c r="J269" s="562"/>
      <c r="K269" s="562" t="s">
        <v>1112</v>
      </c>
      <c r="L269" s="447">
        <v>2</v>
      </c>
      <c r="M269" s="447">
        <v>8</v>
      </c>
      <c r="N269" s="448">
        <v>42236</v>
      </c>
    </row>
    <row r="270" spans="1:14">
      <c r="A270" s="559" t="s">
        <v>1513</v>
      </c>
      <c r="B270" s="560">
        <v>35</v>
      </c>
      <c r="C270" s="193">
        <v>42234</v>
      </c>
      <c r="D270" s="193">
        <v>42234</v>
      </c>
      <c r="E270" s="561" t="s">
        <v>195</v>
      </c>
      <c r="F270" s="562" t="s">
        <v>1110</v>
      </c>
      <c r="G270" s="563" t="s">
        <v>1111</v>
      </c>
      <c r="H270" s="562">
        <v>235</v>
      </c>
      <c r="I270" s="560">
        <v>235</v>
      </c>
      <c r="J270" s="562"/>
      <c r="K270" s="377" t="s">
        <v>1112</v>
      </c>
      <c r="L270" s="447">
        <v>6</v>
      </c>
      <c r="M270" s="447">
        <v>42</v>
      </c>
      <c r="N270" s="448">
        <v>42236</v>
      </c>
    </row>
    <row r="271" spans="1:14">
      <c r="A271" s="559" t="s">
        <v>1513</v>
      </c>
      <c r="B271" s="560">
        <v>35</v>
      </c>
      <c r="C271" s="193">
        <v>42234</v>
      </c>
      <c r="D271" s="193">
        <v>42234</v>
      </c>
      <c r="E271" s="562" t="s">
        <v>177</v>
      </c>
      <c r="F271" s="562" t="s">
        <v>1110</v>
      </c>
      <c r="G271" s="562" t="s">
        <v>1113</v>
      </c>
      <c r="H271" s="562">
        <v>148</v>
      </c>
      <c r="I271" s="560">
        <v>148</v>
      </c>
      <c r="J271" s="562"/>
      <c r="K271" s="562" t="s">
        <v>1112</v>
      </c>
      <c r="L271" s="447">
        <v>2</v>
      </c>
      <c r="M271" s="447">
        <v>8</v>
      </c>
      <c r="N271" s="448">
        <v>42235</v>
      </c>
    </row>
    <row r="272" spans="1:14">
      <c r="A272" s="559" t="s">
        <v>1513</v>
      </c>
      <c r="B272" s="560">
        <v>35</v>
      </c>
      <c r="C272" s="193">
        <v>42234</v>
      </c>
      <c r="D272" s="193">
        <v>42234</v>
      </c>
      <c r="E272" s="562" t="s">
        <v>223</v>
      </c>
      <c r="F272" s="562" t="s">
        <v>1110</v>
      </c>
      <c r="G272" s="562" t="s">
        <v>1114</v>
      </c>
      <c r="H272" s="562">
        <v>18</v>
      </c>
      <c r="I272" s="560">
        <v>18</v>
      </c>
      <c r="J272" s="562" t="s">
        <v>1115</v>
      </c>
      <c r="K272" s="377" t="s">
        <v>1112</v>
      </c>
      <c r="L272" s="449">
        <v>5</v>
      </c>
      <c r="M272" s="449">
        <v>35</v>
      </c>
      <c r="N272" s="448">
        <v>42242</v>
      </c>
    </row>
    <row r="273" spans="1:14">
      <c r="A273" s="559" t="s">
        <v>1513</v>
      </c>
      <c r="B273" s="560">
        <v>35</v>
      </c>
      <c r="C273" s="193">
        <v>42234</v>
      </c>
      <c r="D273" s="193">
        <v>42234</v>
      </c>
      <c r="E273" s="562" t="s">
        <v>171</v>
      </c>
      <c r="F273" s="562" t="s">
        <v>1110</v>
      </c>
      <c r="G273" s="563" t="s">
        <v>1116</v>
      </c>
      <c r="H273" s="562">
        <v>22</v>
      </c>
      <c r="I273" s="560">
        <v>22</v>
      </c>
      <c r="J273" s="562"/>
      <c r="K273" s="562" t="s">
        <v>1112</v>
      </c>
      <c r="L273" s="447">
        <v>2</v>
      </c>
      <c r="M273" s="447">
        <v>8</v>
      </c>
      <c r="N273" s="448">
        <v>42236</v>
      </c>
    </row>
    <row r="274" spans="1:14">
      <c r="A274" s="559" t="s">
        <v>1514</v>
      </c>
      <c r="B274" s="560">
        <v>50</v>
      </c>
      <c r="C274" s="193">
        <v>42234</v>
      </c>
      <c r="D274" s="193">
        <v>42234</v>
      </c>
      <c r="E274" s="561" t="s">
        <v>195</v>
      </c>
      <c r="F274" s="562" t="s">
        <v>1110</v>
      </c>
      <c r="G274" s="563" t="s">
        <v>1111</v>
      </c>
      <c r="H274" s="562">
        <v>435</v>
      </c>
      <c r="I274" s="560">
        <v>435</v>
      </c>
      <c r="J274" s="562"/>
      <c r="K274" s="377" t="s">
        <v>1112</v>
      </c>
      <c r="L274" s="447">
        <v>6</v>
      </c>
      <c r="M274" s="447">
        <v>42</v>
      </c>
      <c r="N274" s="448">
        <v>42236</v>
      </c>
    </row>
    <row r="275" spans="1:14">
      <c r="A275" s="559" t="s">
        <v>1514</v>
      </c>
      <c r="B275" s="560">
        <v>50</v>
      </c>
      <c r="C275" s="193">
        <v>42234</v>
      </c>
      <c r="D275" s="193">
        <v>42234</v>
      </c>
      <c r="E275" s="562" t="s">
        <v>177</v>
      </c>
      <c r="F275" s="562" t="s">
        <v>1110</v>
      </c>
      <c r="G275" s="562" t="s">
        <v>1113</v>
      </c>
      <c r="H275" s="562">
        <v>246</v>
      </c>
      <c r="I275" s="560">
        <v>246</v>
      </c>
      <c r="J275" s="562"/>
      <c r="K275" s="562" t="s">
        <v>1112</v>
      </c>
      <c r="L275" s="447">
        <v>2</v>
      </c>
      <c r="M275" s="447">
        <v>8</v>
      </c>
      <c r="N275" s="448">
        <v>42235</v>
      </c>
    </row>
    <row r="276" spans="1:14">
      <c r="A276" s="559" t="s">
        <v>1514</v>
      </c>
      <c r="B276" s="560">
        <v>50</v>
      </c>
      <c r="C276" s="193">
        <v>42234</v>
      </c>
      <c r="D276" s="193">
        <v>42234</v>
      </c>
      <c r="E276" s="562" t="s">
        <v>223</v>
      </c>
      <c r="F276" s="562" t="s">
        <v>1110</v>
      </c>
      <c r="G276" s="562" t="s">
        <v>1114</v>
      </c>
      <c r="H276" s="562">
        <v>40</v>
      </c>
      <c r="I276" s="560">
        <v>40</v>
      </c>
      <c r="J276" s="562"/>
      <c r="K276" s="377" t="s">
        <v>1112</v>
      </c>
      <c r="L276" s="449">
        <v>5</v>
      </c>
      <c r="M276" s="449">
        <v>35</v>
      </c>
      <c r="N276" s="448">
        <v>42242</v>
      </c>
    </row>
    <row r="277" spans="1:14">
      <c r="A277" s="559" t="s">
        <v>1514</v>
      </c>
      <c r="B277" s="560">
        <v>50</v>
      </c>
      <c r="C277" s="193">
        <v>42234</v>
      </c>
      <c r="D277" s="193">
        <v>42234</v>
      </c>
      <c r="E277" s="562" t="s">
        <v>171</v>
      </c>
      <c r="F277" s="562" t="s">
        <v>1110</v>
      </c>
      <c r="G277" s="563" t="s">
        <v>1116</v>
      </c>
      <c r="H277" s="562">
        <v>78</v>
      </c>
      <c r="I277" s="560">
        <v>78</v>
      </c>
      <c r="J277" s="562"/>
      <c r="K277" s="562" t="s">
        <v>1112</v>
      </c>
      <c r="L277" s="447">
        <v>2</v>
      </c>
      <c r="M277" s="447">
        <v>8</v>
      </c>
      <c r="N277" s="448">
        <v>42236</v>
      </c>
    </row>
    <row r="278" spans="1:14">
      <c r="A278" s="559" t="s">
        <v>1498</v>
      </c>
      <c r="B278" s="560">
        <v>64</v>
      </c>
      <c r="C278" s="193">
        <v>42234</v>
      </c>
      <c r="D278" s="193">
        <v>42234</v>
      </c>
      <c r="E278" s="561" t="s">
        <v>195</v>
      </c>
      <c r="F278" s="562" t="s">
        <v>1110</v>
      </c>
      <c r="G278" s="563" t="s">
        <v>1111</v>
      </c>
      <c r="H278" s="562">
        <v>644</v>
      </c>
      <c r="I278" s="560">
        <v>644</v>
      </c>
      <c r="J278" s="562"/>
      <c r="K278" s="377" t="s">
        <v>1112</v>
      </c>
      <c r="L278" s="447">
        <v>6</v>
      </c>
      <c r="M278" s="447">
        <v>42</v>
      </c>
      <c r="N278" s="448">
        <v>42236</v>
      </c>
    </row>
    <row r="279" spans="1:14">
      <c r="A279" s="559" t="s">
        <v>1498</v>
      </c>
      <c r="B279" s="560">
        <v>64</v>
      </c>
      <c r="C279" s="193">
        <v>42234</v>
      </c>
      <c r="D279" s="193">
        <v>42234</v>
      </c>
      <c r="E279" s="562" t="s">
        <v>177</v>
      </c>
      <c r="F279" s="562" t="s">
        <v>1110</v>
      </c>
      <c r="G279" s="562" t="s">
        <v>1113</v>
      </c>
      <c r="H279" s="562">
        <v>221</v>
      </c>
      <c r="I279" s="560">
        <v>221</v>
      </c>
      <c r="J279" s="562"/>
      <c r="K279" s="562" t="s">
        <v>1112</v>
      </c>
      <c r="L279" s="447">
        <v>2</v>
      </c>
      <c r="M279" s="447">
        <v>8</v>
      </c>
      <c r="N279" s="448">
        <v>42235</v>
      </c>
    </row>
    <row r="280" spans="1:14">
      <c r="A280" s="559" t="s">
        <v>1498</v>
      </c>
      <c r="B280" s="560">
        <v>64</v>
      </c>
      <c r="C280" s="193">
        <v>42234</v>
      </c>
      <c r="D280" s="193">
        <v>42234</v>
      </c>
      <c r="E280" s="562" t="s">
        <v>223</v>
      </c>
      <c r="F280" s="562" t="s">
        <v>1110</v>
      </c>
      <c r="G280" s="562" t="s">
        <v>1114</v>
      </c>
      <c r="H280" s="562">
        <v>32</v>
      </c>
      <c r="I280" s="560">
        <v>32</v>
      </c>
      <c r="J280" s="562" t="s">
        <v>1115</v>
      </c>
      <c r="K280" s="377" t="s">
        <v>1112</v>
      </c>
      <c r="L280" s="449">
        <v>5</v>
      </c>
      <c r="M280" s="449">
        <v>35</v>
      </c>
      <c r="N280" s="448">
        <v>42242</v>
      </c>
    </row>
    <row r="281" spans="1:14">
      <c r="A281" s="559" t="s">
        <v>1498</v>
      </c>
      <c r="B281" s="560">
        <v>64</v>
      </c>
      <c r="C281" s="193">
        <v>42234</v>
      </c>
      <c r="D281" s="193">
        <v>42234</v>
      </c>
      <c r="E281" s="562" t="s">
        <v>171</v>
      </c>
      <c r="F281" s="562" t="s">
        <v>1110</v>
      </c>
      <c r="G281" s="563" t="s">
        <v>1116</v>
      </c>
      <c r="H281" s="562">
        <v>72</v>
      </c>
      <c r="I281" s="560">
        <v>72</v>
      </c>
      <c r="J281" s="562"/>
      <c r="K281" s="562" t="s">
        <v>1112</v>
      </c>
      <c r="L281" s="447">
        <v>2</v>
      </c>
      <c r="M281" s="447">
        <v>8</v>
      </c>
      <c r="N281" s="448">
        <v>42236</v>
      </c>
    </row>
    <row r="282" spans="1:14">
      <c r="A282" s="559" t="s">
        <v>1505</v>
      </c>
      <c r="B282" s="560">
        <v>32</v>
      </c>
      <c r="C282" s="193">
        <v>42234</v>
      </c>
      <c r="D282" s="193">
        <v>42234</v>
      </c>
      <c r="E282" s="561" t="s">
        <v>195</v>
      </c>
      <c r="F282" s="562" t="s">
        <v>1110</v>
      </c>
      <c r="G282" s="563" t="s">
        <v>1111</v>
      </c>
      <c r="H282" s="562">
        <v>1883</v>
      </c>
      <c r="I282" s="560">
        <v>1883</v>
      </c>
      <c r="J282" s="562"/>
      <c r="K282" s="377" t="s">
        <v>1112</v>
      </c>
      <c r="L282" s="447">
        <v>6</v>
      </c>
      <c r="M282" s="447">
        <v>42</v>
      </c>
      <c r="N282" s="448">
        <v>42236</v>
      </c>
    </row>
    <row r="283" spans="1:14">
      <c r="A283" s="559" t="s">
        <v>1505</v>
      </c>
      <c r="B283" s="560">
        <v>32</v>
      </c>
      <c r="C283" s="193">
        <v>42234</v>
      </c>
      <c r="D283" s="193">
        <v>42234</v>
      </c>
      <c r="E283" s="562" t="s">
        <v>177</v>
      </c>
      <c r="F283" s="562" t="s">
        <v>1110</v>
      </c>
      <c r="G283" s="562" t="s">
        <v>1113</v>
      </c>
      <c r="H283" s="562">
        <v>1167</v>
      </c>
      <c r="I283" s="560">
        <v>1167</v>
      </c>
      <c r="J283" s="562"/>
      <c r="K283" s="562" t="s">
        <v>1112</v>
      </c>
      <c r="L283" s="447">
        <v>2</v>
      </c>
      <c r="M283" s="447">
        <v>8</v>
      </c>
      <c r="N283" s="448">
        <v>42235</v>
      </c>
    </row>
    <row r="284" spans="1:14">
      <c r="A284" s="559" t="s">
        <v>1505</v>
      </c>
      <c r="B284" s="560">
        <v>32</v>
      </c>
      <c r="C284" s="193">
        <v>42234</v>
      </c>
      <c r="D284" s="193">
        <v>42234</v>
      </c>
      <c r="E284" s="562" t="s">
        <v>223</v>
      </c>
      <c r="F284" s="562" t="s">
        <v>1110</v>
      </c>
      <c r="G284" s="562" t="s">
        <v>1114</v>
      </c>
      <c r="H284" s="562">
        <v>181</v>
      </c>
      <c r="I284" s="560">
        <v>181</v>
      </c>
      <c r="J284" s="562"/>
      <c r="K284" s="562" t="s">
        <v>1112</v>
      </c>
      <c r="L284" s="449">
        <v>5</v>
      </c>
      <c r="M284" s="449">
        <v>35</v>
      </c>
      <c r="N284" s="448">
        <v>42242</v>
      </c>
    </row>
    <row r="285" spans="1:14">
      <c r="A285" s="559" t="s">
        <v>1505</v>
      </c>
      <c r="B285" s="560">
        <v>32</v>
      </c>
      <c r="C285" s="193">
        <v>42234</v>
      </c>
      <c r="D285" s="193">
        <v>42234</v>
      </c>
      <c r="E285" s="562" t="s">
        <v>171</v>
      </c>
      <c r="F285" s="562" t="s">
        <v>1110</v>
      </c>
      <c r="G285" s="563" t="s">
        <v>1116</v>
      </c>
      <c r="H285" s="562">
        <v>174</v>
      </c>
      <c r="I285" s="560">
        <v>174</v>
      </c>
      <c r="J285" s="562"/>
      <c r="K285" s="562" t="s">
        <v>1112</v>
      </c>
      <c r="L285" s="447">
        <v>2</v>
      </c>
      <c r="M285" s="447">
        <v>8</v>
      </c>
      <c r="N285" s="448">
        <v>42236</v>
      </c>
    </row>
    <row r="286" spans="1:14">
      <c r="A286" s="559" t="s">
        <v>1511</v>
      </c>
      <c r="B286" s="560">
        <v>18</v>
      </c>
      <c r="C286" s="193">
        <v>42234</v>
      </c>
      <c r="D286" s="193">
        <v>42234</v>
      </c>
      <c r="E286" s="561" t="s">
        <v>195</v>
      </c>
      <c r="F286" s="562" t="s">
        <v>1110</v>
      </c>
      <c r="G286" s="563" t="s">
        <v>1111</v>
      </c>
      <c r="H286" s="562">
        <v>615</v>
      </c>
      <c r="I286" s="560">
        <v>615</v>
      </c>
      <c r="J286" s="562"/>
      <c r="K286" s="377" t="s">
        <v>1112</v>
      </c>
      <c r="L286" s="447">
        <v>6</v>
      </c>
      <c r="M286" s="447">
        <v>42</v>
      </c>
      <c r="N286" s="448">
        <v>42236</v>
      </c>
    </row>
    <row r="287" spans="1:14">
      <c r="A287" s="559" t="s">
        <v>1511</v>
      </c>
      <c r="B287" s="560">
        <v>18</v>
      </c>
      <c r="C287" s="193">
        <v>42234</v>
      </c>
      <c r="D287" s="193">
        <v>42234</v>
      </c>
      <c r="E287" s="562" t="s">
        <v>177</v>
      </c>
      <c r="F287" s="562" t="s">
        <v>1110</v>
      </c>
      <c r="G287" s="562" t="s">
        <v>1113</v>
      </c>
      <c r="H287" s="562">
        <v>82</v>
      </c>
      <c r="I287" s="560">
        <v>82</v>
      </c>
      <c r="J287" s="562"/>
      <c r="K287" s="562" t="s">
        <v>1112</v>
      </c>
      <c r="L287" s="447">
        <v>2</v>
      </c>
      <c r="M287" s="447">
        <v>8</v>
      </c>
      <c r="N287" s="448">
        <v>42235</v>
      </c>
    </row>
    <row r="288" spans="1:14">
      <c r="A288" s="559" t="s">
        <v>1511</v>
      </c>
      <c r="B288" s="560">
        <v>18</v>
      </c>
      <c r="C288" s="193">
        <v>42234</v>
      </c>
      <c r="D288" s="193">
        <v>42234</v>
      </c>
      <c r="E288" s="562" t="s">
        <v>223</v>
      </c>
      <c r="F288" s="562" t="s">
        <v>1110</v>
      </c>
      <c r="G288" s="562" t="s">
        <v>1114</v>
      </c>
      <c r="H288" s="562">
        <v>47</v>
      </c>
      <c r="I288" s="560">
        <v>47</v>
      </c>
      <c r="J288" s="562"/>
      <c r="K288" s="377" t="s">
        <v>1112</v>
      </c>
      <c r="L288" s="449">
        <v>5</v>
      </c>
      <c r="M288" s="449">
        <v>35</v>
      </c>
      <c r="N288" s="448">
        <v>42242</v>
      </c>
    </row>
    <row r="289" spans="1:14">
      <c r="A289" s="559" t="s">
        <v>1511</v>
      </c>
      <c r="B289" s="560">
        <v>18</v>
      </c>
      <c r="C289" s="193">
        <v>42234</v>
      </c>
      <c r="D289" s="193">
        <v>42234</v>
      </c>
      <c r="E289" s="562" t="s">
        <v>171</v>
      </c>
      <c r="F289" s="562" t="s">
        <v>1110</v>
      </c>
      <c r="G289" s="563" t="s">
        <v>1116</v>
      </c>
      <c r="H289" s="562">
        <v>104</v>
      </c>
      <c r="I289" s="560">
        <v>104</v>
      </c>
      <c r="J289" s="562"/>
      <c r="K289" s="562" t="s">
        <v>1112</v>
      </c>
      <c r="L289" s="447">
        <v>2</v>
      </c>
      <c r="M289" s="447">
        <v>8</v>
      </c>
      <c r="N289" s="448">
        <v>42236</v>
      </c>
    </row>
    <row r="290" spans="1:14">
      <c r="A290" s="559" t="s">
        <v>1512</v>
      </c>
      <c r="B290" s="560">
        <v>19</v>
      </c>
      <c r="C290" s="193">
        <v>42234</v>
      </c>
      <c r="D290" s="193">
        <v>42234</v>
      </c>
      <c r="E290" s="561" t="s">
        <v>195</v>
      </c>
      <c r="F290" s="562" t="s">
        <v>1110</v>
      </c>
      <c r="G290" s="563" t="s">
        <v>1111</v>
      </c>
      <c r="H290" s="562">
        <v>483</v>
      </c>
      <c r="I290" s="560">
        <v>483</v>
      </c>
      <c r="J290" s="562"/>
      <c r="K290" s="377" t="s">
        <v>1112</v>
      </c>
      <c r="L290" s="447">
        <v>6</v>
      </c>
      <c r="M290" s="447">
        <v>42</v>
      </c>
      <c r="N290" s="448">
        <v>42236</v>
      </c>
    </row>
    <row r="291" spans="1:14">
      <c r="A291" s="559" t="s">
        <v>1512</v>
      </c>
      <c r="B291" s="560">
        <v>19</v>
      </c>
      <c r="C291" s="193">
        <v>42234</v>
      </c>
      <c r="D291" s="193">
        <v>42234</v>
      </c>
      <c r="E291" s="562" t="s">
        <v>177</v>
      </c>
      <c r="F291" s="562" t="s">
        <v>1110</v>
      </c>
      <c r="G291" s="562" t="s">
        <v>1113</v>
      </c>
      <c r="H291" s="562">
        <v>217</v>
      </c>
      <c r="I291" s="560">
        <v>217</v>
      </c>
      <c r="J291" s="562"/>
      <c r="K291" s="562" t="s">
        <v>1112</v>
      </c>
      <c r="L291" s="447">
        <v>2</v>
      </c>
      <c r="M291" s="447">
        <v>8</v>
      </c>
      <c r="N291" s="448">
        <v>42235</v>
      </c>
    </row>
    <row r="292" spans="1:14">
      <c r="A292" s="559" t="s">
        <v>1512</v>
      </c>
      <c r="B292" s="560">
        <v>19</v>
      </c>
      <c r="C292" s="193">
        <v>42234</v>
      </c>
      <c r="D292" s="193">
        <v>42234</v>
      </c>
      <c r="E292" s="562" t="s">
        <v>223</v>
      </c>
      <c r="F292" s="562" t="s">
        <v>1110</v>
      </c>
      <c r="G292" s="562" t="s">
        <v>1114</v>
      </c>
      <c r="H292" s="562">
        <v>23</v>
      </c>
      <c r="I292" s="560">
        <v>23</v>
      </c>
      <c r="J292" s="562" t="s">
        <v>1115</v>
      </c>
      <c r="K292" s="377" t="s">
        <v>1112</v>
      </c>
      <c r="L292" s="449">
        <v>5</v>
      </c>
      <c r="M292" s="449">
        <v>35</v>
      </c>
      <c r="N292" s="448">
        <v>42242</v>
      </c>
    </row>
    <row r="293" spans="1:14">
      <c r="A293" s="559" t="s">
        <v>1512</v>
      </c>
      <c r="B293" s="560">
        <v>19</v>
      </c>
      <c r="C293" s="193">
        <v>42234</v>
      </c>
      <c r="D293" s="193">
        <v>42234</v>
      </c>
      <c r="E293" s="562" t="s">
        <v>171</v>
      </c>
      <c r="F293" s="562" t="s">
        <v>1110</v>
      </c>
      <c r="G293" s="563" t="s">
        <v>1116</v>
      </c>
      <c r="H293" s="562">
        <v>33</v>
      </c>
      <c r="I293" s="560">
        <v>33</v>
      </c>
      <c r="J293" s="562"/>
      <c r="K293" s="562" t="s">
        <v>1112</v>
      </c>
      <c r="L293" s="447">
        <v>2</v>
      </c>
      <c r="M293" s="447">
        <v>8</v>
      </c>
      <c r="N293" s="448">
        <v>42236</v>
      </c>
    </row>
    <row r="295" spans="1:14">
      <c r="A295" s="559" t="s">
        <v>1516</v>
      </c>
      <c r="B295" s="560">
        <v>58</v>
      </c>
      <c r="C295" s="193">
        <v>42262</v>
      </c>
      <c r="D295" s="193">
        <v>42262</v>
      </c>
      <c r="E295" s="561" t="s">
        <v>195</v>
      </c>
      <c r="F295" s="562" t="s">
        <v>1110</v>
      </c>
      <c r="G295" s="563" t="s">
        <v>1111</v>
      </c>
      <c r="H295" s="562">
        <v>145</v>
      </c>
      <c r="I295" s="560">
        <v>145</v>
      </c>
      <c r="J295" s="562"/>
      <c r="K295" s="377" t="s">
        <v>1112</v>
      </c>
      <c r="L295" s="447">
        <v>6</v>
      </c>
      <c r="M295" s="447">
        <v>42</v>
      </c>
      <c r="N295" s="448">
        <v>42274</v>
      </c>
    </row>
    <row r="296" spans="1:14">
      <c r="A296" s="559" t="s">
        <v>1516</v>
      </c>
      <c r="B296" s="560">
        <v>58</v>
      </c>
      <c r="C296" s="193">
        <v>42262</v>
      </c>
      <c r="D296" s="193">
        <v>42262</v>
      </c>
      <c r="E296" s="562" t="s">
        <v>177</v>
      </c>
      <c r="F296" s="562" t="s">
        <v>1110</v>
      </c>
      <c r="G296" s="562" t="s">
        <v>1113</v>
      </c>
      <c r="H296" s="562">
        <v>84</v>
      </c>
      <c r="I296" s="560">
        <v>84</v>
      </c>
      <c r="J296" s="562"/>
      <c r="K296" s="562" t="s">
        <v>1112</v>
      </c>
      <c r="L296" s="447">
        <v>2</v>
      </c>
      <c r="M296" s="447">
        <v>8</v>
      </c>
      <c r="N296" s="448">
        <v>42264</v>
      </c>
    </row>
    <row r="297" spans="1:14">
      <c r="A297" s="559" t="s">
        <v>1516</v>
      </c>
      <c r="B297" s="560">
        <v>58</v>
      </c>
      <c r="C297" s="193">
        <v>42262</v>
      </c>
      <c r="D297" s="193">
        <v>42262</v>
      </c>
      <c r="E297" s="562" t="s">
        <v>223</v>
      </c>
      <c r="F297" s="562" t="s">
        <v>1110</v>
      </c>
      <c r="G297" s="562" t="s">
        <v>1114</v>
      </c>
      <c r="H297" s="562">
        <v>5</v>
      </c>
      <c r="I297" s="560"/>
      <c r="J297" s="562" t="s">
        <v>1121</v>
      </c>
      <c r="K297" s="377" t="s">
        <v>1112</v>
      </c>
      <c r="L297" s="449">
        <v>5</v>
      </c>
      <c r="M297" s="449">
        <v>35</v>
      </c>
      <c r="N297" s="448">
        <v>42268</v>
      </c>
    </row>
    <row r="298" spans="1:14">
      <c r="A298" s="559" t="s">
        <v>1516</v>
      </c>
      <c r="B298" s="560">
        <v>58</v>
      </c>
      <c r="C298" s="193">
        <v>42262</v>
      </c>
      <c r="D298" s="193">
        <v>42262</v>
      </c>
      <c r="E298" s="562" t="s">
        <v>171</v>
      </c>
      <c r="F298" s="562" t="s">
        <v>1110</v>
      </c>
      <c r="G298" s="563" t="s">
        <v>1116</v>
      </c>
      <c r="H298" s="562">
        <v>2</v>
      </c>
      <c r="I298" s="560"/>
      <c r="J298" s="562" t="s">
        <v>1121</v>
      </c>
      <c r="K298" s="562" t="s">
        <v>1112</v>
      </c>
      <c r="L298" s="447">
        <v>2</v>
      </c>
      <c r="M298" s="447">
        <v>8</v>
      </c>
      <c r="N298" s="448">
        <v>42274</v>
      </c>
    </row>
    <row r="299" spans="1:14">
      <c r="A299" s="559" t="s">
        <v>1518</v>
      </c>
      <c r="B299" s="560" t="s">
        <v>678</v>
      </c>
      <c r="C299" s="193">
        <v>42262</v>
      </c>
      <c r="D299" s="193">
        <v>42262</v>
      </c>
      <c r="E299" s="561" t="s">
        <v>195</v>
      </c>
      <c r="F299" s="562" t="s">
        <v>1110</v>
      </c>
      <c r="G299" s="563" t="s">
        <v>1111</v>
      </c>
      <c r="H299" s="562">
        <v>125</v>
      </c>
      <c r="I299" s="560">
        <v>125</v>
      </c>
      <c r="J299" s="562"/>
      <c r="K299" s="377" t="s">
        <v>1112</v>
      </c>
      <c r="L299" s="447">
        <v>6</v>
      </c>
      <c r="M299" s="447">
        <v>42</v>
      </c>
      <c r="N299" s="448">
        <v>42274</v>
      </c>
    </row>
    <row r="300" spans="1:14">
      <c r="A300" s="559" t="s">
        <v>1518</v>
      </c>
      <c r="B300" s="560" t="s">
        <v>678</v>
      </c>
      <c r="C300" s="193">
        <v>42262</v>
      </c>
      <c r="D300" s="193">
        <v>42262</v>
      </c>
      <c r="E300" s="562" t="s">
        <v>177</v>
      </c>
      <c r="F300" s="562" t="s">
        <v>1110</v>
      </c>
      <c r="G300" s="562" t="s">
        <v>1113</v>
      </c>
      <c r="H300" s="562">
        <v>42</v>
      </c>
      <c r="I300" s="560">
        <v>42</v>
      </c>
      <c r="J300" s="562"/>
      <c r="K300" s="562" t="s">
        <v>1112</v>
      </c>
      <c r="L300" s="447">
        <v>2</v>
      </c>
      <c r="M300" s="447">
        <v>8</v>
      </c>
      <c r="N300" s="448">
        <v>42264</v>
      </c>
    </row>
    <row r="301" spans="1:14">
      <c r="A301" s="559" t="s">
        <v>1518</v>
      </c>
      <c r="B301" s="560" t="s">
        <v>678</v>
      </c>
      <c r="C301" s="193">
        <v>42262</v>
      </c>
      <c r="D301" s="193">
        <v>42262</v>
      </c>
      <c r="E301" s="562" t="s">
        <v>223</v>
      </c>
      <c r="F301" s="562" t="s">
        <v>1110</v>
      </c>
      <c r="G301" s="562" t="s">
        <v>1114</v>
      </c>
      <c r="H301" s="562">
        <v>6</v>
      </c>
      <c r="I301" s="560">
        <v>6</v>
      </c>
      <c r="J301" s="562" t="s">
        <v>1115</v>
      </c>
      <c r="K301" s="377" t="s">
        <v>1112</v>
      </c>
      <c r="L301" s="449">
        <v>5</v>
      </c>
      <c r="M301" s="449">
        <v>35</v>
      </c>
      <c r="N301" s="448">
        <v>42268</v>
      </c>
    </row>
    <row r="302" spans="1:14">
      <c r="A302" s="559" t="s">
        <v>1518</v>
      </c>
      <c r="B302" s="560" t="s">
        <v>678</v>
      </c>
      <c r="C302" s="193">
        <v>42262</v>
      </c>
      <c r="D302" s="193">
        <v>42262</v>
      </c>
      <c r="E302" s="562" t="s">
        <v>171</v>
      </c>
      <c r="F302" s="562" t="s">
        <v>1110</v>
      </c>
      <c r="G302" s="563" t="s">
        <v>1116</v>
      </c>
      <c r="H302" s="562">
        <v>11</v>
      </c>
      <c r="I302" s="560">
        <v>11</v>
      </c>
      <c r="J302" s="562"/>
      <c r="K302" s="562" t="s">
        <v>1112</v>
      </c>
      <c r="L302" s="447">
        <v>2</v>
      </c>
      <c r="M302" s="447">
        <v>8</v>
      </c>
      <c r="N302" s="448">
        <v>42274</v>
      </c>
    </row>
    <row r="303" spans="1:14">
      <c r="A303" s="562" t="s">
        <v>1519</v>
      </c>
      <c r="B303" s="560" t="s">
        <v>677</v>
      </c>
      <c r="C303" s="193">
        <v>42262</v>
      </c>
      <c r="D303" s="193">
        <v>42262</v>
      </c>
      <c r="E303" s="561" t="s">
        <v>195</v>
      </c>
      <c r="F303" s="562" t="s">
        <v>1110</v>
      </c>
      <c r="G303" s="563" t="s">
        <v>1111</v>
      </c>
      <c r="H303" s="562">
        <v>142</v>
      </c>
      <c r="I303" s="560">
        <v>142</v>
      </c>
      <c r="J303" s="562"/>
      <c r="K303" s="377" t="s">
        <v>1112</v>
      </c>
      <c r="L303" s="447">
        <v>6</v>
      </c>
      <c r="M303" s="447">
        <v>42</v>
      </c>
      <c r="N303" s="448">
        <v>42274</v>
      </c>
    </row>
    <row r="304" spans="1:14">
      <c r="A304" s="562" t="s">
        <v>1519</v>
      </c>
      <c r="B304" s="560" t="s">
        <v>677</v>
      </c>
      <c r="C304" s="193">
        <v>42262</v>
      </c>
      <c r="D304" s="193">
        <v>42262</v>
      </c>
      <c r="E304" s="562" t="s">
        <v>177</v>
      </c>
      <c r="F304" s="562" t="s">
        <v>1110</v>
      </c>
      <c r="G304" s="562" t="s">
        <v>1113</v>
      </c>
      <c r="H304" s="562">
        <v>46</v>
      </c>
      <c r="I304" s="560">
        <v>46</v>
      </c>
      <c r="J304" s="562"/>
      <c r="K304" s="562" t="s">
        <v>1112</v>
      </c>
      <c r="L304" s="447">
        <v>2</v>
      </c>
      <c r="M304" s="447">
        <v>8</v>
      </c>
      <c r="N304" s="448">
        <v>42264</v>
      </c>
    </row>
    <row r="305" spans="1:14">
      <c r="A305" s="562" t="s">
        <v>1519</v>
      </c>
      <c r="B305" s="560" t="s">
        <v>677</v>
      </c>
      <c r="C305" s="193">
        <v>42262</v>
      </c>
      <c r="D305" s="193">
        <v>42262</v>
      </c>
      <c r="E305" s="562" t="s">
        <v>223</v>
      </c>
      <c r="F305" s="562" t="s">
        <v>1110</v>
      </c>
      <c r="G305" s="562" t="s">
        <v>1114</v>
      </c>
      <c r="H305" s="562">
        <v>14</v>
      </c>
      <c r="I305" s="560">
        <v>14</v>
      </c>
      <c r="J305" s="562" t="s">
        <v>1115</v>
      </c>
      <c r="K305" s="377" t="s">
        <v>1112</v>
      </c>
      <c r="L305" s="449">
        <v>5</v>
      </c>
      <c r="M305" s="449">
        <v>35</v>
      </c>
      <c r="N305" s="448">
        <v>42268</v>
      </c>
    </row>
    <row r="306" spans="1:14">
      <c r="A306" s="562" t="s">
        <v>1519</v>
      </c>
      <c r="B306" s="560" t="s">
        <v>677</v>
      </c>
      <c r="C306" s="193">
        <v>42262</v>
      </c>
      <c r="D306" s="193">
        <v>42262</v>
      </c>
      <c r="E306" s="562" t="s">
        <v>171</v>
      </c>
      <c r="F306" s="562" t="s">
        <v>1110</v>
      </c>
      <c r="G306" s="563" t="s">
        <v>1116</v>
      </c>
      <c r="H306" s="562">
        <v>11</v>
      </c>
      <c r="I306" s="560">
        <v>11</v>
      </c>
      <c r="J306" s="562"/>
      <c r="K306" s="562" t="s">
        <v>1112</v>
      </c>
      <c r="L306" s="447">
        <v>2</v>
      </c>
      <c r="M306" s="447">
        <v>8</v>
      </c>
      <c r="N306" s="448">
        <v>42274</v>
      </c>
    </row>
    <row r="307" spans="1:14">
      <c r="A307" s="559" t="s">
        <v>1517</v>
      </c>
      <c r="B307" s="560">
        <v>25</v>
      </c>
      <c r="C307" s="193">
        <v>42262</v>
      </c>
      <c r="D307" s="193">
        <v>42262</v>
      </c>
      <c r="E307" s="561" t="s">
        <v>195</v>
      </c>
      <c r="F307" s="562" t="s">
        <v>1110</v>
      </c>
      <c r="G307" s="563" t="s">
        <v>1111</v>
      </c>
      <c r="H307" s="562">
        <v>104</v>
      </c>
      <c r="I307" s="560">
        <v>104</v>
      </c>
      <c r="J307" s="562"/>
      <c r="K307" s="377" t="s">
        <v>1112</v>
      </c>
      <c r="L307" s="447">
        <v>6</v>
      </c>
      <c r="M307" s="447">
        <v>42</v>
      </c>
      <c r="N307" s="448">
        <v>42274</v>
      </c>
    </row>
    <row r="308" spans="1:14">
      <c r="A308" s="559" t="s">
        <v>1517</v>
      </c>
      <c r="B308" s="560">
        <v>25</v>
      </c>
      <c r="C308" s="193">
        <v>42262</v>
      </c>
      <c r="D308" s="193">
        <v>42262</v>
      </c>
      <c r="E308" s="562" t="s">
        <v>177</v>
      </c>
      <c r="F308" s="562" t="s">
        <v>1110</v>
      </c>
      <c r="G308" s="562" t="s">
        <v>1113</v>
      </c>
      <c r="H308" s="562">
        <v>31</v>
      </c>
      <c r="I308" s="560">
        <v>31</v>
      </c>
      <c r="J308" s="562"/>
      <c r="K308" s="562" t="s">
        <v>1112</v>
      </c>
      <c r="L308" s="447">
        <v>2</v>
      </c>
      <c r="M308" s="447">
        <v>8</v>
      </c>
      <c r="N308" s="448">
        <v>42264</v>
      </c>
    </row>
    <row r="309" spans="1:14">
      <c r="A309" s="559" t="s">
        <v>1517</v>
      </c>
      <c r="B309" s="560">
        <v>25</v>
      </c>
      <c r="C309" s="193">
        <v>42262</v>
      </c>
      <c r="D309" s="193">
        <v>42262</v>
      </c>
      <c r="E309" s="562" t="s">
        <v>223</v>
      </c>
      <c r="F309" s="562" t="s">
        <v>1110</v>
      </c>
      <c r="G309" s="562" t="s">
        <v>1114</v>
      </c>
      <c r="H309" s="562">
        <v>5</v>
      </c>
      <c r="I309" s="560"/>
      <c r="J309" s="562" t="s">
        <v>1121</v>
      </c>
      <c r="K309" s="377" t="s">
        <v>1112</v>
      </c>
      <c r="L309" s="449">
        <v>5</v>
      </c>
      <c r="M309" s="449">
        <v>35</v>
      </c>
      <c r="N309" s="448">
        <v>42268</v>
      </c>
    </row>
    <row r="310" spans="1:14">
      <c r="A310" s="559" t="s">
        <v>1517</v>
      </c>
      <c r="B310" s="560">
        <v>25</v>
      </c>
      <c r="C310" s="193">
        <v>42262</v>
      </c>
      <c r="D310" s="193">
        <v>42262</v>
      </c>
      <c r="E310" s="562" t="s">
        <v>171</v>
      </c>
      <c r="F310" s="562" t="s">
        <v>1110</v>
      </c>
      <c r="G310" s="563" t="s">
        <v>1116</v>
      </c>
      <c r="H310" s="562">
        <v>3</v>
      </c>
      <c r="I310" s="560">
        <v>3</v>
      </c>
      <c r="J310" s="562" t="s">
        <v>1115</v>
      </c>
      <c r="K310" s="562" t="s">
        <v>1112</v>
      </c>
      <c r="L310" s="447">
        <v>2</v>
      </c>
      <c r="M310" s="447">
        <v>8</v>
      </c>
      <c r="N310" s="448">
        <v>42274</v>
      </c>
    </row>
    <row r="311" spans="1:14">
      <c r="A311" s="559" t="s">
        <v>1520</v>
      </c>
      <c r="B311" s="560">
        <v>5</v>
      </c>
      <c r="C311" s="193">
        <v>42262</v>
      </c>
      <c r="D311" s="193">
        <v>42262</v>
      </c>
      <c r="E311" s="561" t="s">
        <v>195</v>
      </c>
      <c r="F311" s="562" t="s">
        <v>1110</v>
      </c>
      <c r="G311" s="563" t="s">
        <v>1111</v>
      </c>
      <c r="H311" s="562">
        <v>179</v>
      </c>
      <c r="I311" s="560">
        <v>179</v>
      </c>
      <c r="J311" s="562"/>
      <c r="K311" s="377" t="s">
        <v>1112</v>
      </c>
      <c r="L311" s="447">
        <v>6</v>
      </c>
      <c r="M311" s="447">
        <v>42</v>
      </c>
      <c r="N311" s="448">
        <v>42274</v>
      </c>
    </row>
    <row r="312" spans="1:14">
      <c r="A312" s="559" t="s">
        <v>1520</v>
      </c>
      <c r="B312" s="560">
        <v>5</v>
      </c>
      <c r="C312" s="193">
        <v>42262</v>
      </c>
      <c r="D312" s="193">
        <v>42262</v>
      </c>
      <c r="E312" s="562" t="s">
        <v>177</v>
      </c>
      <c r="F312" s="562" t="s">
        <v>1110</v>
      </c>
      <c r="G312" s="562" t="s">
        <v>1113</v>
      </c>
      <c r="H312" s="562">
        <v>35</v>
      </c>
      <c r="I312" s="560">
        <v>35</v>
      </c>
      <c r="J312" s="562"/>
      <c r="K312" s="562" t="s">
        <v>1112</v>
      </c>
      <c r="L312" s="447">
        <v>2</v>
      </c>
      <c r="M312" s="447">
        <v>8</v>
      </c>
      <c r="N312" s="448">
        <v>42264</v>
      </c>
    </row>
    <row r="313" spans="1:14" s="710" customFormat="1">
      <c r="A313" s="559" t="s">
        <v>1520</v>
      </c>
      <c r="B313" s="560">
        <v>5</v>
      </c>
      <c r="C313" s="193">
        <v>42262</v>
      </c>
      <c r="D313" s="193">
        <v>42262</v>
      </c>
      <c r="E313" s="562" t="s">
        <v>223</v>
      </c>
      <c r="F313" s="562" t="s">
        <v>1110</v>
      </c>
      <c r="G313" s="562" t="s">
        <v>1114</v>
      </c>
      <c r="H313" s="562">
        <v>19</v>
      </c>
      <c r="I313" s="560">
        <v>19</v>
      </c>
      <c r="J313" s="562" t="s">
        <v>1115</v>
      </c>
      <c r="K313" s="377" t="s">
        <v>1112</v>
      </c>
      <c r="L313" s="449">
        <v>5</v>
      </c>
      <c r="M313" s="449">
        <v>35</v>
      </c>
      <c r="N313" s="448">
        <v>42268</v>
      </c>
    </row>
    <row r="314" spans="1:14">
      <c r="A314" s="559" t="s">
        <v>1520</v>
      </c>
      <c r="B314" s="560">
        <v>5</v>
      </c>
      <c r="C314" s="193">
        <v>42262</v>
      </c>
      <c r="D314" s="193">
        <v>42262</v>
      </c>
      <c r="E314" s="562" t="s">
        <v>171</v>
      </c>
      <c r="F314" s="562" t="s">
        <v>1110</v>
      </c>
      <c r="G314" s="563" t="s">
        <v>1116</v>
      </c>
      <c r="H314" s="562">
        <v>11</v>
      </c>
      <c r="I314" s="560">
        <v>11</v>
      </c>
      <c r="J314" s="562"/>
      <c r="K314" s="562" t="s">
        <v>1112</v>
      </c>
      <c r="L314" s="447">
        <v>2</v>
      </c>
      <c r="M314" s="447">
        <v>8</v>
      </c>
      <c r="N314" s="448">
        <v>42274</v>
      </c>
    </row>
    <row r="315" spans="1:14">
      <c r="A315" s="559" t="s">
        <v>1521</v>
      </c>
      <c r="B315" s="560" t="s">
        <v>302</v>
      </c>
      <c r="C315" s="193">
        <v>42262</v>
      </c>
      <c r="D315" s="193">
        <v>42262</v>
      </c>
      <c r="E315" s="561" t="s">
        <v>195</v>
      </c>
      <c r="F315" s="562" t="s">
        <v>1110</v>
      </c>
      <c r="G315" s="563" t="s">
        <v>1111</v>
      </c>
      <c r="H315" s="562">
        <v>310</v>
      </c>
      <c r="I315" s="560">
        <v>310</v>
      </c>
      <c r="J315" s="562"/>
      <c r="K315" s="377" t="s">
        <v>1112</v>
      </c>
      <c r="L315" s="447">
        <v>6</v>
      </c>
      <c r="M315" s="447">
        <v>42</v>
      </c>
      <c r="N315" s="448">
        <v>42274</v>
      </c>
    </row>
    <row r="316" spans="1:14">
      <c r="A316" s="559" t="s">
        <v>1521</v>
      </c>
      <c r="B316" s="560" t="s">
        <v>302</v>
      </c>
      <c r="C316" s="193">
        <v>42262</v>
      </c>
      <c r="D316" s="193">
        <v>42262</v>
      </c>
      <c r="E316" s="562" t="s">
        <v>177</v>
      </c>
      <c r="F316" s="562" t="s">
        <v>1110</v>
      </c>
      <c r="G316" s="562" t="s">
        <v>1113</v>
      </c>
      <c r="H316" s="562">
        <v>119</v>
      </c>
      <c r="I316" s="560">
        <v>119</v>
      </c>
      <c r="J316" s="562"/>
      <c r="K316" s="377" t="s">
        <v>1112</v>
      </c>
      <c r="L316" s="447">
        <v>2</v>
      </c>
      <c r="M316" s="447">
        <v>8</v>
      </c>
      <c r="N316" s="448">
        <v>42264</v>
      </c>
    </row>
    <row r="317" spans="1:14">
      <c r="A317" s="559" t="s">
        <v>1521</v>
      </c>
      <c r="B317" s="560" t="s">
        <v>302</v>
      </c>
      <c r="C317" s="193">
        <v>42262</v>
      </c>
      <c r="D317" s="193">
        <v>42262</v>
      </c>
      <c r="E317" s="562" t="s">
        <v>223</v>
      </c>
      <c r="F317" s="562" t="s">
        <v>1110</v>
      </c>
      <c r="G317" s="562" t="s">
        <v>1114</v>
      </c>
      <c r="H317" s="562">
        <v>100</v>
      </c>
      <c r="I317" s="560">
        <v>100</v>
      </c>
      <c r="J317" s="562"/>
      <c r="K317" s="562" t="s">
        <v>1112</v>
      </c>
      <c r="L317" s="449">
        <v>5</v>
      </c>
      <c r="M317" s="449">
        <v>35</v>
      </c>
      <c r="N317" s="448">
        <v>42268</v>
      </c>
    </row>
    <row r="318" spans="1:14">
      <c r="A318" s="559" t="s">
        <v>1521</v>
      </c>
      <c r="B318" s="560" t="s">
        <v>302</v>
      </c>
      <c r="C318" s="193">
        <v>42262</v>
      </c>
      <c r="D318" s="193">
        <v>42262</v>
      </c>
      <c r="E318" s="562" t="s">
        <v>171</v>
      </c>
      <c r="F318" s="562" t="s">
        <v>1110</v>
      </c>
      <c r="G318" s="563" t="s">
        <v>1116</v>
      </c>
      <c r="H318" s="562">
        <v>14</v>
      </c>
      <c r="I318" s="560">
        <v>14</v>
      </c>
      <c r="J318" s="562"/>
      <c r="K318" s="562" t="s">
        <v>1112</v>
      </c>
      <c r="L318" s="447">
        <v>2</v>
      </c>
      <c r="M318" s="447">
        <v>8</v>
      </c>
      <c r="N318" s="448">
        <v>42274</v>
      </c>
    </row>
    <row r="319" spans="1:14">
      <c r="A319" s="559" t="s">
        <v>1523</v>
      </c>
      <c r="B319" s="560">
        <v>9</v>
      </c>
      <c r="C319" s="193">
        <v>42262</v>
      </c>
      <c r="D319" s="193">
        <v>42262</v>
      </c>
      <c r="E319" s="561" t="s">
        <v>195</v>
      </c>
      <c r="F319" s="562" t="s">
        <v>1110</v>
      </c>
      <c r="G319" s="563" t="s">
        <v>1111</v>
      </c>
      <c r="H319" s="562">
        <v>358</v>
      </c>
      <c r="I319" s="560">
        <v>358</v>
      </c>
      <c r="J319" s="562"/>
      <c r="K319" s="377" t="s">
        <v>1112</v>
      </c>
      <c r="L319" s="447">
        <v>6</v>
      </c>
      <c r="M319" s="447">
        <v>42</v>
      </c>
      <c r="N319" s="448">
        <v>42274</v>
      </c>
    </row>
    <row r="320" spans="1:14">
      <c r="A320" s="559" t="s">
        <v>1523</v>
      </c>
      <c r="B320" s="560">
        <v>9</v>
      </c>
      <c r="C320" s="193">
        <v>42262</v>
      </c>
      <c r="D320" s="193">
        <v>42262</v>
      </c>
      <c r="E320" s="562" t="s">
        <v>177</v>
      </c>
      <c r="F320" s="562" t="s">
        <v>1110</v>
      </c>
      <c r="G320" s="562" t="s">
        <v>1113</v>
      </c>
      <c r="H320" s="562">
        <v>201</v>
      </c>
      <c r="I320" s="560">
        <v>201</v>
      </c>
      <c r="J320" s="562"/>
      <c r="K320" s="562" t="s">
        <v>1112</v>
      </c>
      <c r="L320" s="447">
        <v>2</v>
      </c>
      <c r="M320" s="447">
        <v>8</v>
      </c>
      <c r="N320" s="448">
        <v>42264</v>
      </c>
    </row>
    <row r="321" spans="1:14">
      <c r="A321" s="559" t="s">
        <v>1523</v>
      </c>
      <c r="B321" s="560">
        <v>9</v>
      </c>
      <c r="C321" s="193">
        <v>42262</v>
      </c>
      <c r="D321" s="193">
        <v>42262</v>
      </c>
      <c r="E321" s="562" t="s">
        <v>223</v>
      </c>
      <c r="F321" s="562" t="s">
        <v>1110</v>
      </c>
      <c r="G321" s="562" t="s">
        <v>1114</v>
      </c>
      <c r="H321" s="562">
        <v>30</v>
      </c>
      <c r="I321" s="560">
        <v>30</v>
      </c>
      <c r="J321" s="562" t="s">
        <v>1115</v>
      </c>
      <c r="K321" s="377" t="s">
        <v>1112</v>
      </c>
      <c r="L321" s="449">
        <v>5</v>
      </c>
      <c r="M321" s="449">
        <v>35</v>
      </c>
      <c r="N321" s="448">
        <v>42268</v>
      </c>
    </row>
    <row r="322" spans="1:14">
      <c r="A322" s="559" t="s">
        <v>1523</v>
      </c>
      <c r="B322" s="560">
        <v>9</v>
      </c>
      <c r="C322" s="193">
        <v>42262</v>
      </c>
      <c r="D322" s="193">
        <v>42262</v>
      </c>
      <c r="E322" s="562" t="s">
        <v>171</v>
      </c>
      <c r="F322" s="562" t="s">
        <v>1110</v>
      </c>
      <c r="G322" s="563" t="s">
        <v>1116</v>
      </c>
      <c r="H322" s="562">
        <v>18</v>
      </c>
      <c r="I322" s="560">
        <v>18</v>
      </c>
      <c r="J322" s="562"/>
      <c r="K322" s="562" t="s">
        <v>1112</v>
      </c>
      <c r="L322" s="447">
        <v>2</v>
      </c>
      <c r="M322" s="447">
        <v>8</v>
      </c>
      <c r="N322" s="448">
        <v>42274</v>
      </c>
    </row>
    <row r="323" spans="1:14">
      <c r="A323" s="559" t="s">
        <v>1524</v>
      </c>
      <c r="B323" s="560">
        <v>12</v>
      </c>
      <c r="C323" s="193">
        <v>42262</v>
      </c>
      <c r="D323" s="193">
        <v>42262</v>
      </c>
      <c r="E323" s="561" t="s">
        <v>195</v>
      </c>
      <c r="F323" s="562" t="s">
        <v>1110</v>
      </c>
      <c r="G323" s="563" t="s">
        <v>1111</v>
      </c>
      <c r="H323" s="562">
        <v>547</v>
      </c>
      <c r="I323" s="560">
        <v>547</v>
      </c>
      <c r="J323" s="562"/>
      <c r="K323" s="377" t="s">
        <v>1112</v>
      </c>
      <c r="L323" s="447">
        <v>6</v>
      </c>
      <c r="M323" s="447">
        <v>42</v>
      </c>
      <c r="N323" s="448">
        <v>42274</v>
      </c>
    </row>
    <row r="324" spans="1:14">
      <c r="A324" s="559" t="s">
        <v>1524</v>
      </c>
      <c r="B324" s="560">
        <v>12</v>
      </c>
      <c r="C324" s="193">
        <v>42262</v>
      </c>
      <c r="D324" s="193">
        <v>42262</v>
      </c>
      <c r="E324" s="562" t="s">
        <v>177</v>
      </c>
      <c r="F324" s="562" t="s">
        <v>1110</v>
      </c>
      <c r="G324" s="562" t="s">
        <v>1113</v>
      </c>
      <c r="H324" s="562">
        <v>395</v>
      </c>
      <c r="I324" s="560">
        <v>395</v>
      </c>
      <c r="J324" s="562"/>
      <c r="K324" s="562" t="s">
        <v>1112</v>
      </c>
      <c r="L324" s="447">
        <v>2</v>
      </c>
      <c r="M324" s="447">
        <v>8</v>
      </c>
      <c r="N324" s="448">
        <v>42264</v>
      </c>
    </row>
    <row r="325" spans="1:14">
      <c r="A325" s="559" t="s">
        <v>1524</v>
      </c>
      <c r="B325" s="560">
        <v>12</v>
      </c>
      <c r="C325" s="193">
        <v>42262</v>
      </c>
      <c r="D325" s="193">
        <v>42262</v>
      </c>
      <c r="E325" s="562" t="s">
        <v>223</v>
      </c>
      <c r="F325" s="562" t="s">
        <v>1110</v>
      </c>
      <c r="G325" s="562" t="s">
        <v>1114</v>
      </c>
      <c r="H325" s="562">
        <v>14</v>
      </c>
      <c r="I325" s="560">
        <v>14</v>
      </c>
      <c r="J325" s="562" t="s">
        <v>1115</v>
      </c>
      <c r="K325" s="377" t="s">
        <v>1112</v>
      </c>
      <c r="L325" s="449">
        <v>5</v>
      </c>
      <c r="M325" s="449">
        <v>35</v>
      </c>
      <c r="N325" s="448">
        <v>42268</v>
      </c>
    </row>
    <row r="326" spans="1:14">
      <c r="A326" s="559" t="s">
        <v>1524</v>
      </c>
      <c r="B326" s="560">
        <v>12</v>
      </c>
      <c r="C326" s="193">
        <v>42262</v>
      </c>
      <c r="D326" s="193">
        <v>42262</v>
      </c>
      <c r="E326" s="562" t="s">
        <v>171</v>
      </c>
      <c r="F326" s="562" t="s">
        <v>1110</v>
      </c>
      <c r="G326" s="563" t="s">
        <v>1116</v>
      </c>
      <c r="H326" s="562">
        <v>19</v>
      </c>
      <c r="I326" s="560">
        <v>19</v>
      </c>
      <c r="J326" s="562"/>
      <c r="K326" s="562" t="s">
        <v>1112</v>
      </c>
      <c r="L326" s="447">
        <v>2</v>
      </c>
      <c r="M326" s="447">
        <v>8</v>
      </c>
      <c r="N326" s="448">
        <v>42274</v>
      </c>
    </row>
    <row r="327" spans="1:14">
      <c r="A327" s="559" t="s">
        <v>1525</v>
      </c>
      <c r="B327" s="560" t="s">
        <v>303</v>
      </c>
      <c r="C327" s="193">
        <v>42262</v>
      </c>
      <c r="D327" s="193">
        <v>42262</v>
      </c>
      <c r="E327" s="561" t="s">
        <v>195</v>
      </c>
      <c r="F327" s="562" t="s">
        <v>1110</v>
      </c>
      <c r="G327" s="563" t="s">
        <v>1111</v>
      </c>
      <c r="H327" s="562">
        <v>593</v>
      </c>
      <c r="I327" s="560">
        <v>593</v>
      </c>
      <c r="J327" s="562"/>
      <c r="K327" s="377" t="s">
        <v>1112</v>
      </c>
      <c r="L327" s="447">
        <v>6</v>
      </c>
      <c r="M327" s="447">
        <v>42</v>
      </c>
      <c r="N327" s="448">
        <v>42274</v>
      </c>
    </row>
    <row r="328" spans="1:14">
      <c r="A328" s="559" t="s">
        <v>1525</v>
      </c>
      <c r="B328" s="560" t="s">
        <v>303</v>
      </c>
      <c r="C328" s="193">
        <v>42262</v>
      </c>
      <c r="D328" s="193">
        <v>42262</v>
      </c>
      <c r="E328" s="562" t="s">
        <v>177</v>
      </c>
      <c r="F328" s="562" t="s">
        <v>1110</v>
      </c>
      <c r="G328" s="562" t="s">
        <v>1113</v>
      </c>
      <c r="H328" s="562">
        <v>411</v>
      </c>
      <c r="I328" s="560">
        <v>411</v>
      </c>
      <c r="J328" s="562"/>
      <c r="K328" s="562" t="s">
        <v>1112</v>
      </c>
      <c r="L328" s="447">
        <v>2</v>
      </c>
      <c r="M328" s="447">
        <v>8</v>
      </c>
      <c r="N328" s="448">
        <v>42264</v>
      </c>
    </row>
    <row r="329" spans="1:14">
      <c r="A329" s="559" t="s">
        <v>1525</v>
      </c>
      <c r="B329" s="560" t="s">
        <v>303</v>
      </c>
      <c r="C329" s="193">
        <v>42262</v>
      </c>
      <c r="D329" s="193">
        <v>42262</v>
      </c>
      <c r="E329" s="562" t="s">
        <v>223</v>
      </c>
      <c r="F329" s="562" t="s">
        <v>1110</v>
      </c>
      <c r="G329" s="562" t="s">
        <v>1114</v>
      </c>
      <c r="H329" s="562">
        <v>15</v>
      </c>
      <c r="I329" s="560">
        <v>15</v>
      </c>
      <c r="J329" s="562" t="s">
        <v>1115</v>
      </c>
      <c r="K329" s="377" t="s">
        <v>1112</v>
      </c>
      <c r="L329" s="449">
        <v>5</v>
      </c>
      <c r="M329" s="449">
        <v>35</v>
      </c>
      <c r="N329" s="448">
        <v>42268</v>
      </c>
    </row>
    <row r="330" spans="1:14">
      <c r="A330" s="559" t="s">
        <v>1525</v>
      </c>
      <c r="B330" s="560" t="s">
        <v>303</v>
      </c>
      <c r="C330" s="193">
        <v>42262</v>
      </c>
      <c r="D330" s="193">
        <v>42262</v>
      </c>
      <c r="E330" s="562" t="s">
        <v>171</v>
      </c>
      <c r="F330" s="562" t="s">
        <v>1110</v>
      </c>
      <c r="G330" s="563" t="s">
        <v>1116</v>
      </c>
      <c r="H330" s="562">
        <v>18</v>
      </c>
      <c r="I330" s="560">
        <v>18</v>
      </c>
      <c r="J330" s="562"/>
      <c r="K330" s="562" t="s">
        <v>1112</v>
      </c>
      <c r="L330" s="447">
        <v>2</v>
      </c>
      <c r="M330" s="447">
        <v>8</v>
      </c>
      <c r="N330" s="448">
        <v>42274</v>
      </c>
    </row>
    <row r="331" spans="1:14">
      <c r="A331" s="559" t="s">
        <v>1526</v>
      </c>
      <c r="B331" s="560" t="s">
        <v>679</v>
      </c>
      <c r="C331" s="193">
        <v>42262</v>
      </c>
      <c r="D331" s="193">
        <v>42262</v>
      </c>
      <c r="E331" s="561" t="s">
        <v>195</v>
      </c>
      <c r="F331" s="562" t="s">
        <v>1110</v>
      </c>
      <c r="G331" s="563" t="s">
        <v>1111</v>
      </c>
      <c r="H331" s="562">
        <v>454</v>
      </c>
      <c r="I331" s="560">
        <v>454</v>
      </c>
      <c r="J331" s="562"/>
      <c r="K331" s="377" t="s">
        <v>1112</v>
      </c>
      <c r="L331" s="447">
        <v>6</v>
      </c>
      <c r="M331" s="447">
        <v>42</v>
      </c>
      <c r="N331" s="448">
        <v>42274</v>
      </c>
    </row>
    <row r="332" spans="1:14">
      <c r="A332" s="559" t="s">
        <v>1526</v>
      </c>
      <c r="B332" s="560" t="s">
        <v>679</v>
      </c>
      <c r="C332" s="193">
        <v>42262</v>
      </c>
      <c r="D332" s="193">
        <v>42262</v>
      </c>
      <c r="E332" s="562" t="s">
        <v>177</v>
      </c>
      <c r="F332" s="562" t="s">
        <v>1110</v>
      </c>
      <c r="G332" s="562" t="s">
        <v>1113</v>
      </c>
      <c r="H332" s="562">
        <v>273</v>
      </c>
      <c r="I332" s="560">
        <v>273</v>
      </c>
      <c r="J332" s="562"/>
      <c r="K332" s="562" t="s">
        <v>1112</v>
      </c>
      <c r="L332" s="447">
        <v>2</v>
      </c>
      <c r="M332" s="447">
        <v>8</v>
      </c>
      <c r="N332" s="448">
        <v>42264</v>
      </c>
    </row>
    <row r="333" spans="1:14">
      <c r="A333" s="559" t="s">
        <v>1526</v>
      </c>
      <c r="B333" s="560" t="s">
        <v>679</v>
      </c>
      <c r="C333" s="193">
        <v>42262</v>
      </c>
      <c r="D333" s="193">
        <v>42262</v>
      </c>
      <c r="E333" s="562" t="s">
        <v>223</v>
      </c>
      <c r="F333" s="562" t="s">
        <v>1110</v>
      </c>
      <c r="G333" s="562" t="s">
        <v>1114</v>
      </c>
      <c r="H333" s="562">
        <v>15</v>
      </c>
      <c r="I333" s="560">
        <v>15</v>
      </c>
      <c r="J333" s="562" t="s">
        <v>1115</v>
      </c>
      <c r="K333" s="377" t="s">
        <v>1112</v>
      </c>
      <c r="L333" s="449">
        <v>5</v>
      </c>
      <c r="M333" s="449">
        <v>35</v>
      </c>
      <c r="N333" s="448">
        <v>42268</v>
      </c>
    </row>
    <row r="334" spans="1:14">
      <c r="A334" s="559" t="s">
        <v>1526</v>
      </c>
      <c r="B334" s="560" t="s">
        <v>679</v>
      </c>
      <c r="C334" s="193">
        <v>42262</v>
      </c>
      <c r="D334" s="193">
        <v>42262</v>
      </c>
      <c r="E334" s="562" t="s">
        <v>171</v>
      </c>
      <c r="F334" s="562" t="s">
        <v>1110</v>
      </c>
      <c r="G334" s="563" t="s">
        <v>1116</v>
      </c>
      <c r="H334" s="562">
        <v>15</v>
      </c>
      <c r="I334" s="560">
        <v>15</v>
      </c>
      <c r="J334" s="562"/>
      <c r="K334" s="562" t="s">
        <v>1112</v>
      </c>
      <c r="L334" s="447">
        <v>2</v>
      </c>
      <c r="M334" s="447">
        <v>8</v>
      </c>
      <c r="N334" s="448">
        <v>42274</v>
      </c>
    </row>
    <row r="335" spans="1:14">
      <c r="A335" s="559" t="s">
        <v>1527</v>
      </c>
      <c r="B335" s="560">
        <v>34</v>
      </c>
      <c r="C335" s="193">
        <v>42262</v>
      </c>
      <c r="D335" s="193">
        <v>42262</v>
      </c>
      <c r="E335" s="561" t="s">
        <v>195</v>
      </c>
      <c r="F335" s="562" t="s">
        <v>1110</v>
      </c>
      <c r="G335" s="563" t="s">
        <v>1111</v>
      </c>
      <c r="H335" s="562">
        <v>1107</v>
      </c>
      <c r="I335" s="560">
        <v>1107</v>
      </c>
      <c r="J335" s="562"/>
      <c r="K335" s="377" t="s">
        <v>1112</v>
      </c>
      <c r="L335" s="447">
        <v>6</v>
      </c>
      <c r="M335" s="447">
        <v>42</v>
      </c>
      <c r="N335" s="448">
        <v>42274</v>
      </c>
    </row>
    <row r="336" spans="1:14">
      <c r="A336" s="559" t="s">
        <v>1527</v>
      </c>
      <c r="B336" s="560">
        <v>34</v>
      </c>
      <c r="C336" s="193">
        <v>42262</v>
      </c>
      <c r="D336" s="193">
        <v>42262</v>
      </c>
      <c r="E336" s="562" t="s">
        <v>177</v>
      </c>
      <c r="F336" s="562" t="s">
        <v>1110</v>
      </c>
      <c r="G336" s="562" t="s">
        <v>1113</v>
      </c>
      <c r="H336" s="562">
        <v>853</v>
      </c>
      <c r="I336" s="560">
        <v>853</v>
      </c>
      <c r="J336" s="562"/>
      <c r="K336" s="562" t="s">
        <v>1112</v>
      </c>
      <c r="L336" s="447">
        <v>2</v>
      </c>
      <c r="M336" s="447">
        <v>8</v>
      </c>
      <c r="N336" s="448">
        <v>42264</v>
      </c>
    </row>
    <row r="337" spans="1:14">
      <c r="A337" s="559" t="s">
        <v>1527</v>
      </c>
      <c r="B337" s="560">
        <v>34</v>
      </c>
      <c r="C337" s="193">
        <v>42262</v>
      </c>
      <c r="D337" s="193">
        <v>42262</v>
      </c>
      <c r="E337" s="562" t="s">
        <v>223</v>
      </c>
      <c r="F337" s="562" t="s">
        <v>1110</v>
      </c>
      <c r="G337" s="562" t="s">
        <v>1114</v>
      </c>
      <c r="H337" s="562">
        <v>17</v>
      </c>
      <c r="I337" s="560">
        <v>17</v>
      </c>
      <c r="J337" s="562" t="s">
        <v>1115</v>
      </c>
      <c r="K337" s="377" t="s">
        <v>1112</v>
      </c>
      <c r="L337" s="449">
        <v>5</v>
      </c>
      <c r="M337" s="449">
        <v>35</v>
      </c>
      <c r="N337" s="448">
        <v>42268</v>
      </c>
    </row>
    <row r="338" spans="1:14">
      <c r="A338" s="559" t="s">
        <v>1527</v>
      </c>
      <c r="B338" s="560">
        <v>34</v>
      </c>
      <c r="C338" s="193">
        <v>42262</v>
      </c>
      <c r="D338" s="193">
        <v>42262</v>
      </c>
      <c r="E338" s="562" t="s">
        <v>171</v>
      </c>
      <c r="F338" s="562" t="s">
        <v>1110</v>
      </c>
      <c r="G338" s="563" t="s">
        <v>1116</v>
      </c>
      <c r="H338" s="562">
        <v>13</v>
      </c>
      <c r="I338" s="560">
        <v>13</v>
      </c>
      <c r="J338" s="562"/>
      <c r="K338" s="562" t="s">
        <v>1112</v>
      </c>
      <c r="L338" s="447">
        <v>2</v>
      </c>
      <c r="M338" s="447">
        <v>8</v>
      </c>
      <c r="N338" s="448">
        <v>42274</v>
      </c>
    </row>
    <row r="339" spans="1:14">
      <c r="A339" s="559" t="s">
        <v>1530</v>
      </c>
      <c r="B339" s="560">
        <v>35</v>
      </c>
      <c r="C339" s="193">
        <v>42262</v>
      </c>
      <c r="D339" s="193">
        <v>42262</v>
      </c>
      <c r="E339" s="561" t="s">
        <v>195</v>
      </c>
      <c r="F339" s="562" t="s">
        <v>1110</v>
      </c>
      <c r="G339" s="563" t="s">
        <v>1111</v>
      </c>
      <c r="H339" s="562">
        <v>271</v>
      </c>
      <c r="I339" s="560">
        <v>271</v>
      </c>
      <c r="J339" s="562"/>
      <c r="K339" s="377" t="s">
        <v>1112</v>
      </c>
      <c r="L339" s="447">
        <v>6</v>
      </c>
      <c r="M339" s="447">
        <v>42</v>
      </c>
      <c r="N339" s="448">
        <v>42274</v>
      </c>
    </row>
    <row r="340" spans="1:14">
      <c r="A340" s="559" t="s">
        <v>1530</v>
      </c>
      <c r="B340" s="560">
        <v>35</v>
      </c>
      <c r="C340" s="193">
        <v>42262</v>
      </c>
      <c r="D340" s="193">
        <v>42262</v>
      </c>
      <c r="E340" s="562" t="s">
        <v>177</v>
      </c>
      <c r="F340" s="562" t="s">
        <v>1110</v>
      </c>
      <c r="G340" s="562" t="s">
        <v>1113</v>
      </c>
      <c r="H340" s="562">
        <v>127</v>
      </c>
      <c r="I340" s="560">
        <v>127</v>
      </c>
      <c r="J340" s="562"/>
      <c r="K340" s="562" t="s">
        <v>1112</v>
      </c>
      <c r="L340" s="447">
        <v>2</v>
      </c>
      <c r="M340" s="447">
        <v>8</v>
      </c>
      <c r="N340" s="448">
        <v>42264</v>
      </c>
    </row>
    <row r="341" spans="1:14">
      <c r="A341" s="559" t="s">
        <v>1530</v>
      </c>
      <c r="B341" s="560">
        <v>35</v>
      </c>
      <c r="C341" s="193">
        <v>42262</v>
      </c>
      <c r="D341" s="193">
        <v>42262</v>
      </c>
      <c r="E341" s="562" t="s">
        <v>223</v>
      </c>
      <c r="F341" s="562" t="s">
        <v>1110</v>
      </c>
      <c r="G341" s="562" t="s">
        <v>1114</v>
      </c>
      <c r="H341" s="562">
        <v>22</v>
      </c>
      <c r="I341" s="560">
        <v>22</v>
      </c>
      <c r="J341" s="562" t="s">
        <v>1115</v>
      </c>
      <c r="K341" s="377" t="s">
        <v>1112</v>
      </c>
      <c r="L341" s="449">
        <v>5</v>
      </c>
      <c r="M341" s="449">
        <v>35</v>
      </c>
      <c r="N341" s="448">
        <v>42268</v>
      </c>
    </row>
    <row r="342" spans="1:14">
      <c r="A342" s="559" t="s">
        <v>1530</v>
      </c>
      <c r="B342" s="560">
        <v>35</v>
      </c>
      <c r="C342" s="193">
        <v>42262</v>
      </c>
      <c r="D342" s="193">
        <v>42262</v>
      </c>
      <c r="E342" s="562" t="s">
        <v>171</v>
      </c>
      <c r="F342" s="562" t="s">
        <v>1110</v>
      </c>
      <c r="G342" s="563" t="s">
        <v>1116</v>
      </c>
      <c r="H342" s="562">
        <v>75</v>
      </c>
      <c r="I342" s="560">
        <v>75</v>
      </c>
      <c r="J342" s="562"/>
      <c r="K342" s="562" t="s">
        <v>1112</v>
      </c>
      <c r="L342" s="447">
        <v>2</v>
      </c>
      <c r="M342" s="447">
        <v>8</v>
      </c>
      <c r="N342" s="448">
        <v>42274</v>
      </c>
    </row>
    <row r="343" spans="1:14">
      <c r="A343" s="559" t="s">
        <v>1531</v>
      </c>
      <c r="B343" s="560">
        <v>50</v>
      </c>
      <c r="C343" s="193">
        <v>42262</v>
      </c>
      <c r="D343" s="193">
        <v>42262</v>
      </c>
      <c r="E343" s="561" t="s">
        <v>195</v>
      </c>
      <c r="F343" s="562" t="s">
        <v>1110</v>
      </c>
      <c r="G343" s="563" t="s">
        <v>1111</v>
      </c>
      <c r="H343" s="562">
        <v>218</v>
      </c>
      <c r="I343" s="560">
        <v>218</v>
      </c>
      <c r="J343" s="562"/>
      <c r="K343" s="377" t="s">
        <v>1112</v>
      </c>
      <c r="L343" s="447">
        <v>6</v>
      </c>
      <c r="M343" s="447">
        <v>42</v>
      </c>
      <c r="N343" s="448">
        <v>42274</v>
      </c>
    </row>
    <row r="344" spans="1:14">
      <c r="A344" s="559" t="s">
        <v>1531</v>
      </c>
      <c r="B344" s="560">
        <v>50</v>
      </c>
      <c r="C344" s="193">
        <v>42262</v>
      </c>
      <c r="D344" s="193">
        <v>42262</v>
      </c>
      <c r="E344" s="562" t="s">
        <v>177</v>
      </c>
      <c r="F344" s="562" t="s">
        <v>1110</v>
      </c>
      <c r="G344" s="562" t="s">
        <v>1113</v>
      </c>
      <c r="H344" s="562">
        <v>43</v>
      </c>
      <c r="I344" s="560">
        <v>43</v>
      </c>
      <c r="J344" s="562"/>
      <c r="K344" s="562" t="s">
        <v>1112</v>
      </c>
      <c r="L344" s="447">
        <v>2</v>
      </c>
      <c r="M344" s="447">
        <v>8</v>
      </c>
      <c r="N344" s="448">
        <v>42264</v>
      </c>
    </row>
    <row r="345" spans="1:14">
      <c r="A345" s="559" t="s">
        <v>1531</v>
      </c>
      <c r="B345" s="560">
        <v>50</v>
      </c>
      <c r="C345" s="193">
        <v>42262</v>
      </c>
      <c r="D345" s="193">
        <v>42262</v>
      </c>
      <c r="E345" s="562" t="s">
        <v>223</v>
      </c>
      <c r="F345" s="562" t="s">
        <v>1110</v>
      </c>
      <c r="G345" s="562" t="s">
        <v>1114</v>
      </c>
      <c r="H345" s="562">
        <v>11</v>
      </c>
      <c r="I345" s="560">
        <v>11</v>
      </c>
      <c r="J345" s="562" t="s">
        <v>1115</v>
      </c>
      <c r="K345" s="377" t="s">
        <v>1112</v>
      </c>
      <c r="L345" s="449">
        <v>5</v>
      </c>
      <c r="M345" s="449">
        <v>35</v>
      </c>
      <c r="N345" s="448">
        <v>42268</v>
      </c>
    </row>
    <row r="346" spans="1:14">
      <c r="A346" s="559" t="s">
        <v>1531</v>
      </c>
      <c r="B346" s="560">
        <v>50</v>
      </c>
      <c r="C346" s="193">
        <v>42262</v>
      </c>
      <c r="D346" s="193">
        <v>42262</v>
      </c>
      <c r="E346" s="562" t="s">
        <v>171</v>
      </c>
      <c r="F346" s="562" t="s">
        <v>1110</v>
      </c>
      <c r="G346" s="563" t="s">
        <v>1116</v>
      </c>
      <c r="H346" s="562">
        <v>20</v>
      </c>
      <c r="I346" s="560">
        <v>20</v>
      </c>
      <c r="J346" s="562"/>
      <c r="K346" s="562" t="s">
        <v>1112</v>
      </c>
      <c r="L346" s="447">
        <v>2</v>
      </c>
      <c r="M346" s="447">
        <v>8</v>
      </c>
      <c r="N346" s="448">
        <v>42274</v>
      </c>
    </row>
    <row r="347" spans="1:14">
      <c r="A347" s="559" t="s">
        <v>1515</v>
      </c>
      <c r="B347" s="560">
        <v>64</v>
      </c>
      <c r="C347" s="193">
        <v>42262</v>
      </c>
      <c r="D347" s="193">
        <v>42262</v>
      </c>
      <c r="E347" s="561" t="s">
        <v>195</v>
      </c>
      <c r="F347" s="562" t="s">
        <v>1110</v>
      </c>
      <c r="G347" s="563" t="s">
        <v>1111</v>
      </c>
      <c r="H347" s="562">
        <v>669</v>
      </c>
      <c r="I347" s="560">
        <v>669</v>
      </c>
      <c r="J347" s="562"/>
      <c r="K347" s="377" t="s">
        <v>1112</v>
      </c>
      <c r="L347" s="447">
        <v>6</v>
      </c>
      <c r="M347" s="447">
        <v>42</v>
      </c>
      <c r="N347" s="448">
        <v>42274</v>
      </c>
    </row>
    <row r="348" spans="1:14">
      <c r="A348" s="559" t="s">
        <v>1515</v>
      </c>
      <c r="B348" s="560">
        <v>64</v>
      </c>
      <c r="C348" s="193">
        <v>42262</v>
      </c>
      <c r="D348" s="193">
        <v>42262</v>
      </c>
      <c r="E348" s="562" t="s">
        <v>177</v>
      </c>
      <c r="F348" s="562" t="s">
        <v>1110</v>
      </c>
      <c r="G348" s="562" t="s">
        <v>1113</v>
      </c>
      <c r="H348" s="562">
        <v>492</v>
      </c>
      <c r="I348" s="560">
        <v>492</v>
      </c>
      <c r="J348" s="562"/>
      <c r="K348" s="562" t="s">
        <v>1112</v>
      </c>
      <c r="L348" s="447">
        <v>2</v>
      </c>
      <c r="M348" s="447">
        <v>8</v>
      </c>
      <c r="N348" s="448">
        <v>42264</v>
      </c>
    </row>
    <row r="349" spans="1:14">
      <c r="A349" s="559" t="s">
        <v>1515</v>
      </c>
      <c r="B349" s="560">
        <v>64</v>
      </c>
      <c r="C349" s="193">
        <v>42262</v>
      </c>
      <c r="D349" s="193">
        <v>42262</v>
      </c>
      <c r="E349" s="562" t="s">
        <v>223</v>
      </c>
      <c r="F349" s="562" t="s">
        <v>1110</v>
      </c>
      <c r="G349" s="562" t="s">
        <v>1114</v>
      </c>
      <c r="H349" s="562">
        <v>16</v>
      </c>
      <c r="I349" s="560">
        <v>16</v>
      </c>
      <c r="J349" s="562" t="s">
        <v>1115</v>
      </c>
      <c r="K349" s="377" t="s">
        <v>1112</v>
      </c>
      <c r="L349" s="449">
        <v>5</v>
      </c>
      <c r="M349" s="449">
        <v>35</v>
      </c>
      <c r="N349" s="448">
        <v>42268</v>
      </c>
    </row>
    <row r="350" spans="1:14">
      <c r="A350" s="559" t="s">
        <v>1515</v>
      </c>
      <c r="B350" s="560">
        <v>64</v>
      </c>
      <c r="C350" s="193">
        <v>42262</v>
      </c>
      <c r="D350" s="193">
        <v>42262</v>
      </c>
      <c r="E350" s="562" t="s">
        <v>171</v>
      </c>
      <c r="F350" s="562" t="s">
        <v>1110</v>
      </c>
      <c r="G350" s="563" t="s">
        <v>1116</v>
      </c>
      <c r="H350" s="562">
        <v>33</v>
      </c>
      <c r="I350" s="560">
        <v>33</v>
      </c>
      <c r="J350" s="562"/>
      <c r="K350" s="562" t="s">
        <v>1112</v>
      </c>
      <c r="L350" s="447">
        <v>2</v>
      </c>
      <c r="M350" s="447">
        <v>8</v>
      </c>
      <c r="N350" s="448">
        <v>42274</v>
      </c>
    </row>
    <row r="351" spans="1:14">
      <c r="A351" s="559" t="s">
        <v>1522</v>
      </c>
      <c r="B351" s="560">
        <v>32</v>
      </c>
      <c r="C351" s="193">
        <v>42262</v>
      </c>
      <c r="D351" s="193">
        <v>42262</v>
      </c>
      <c r="E351" s="561" t="s">
        <v>195</v>
      </c>
      <c r="F351" s="562" t="s">
        <v>1110</v>
      </c>
      <c r="G351" s="563" t="s">
        <v>1111</v>
      </c>
      <c r="H351" s="562">
        <v>1121</v>
      </c>
      <c r="I351" s="560">
        <v>1121</v>
      </c>
      <c r="J351" s="562"/>
      <c r="K351" s="377" t="s">
        <v>1112</v>
      </c>
      <c r="L351" s="447">
        <v>6</v>
      </c>
      <c r="M351" s="447">
        <v>42</v>
      </c>
      <c r="N351" s="448">
        <v>42274</v>
      </c>
    </row>
    <row r="352" spans="1:14">
      <c r="A352" s="559" t="s">
        <v>1522</v>
      </c>
      <c r="B352" s="560">
        <v>32</v>
      </c>
      <c r="C352" s="193">
        <v>42262</v>
      </c>
      <c r="D352" s="193">
        <v>42262</v>
      </c>
      <c r="E352" s="562" t="s">
        <v>177</v>
      </c>
      <c r="F352" s="562" t="s">
        <v>1110</v>
      </c>
      <c r="G352" s="562" t="s">
        <v>1113</v>
      </c>
      <c r="H352" s="562">
        <v>788</v>
      </c>
      <c r="I352" s="560">
        <v>788</v>
      </c>
      <c r="J352" s="562"/>
      <c r="K352" s="562" t="s">
        <v>1112</v>
      </c>
      <c r="L352" s="447">
        <v>2</v>
      </c>
      <c r="M352" s="447">
        <v>8</v>
      </c>
      <c r="N352" s="448">
        <v>42264</v>
      </c>
    </row>
    <row r="353" spans="1:14">
      <c r="A353" s="559" t="s">
        <v>1522</v>
      </c>
      <c r="B353" s="560">
        <v>32</v>
      </c>
      <c r="C353" s="193">
        <v>42262</v>
      </c>
      <c r="D353" s="193">
        <v>42262</v>
      </c>
      <c r="E353" s="562" t="s">
        <v>223</v>
      </c>
      <c r="F353" s="562" t="s">
        <v>1110</v>
      </c>
      <c r="G353" s="562" t="s">
        <v>1114</v>
      </c>
      <c r="H353" s="562">
        <v>9</v>
      </c>
      <c r="I353" s="560">
        <v>9</v>
      </c>
      <c r="J353" s="562" t="s">
        <v>1115</v>
      </c>
      <c r="K353" s="562" t="s">
        <v>1112</v>
      </c>
      <c r="L353" s="449">
        <v>5</v>
      </c>
      <c r="M353" s="449">
        <v>35</v>
      </c>
      <c r="N353" s="448">
        <v>42268</v>
      </c>
    </row>
    <row r="354" spans="1:14">
      <c r="A354" s="559" t="s">
        <v>1522</v>
      </c>
      <c r="B354" s="560">
        <v>32</v>
      </c>
      <c r="C354" s="193">
        <v>42262</v>
      </c>
      <c r="D354" s="193">
        <v>42262</v>
      </c>
      <c r="E354" s="562" t="s">
        <v>171</v>
      </c>
      <c r="F354" s="562" t="s">
        <v>1110</v>
      </c>
      <c r="G354" s="563" t="s">
        <v>1116</v>
      </c>
      <c r="H354" s="562">
        <v>97</v>
      </c>
      <c r="I354" s="560">
        <v>97</v>
      </c>
      <c r="J354" s="562"/>
      <c r="K354" s="562" t="s">
        <v>1112</v>
      </c>
      <c r="L354" s="447">
        <v>2</v>
      </c>
      <c r="M354" s="447">
        <v>8</v>
      </c>
      <c r="N354" s="448">
        <v>42274</v>
      </c>
    </row>
    <row r="355" spans="1:14">
      <c r="A355" s="559" t="s">
        <v>1528</v>
      </c>
      <c r="B355" s="560">
        <v>18</v>
      </c>
      <c r="C355" s="193">
        <v>42262</v>
      </c>
      <c r="D355" s="193">
        <v>42262</v>
      </c>
      <c r="E355" s="561" t="s">
        <v>195</v>
      </c>
      <c r="F355" s="562" t="s">
        <v>1110</v>
      </c>
      <c r="G355" s="563" t="s">
        <v>1111</v>
      </c>
      <c r="H355" s="562">
        <v>780</v>
      </c>
      <c r="I355" s="560">
        <v>780</v>
      </c>
      <c r="J355" s="562"/>
      <c r="K355" s="377" t="s">
        <v>1112</v>
      </c>
      <c r="L355" s="447">
        <v>6</v>
      </c>
      <c r="M355" s="447">
        <v>42</v>
      </c>
      <c r="N355" s="448">
        <v>42274</v>
      </c>
    </row>
    <row r="356" spans="1:14">
      <c r="A356" s="559" t="s">
        <v>1528</v>
      </c>
      <c r="B356" s="560">
        <v>18</v>
      </c>
      <c r="C356" s="193">
        <v>42262</v>
      </c>
      <c r="D356" s="193">
        <v>42262</v>
      </c>
      <c r="E356" s="562" t="s">
        <v>177</v>
      </c>
      <c r="F356" s="562" t="s">
        <v>1110</v>
      </c>
      <c r="G356" s="562" t="s">
        <v>1113</v>
      </c>
      <c r="H356" s="562">
        <v>307</v>
      </c>
      <c r="I356" s="560">
        <v>307</v>
      </c>
      <c r="J356" s="562"/>
      <c r="K356" s="562" t="s">
        <v>1112</v>
      </c>
      <c r="L356" s="447">
        <v>2</v>
      </c>
      <c r="M356" s="447">
        <v>8</v>
      </c>
      <c r="N356" s="448">
        <v>42264</v>
      </c>
    </row>
    <row r="357" spans="1:14">
      <c r="A357" s="559" t="s">
        <v>1528</v>
      </c>
      <c r="B357" s="560">
        <v>18</v>
      </c>
      <c r="C357" s="193">
        <v>42262</v>
      </c>
      <c r="D357" s="193">
        <v>42262</v>
      </c>
      <c r="E357" s="562" t="s">
        <v>223</v>
      </c>
      <c r="F357" s="562" t="s">
        <v>1110</v>
      </c>
      <c r="G357" s="562" t="s">
        <v>1114</v>
      </c>
      <c r="H357" s="562">
        <v>68</v>
      </c>
      <c r="I357" s="560">
        <v>68</v>
      </c>
      <c r="J357" s="562"/>
      <c r="K357" s="377" t="s">
        <v>1112</v>
      </c>
      <c r="L357" s="449">
        <v>5</v>
      </c>
      <c r="M357" s="449">
        <v>35</v>
      </c>
      <c r="N357" s="448">
        <v>42268</v>
      </c>
    </row>
    <row r="358" spans="1:14">
      <c r="A358" s="559" t="s">
        <v>1528</v>
      </c>
      <c r="B358" s="560">
        <v>18</v>
      </c>
      <c r="C358" s="193">
        <v>42262</v>
      </c>
      <c r="D358" s="193">
        <v>42262</v>
      </c>
      <c r="E358" s="562" t="s">
        <v>171</v>
      </c>
      <c r="F358" s="562" t="s">
        <v>1110</v>
      </c>
      <c r="G358" s="563" t="s">
        <v>1116</v>
      </c>
      <c r="H358" s="562">
        <v>57</v>
      </c>
      <c r="I358" s="560">
        <v>57</v>
      </c>
      <c r="J358" s="562"/>
      <c r="K358" s="562" t="s">
        <v>1112</v>
      </c>
      <c r="L358" s="447">
        <v>2</v>
      </c>
      <c r="M358" s="447">
        <v>8</v>
      </c>
      <c r="N358" s="448">
        <v>42274</v>
      </c>
    </row>
    <row r="359" spans="1:14">
      <c r="A359" s="559" t="s">
        <v>1529</v>
      </c>
      <c r="B359" s="560">
        <v>19</v>
      </c>
      <c r="C359" s="193">
        <v>42262</v>
      </c>
      <c r="D359" s="193">
        <v>42262</v>
      </c>
      <c r="E359" s="561" t="s">
        <v>195</v>
      </c>
      <c r="F359" s="562" t="s">
        <v>1110</v>
      </c>
      <c r="G359" s="563" t="s">
        <v>1111</v>
      </c>
      <c r="H359" s="562">
        <v>274</v>
      </c>
      <c r="I359" s="560">
        <v>274</v>
      </c>
      <c r="J359" s="562"/>
      <c r="K359" s="377" t="s">
        <v>1112</v>
      </c>
      <c r="L359" s="447">
        <v>6</v>
      </c>
      <c r="M359" s="447">
        <v>42</v>
      </c>
      <c r="N359" s="448">
        <v>42274</v>
      </c>
    </row>
    <row r="360" spans="1:14">
      <c r="A360" s="559" t="s">
        <v>1529</v>
      </c>
      <c r="B360" s="560">
        <v>19</v>
      </c>
      <c r="C360" s="193">
        <v>42262</v>
      </c>
      <c r="D360" s="193">
        <v>42262</v>
      </c>
      <c r="E360" s="562" t="s">
        <v>177</v>
      </c>
      <c r="F360" s="562" t="s">
        <v>1110</v>
      </c>
      <c r="G360" s="562" t="s">
        <v>1113</v>
      </c>
      <c r="H360" s="562">
        <v>75</v>
      </c>
      <c r="I360" s="560">
        <v>75</v>
      </c>
      <c r="J360" s="562"/>
      <c r="K360" s="562" t="s">
        <v>1112</v>
      </c>
      <c r="L360" s="447">
        <v>2</v>
      </c>
      <c r="M360" s="447">
        <v>8</v>
      </c>
      <c r="N360" s="448">
        <v>42264</v>
      </c>
    </row>
    <row r="361" spans="1:14">
      <c r="A361" s="559" t="s">
        <v>1529</v>
      </c>
      <c r="B361" s="560">
        <v>19</v>
      </c>
      <c r="C361" s="193">
        <v>42262</v>
      </c>
      <c r="D361" s="193">
        <v>42262</v>
      </c>
      <c r="E361" s="562" t="s">
        <v>223</v>
      </c>
      <c r="F361" s="562" t="s">
        <v>1110</v>
      </c>
      <c r="G361" s="562" t="s">
        <v>1114</v>
      </c>
      <c r="H361" s="562">
        <v>7</v>
      </c>
      <c r="I361" s="560">
        <v>7</v>
      </c>
      <c r="J361" s="562" t="s">
        <v>1115</v>
      </c>
      <c r="K361" s="377" t="s">
        <v>1112</v>
      </c>
      <c r="L361" s="449">
        <v>5</v>
      </c>
      <c r="M361" s="449">
        <v>35</v>
      </c>
      <c r="N361" s="448">
        <v>42268</v>
      </c>
    </row>
    <row r="362" spans="1:14">
      <c r="A362" s="559" t="s">
        <v>1529</v>
      </c>
      <c r="B362" s="560">
        <v>19</v>
      </c>
      <c r="C362" s="193">
        <v>42262</v>
      </c>
      <c r="D362" s="193">
        <v>42262</v>
      </c>
      <c r="E362" s="562" t="s">
        <v>171</v>
      </c>
      <c r="F362" s="562" t="s">
        <v>1110</v>
      </c>
      <c r="G362" s="563" t="s">
        <v>1116</v>
      </c>
      <c r="H362" s="562">
        <v>11</v>
      </c>
      <c r="I362" s="560">
        <v>11</v>
      </c>
      <c r="J362" s="562"/>
      <c r="K362" s="562" t="s">
        <v>1112</v>
      </c>
      <c r="L362" s="447">
        <v>2</v>
      </c>
      <c r="M362" s="447">
        <v>8</v>
      </c>
      <c r="N362" s="448">
        <v>42274</v>
      </c>
    </row>
    <row r="364" spans="1:14">
      <c r="A364" s="559" t="s">
        <v>1533</v>
      </c>
      <c r="B364" s="560">
        <v>58</v>
      </c>
      <c r="C364" s="193">
        <v>42303</v>
      </c>
      <c r="D364" s="193">
        <v>42303</v>
      </c>
      <c r="E364" s="561" t="s">
        <v>195</v>
      </c>
      <c r="F364" s="562" t="s">
        <v>1110</v>
      </c>
      <c r="G364" s="563" t="s">
        <v>1111</v>
      </c>
      <c r="H364" s="562">
        <v>182</v>
      </c>
      <c r="I364" s="560">
        <v>182</v>
      </c>
      <c r="J364" s="562"/>
      <c r="K364" s="377" t="s">
        <v>1112</v>
      </c>
      <c r="L364" s="447">
        <v>6</v>
      </c>
      <c r="M364" s="447">
        <v>42</v>
      </c>
      <c r="N364" s="448">
        <v>42312</v>
      </c>
    </row>
    <row r="365" spans="1:14">
      <c r="A365" s="559" t="s">
        <v>1533</v>
      </c>
      <c r="B365" s="560">
        <v>58</v>
      </c>
      <c r="C365" s="193">
        <v>42303</v>
      </c>
      <c r="D365" s="193">
        <v>42303</v>
      </c>
      <c r="E365" s="562" t="s">
        <v>177</v>
      </c>
      <c r="F365" s="562" t="s">
        <v>1110</v>
      </c>
      <c r="G365" s="562" t="s">
        <v>1113</v>
      </c>
      <c r="H365" s="562">
        <v>125</v>
      </c>
      <c r="I365" s="560">
        <v>125</v>
      </c>
      <c r="J365" s="562"/>
      <c r="K365" s="562" t="s">
        <v>1112</v>
      </c>
      <c r="L365" s="447">
        <v>2</v>
      </c>
      <c r="M365" s="447">
        <v>8</v>
      </c>
      <c r="N365" s="448">
        <v>42305</v>
      </c>
    </row>
    <row r="366" spans="1:14">
      <c r="A366" s="559" t="s">
        <v>1533</v>
      </c>
      <c r="B366" s="560">
        <v>58</v>
      </c>
      <c r="C366" s="193">
        <v>42303</v>
      </c>
      <c r="D366" s="193">
        <v>42303</v>
      </c>
      <c r="E366" s="562" t="s">
        <v>223</v>
      </c>
      <c r="F366" s="562" t="s">
        <v>1110</v>
      </c>
      <c r="G366" s="562" t="s">
        <v>1114</v>
      </c>
      <c r="H366" s="562">
        <v>8</v>
      </c>
      <c r="I366" s="560">
        <v>8</v>
      </c>
      <c r="J366" s="562" t="s">
        <v>1115</v>
      </c>
      <c r="K366" s="377" t="s">
        <v>1112</v>
      </c>
      <c r="L366" s="449">
        <v>5</v>
      </c>
      <c r="M366" s="449">
        <v>35</v>
      </c>
      <c r="N366" s="448">
        <v>42309</v>
      </c>
    </row>
    <row r="367" spans="1:14">
      <c r="A367" s="559" t="s">
        <v>1533</v>
      </c>
      <c r="B367" s="560">
        <v>58</v>
      </c>
      <c r="C367" s="193">
        <v>42303</v>
      </c>
      <c r="D367" s="193">
        <v>42303</v>
      </c>
      <c r="E367" s="562" t="s">
        <v>171</v>
      </c>
      <c r="F367" s="562" t="s">
        <v>1110</v>
      </c>
      <c r="G367" s="563" t="s">
        <v>1116</v>
      </c>
      <c r="H367" s="562">
        <v>2</v>
      </c>
      <c r="I367" s="560"/>
      <c r="J367" s="562" t="s">
        <v>1121</v>
      </c>
      <c r="K367" s="562" t="s">
        <v>1112</v>
      </c>
      <c r="L367" s="447">
        <v>2</v>
      </c>
      <c r="M367" s="447">
        <v>8</v>
      </c>
      <c r="N367" s="448">
        <v>42312</v>
      </c>
    </row>
    <row r="368" spans="1:14">
      <c r="A368" s="559" t="s">
        <v>1535</v>
      </c>
      <c r="B368" s="560" t="s">
        <v>678</v>
      </c>
      <c r="C368" s="193">
        <v>42303</v>
      </c>
      <c r="D368" s="193">
        <v>42303</v>
      </c>
      <c r="E368" s="561" t="s">
        <v>195</v>
      </c>
      <c r="F368" s="562" t="s">
        <v>1110</v>
      </c>
      <c r="G368" s="563" t="s">
        <v>1111</v>
      </c>
      <c r="H368" s="562">
        <v>124</v>
      </c>
      <c r="I368" s="560">
        <v>124</v>
      </c>
      <c r="J368" s="562"/>
      <c r="K368" s="377" t="s">
        <v>1112</v>
      </c>
      <c r="L368" s="447">
        <v>6</v>
      </c>
      <c r="M368" s="447">
        <v>42</v>
      </c>
      <c r="N368" s="448">
        <v>42312</v>
      </c>
    </row>
    <row r="369" spans="1:14">
      <c r="A369" s="559" t="s">
        <v>1535</v>
      </c>
      <c r="B369" s="560" t="s">
        <v>678</v>
      </c>
      <c r="C369" s="193">
        <v>42303</v>
      </c>
      <c r="D369" s="193">
        <v>42303</v>
      </c>
      <c r="E369" s="562" t="s">
        <v>177</v>
      </c>
      <c r="F369" s="562" t="s">
        <v>1110</v>
      </c>
      <c r="G369" s="562" t="s">
        <v>1113</v>
      </c>
      <c r="H369" s="562">
        <v>63</v>
      </c>
      <c r="I369" s="560">
        <v>63</v>
      </c>
      <c r="J369" s="562"/>
      <c r="K369" s="562" t="s">
        <v>1112</v>
      </c>
      <c r="L369" s="447">
        <v>2</v>
      </c>
      <c r="M369" s="447">
        <v>8</v>
      </c>
      <c r="N369" s="448">
        <v>42305</v>
      </c>
    </row>
    <row r="370" spans="1:14">
      <c r="A370" s="559" t="s">
        <v>1535</v>
      </c>
      <c r="B370" s="560" t="s">
        <v>678</v>
      </c>
      <c r="C370" s="193">
        <v>42303</v>
      </c>
      <c r="D370" s="193">
        <v>42303</v>
      </c>
      <c r="E370" s="562" t="s">
        <v>223</v>
      </c>
      <c r="F370" s="562" t="s">
        <v>1110</v>
      </c>
      <c r="G370" s="562" t="s">
        <v>1114</v>
      </c>
      <c r="H370" s="562">
        <v>11</v>
      </c>
      <c r="I370" s="560">
        <v>11</v>
      </c>
      <c r="J370" s="562" t="s">
        <v>1115</v>
      </c>
      <c r="K370" s="377" t="s">
        <v>1112</v>
      </c>
      <c r="L370" s="449">
        <v>5</v>
      </c>
      <c r="M370" s="449">
        <v>35</v>
      </c>
      <c r="N370" s="448">
        <v>42309</v>
      </c>
    </row>
    <row r="371" spans="1:14">
      <c r="A371" s="559" t="s">
        <v>1535</v>
      </c>
      <c r="B371" s="560" t="s">
        <v>678</v>
      </c>
      <c r="C371" s="193">
        <v>42303</v>
      </c>
      <c r="D371" s="193">
        <v>42303</v>
      </c>
      <c r="E371" s="562" t="s">
        <v>171</v>
      </c>
      <c r="F371" s="562" t="s">
        <v>1110</v>
      </c>
      <c r="G371" s="563" t="s">
        <v>1116</v>
      </c>
      <c r="H371" s="562">
        <v>2</v>
      </c>
      <c r="I371" s="560"/>
      <c r="J371" s="562" t="s">
        <v>1121</v>
      </c>
      <c r="K371" s="562" t="s">
        <v>1112</v>
      </c>
      <c r="L371" s="447">
        <v>2</v>
      </c>
      <c r="M371" s="447">
        <v>8</v>
      </c>
      <c r="N371" s="448">
        <v>42312</v>
      </c>
    </row>
    <row r="372" spans="1:14">
      <c r="A372" s="562" t="s">
        <v>1536</v>
      </c>
      <c r="B372" s="560" t="s">
        <v>677</v>
      </c>
      <c r="C372" s="193">
        <v>42303</v>
      </c>
      <c r="D372" s="193">
        <v>42303</v>
      </c>
      <c r="E372" s="561" t="s">
        <v>195</v>
      </c>
      <c r="F372" s="562" t="s">
        <v>1110</v>
      </c>
      <c r="G372" s="563" t="s">
        <v>1111</v>
      </c>
      <c r="H372" s="562">
        <v>172</v>
      </c>
      <c r="I372" s="560">
        <v>172</v>
      </c>
      <c r="J372" s="562"/>
      <c r="K372" s="377" t="s">
        <v>1112</v>
      </c>
      <c r="L372" s="447">
        <v>6</v>
      </c>
      <c r="M372" s="447">
        <v>42</v>
      </c>
      <c r="N372" s="448">
        <v>42312</v>
      </c>
    </row>
    <row r="373" spans="1:14">
      <c r="A373" s="562" t="s">
        <v>1536</v>
      </c>
      <c r="B373" s="560" t="s">
        <v>677</v>
      </c>
      <c r="C373" s="193">
        <v>42303</v>
      </c>
      <c r="D373" s="193">
        <v>42303</v>
      </c>
      <c r="E373" s="562" t="s">
        <v>177</v>
      </c>
      <c r="F373" s="562" t="s">
        <v>1110</v>
      </c>
      <c r="G373" s="562" t="s">
        <v>1113</v>
      </c>
      <c r="H373" s="562">
        <v>64</v>
      </c>
      <c r="I373" s="560">
        <v>64</v>
      </c>
      <c r="J373" s="562"/>
      <c r="K373" s="562" t="s">
        <v>1112</v>
      </c>
      <c r="L373" s="447">
        <v>2</v>
      </c>
      <c r="M373" s="447">
        <v>8</v>
      </c>
      <c r="N373" s="448">
        <v>42305</v>
      </c>
    </row>
    <row r="374" spans="1:14">
      <c r="A374" s="562" t="s">
        <v>1536</v>
      </c>
      <c r="B374" s="560" t="s">
        <v>677</v>
      </c>
      <c r="C374" s="193">
        <v>42303</v>
      </c>
      <c r="D374" s="193">
        <v>42303</v>
      </c>
      <c r="E374" s="562" t="s">
        <v>223</v>
      </c>
      <c r="F374" s="562" t="s">
        <v>1110</v>
      </c>
      <c r="G374" s="562" t="s">
        <v>1114</v>
      </c>
      <c r="H374" s="562">
        <v>13</v>
      </c>
      <c r="I374" s="560">
        <v>13</v>
      </c>
      <c r="J374" s="562" t="s">
        <v>1115</v>
      </c>
      <c r="K374" s="377" t="s">
        <v>1112</v>
      </c>
      <c r="L374" s="449">
        <v>5</v>
      </c>
      <c r="M374" s="449">
        <v>35</v>
      </c>
      <c r="N374" s="448">
        <v>42309</v>
      </c>
    </row>
    <row r="375" spans="1:14">
      <c r="A375" s="562" t="s">
        <v>1536</v>
      </c>
      <c r="B375" s="560" t="s">
        <v>677</v>
      </c>
      <c r="C375" s="193">
        <v>42303</v>
      </c>
      <c r="D375" s="193">
        <v>42303</v>
      </c>
      <c r="E375" s="562" t="s">
        <v>171</v>
      </c>
      <c r="F375" s="562" t="s">
        <v>1110</v>
      </c>
      <c r="G375" s="563" t="s">
        <v>1116</v>
      </c>
      <c r="H375" s="562">
        <v>20</v>
      </c>
      <c r="I375" s="560">
        <v>20</v>
      </c>
      <c r="J375" s="562"/>
      <c r="K375" s="562" t="s">
        <v>1112</v>
      </c>
      <c r="L375" s="447">
        <v>2</v>
      </c>
      <c r="M375" s="447">
        <v>8</v>
      </c>
      <c r="N375" s="448">
        <v>42312</v>
      </c>
    </row>
    <row r="376" spans="1:14">
      <c r="A376" s="559" t="s">
        <v>1534</v>
      </c>
      <c r="B376" s="560">
        <v>25</v>
      </c>
      <c r="C376" s="193">
        <v>42303</v>
      </c>
      <c r="D376" s="193">
        <v>42303</v>
      </c>
      <c r="E376" s="561" t="s">
        <v>195</v>
      </c>
      <c r="F376" s="562" t="s">
        <v>1110</v>
      </c>
      <c r="G376" s="563" t="s">
        <v>1111</v>
      </c>
      <c r="H376" s="562">
        <v>98</v>
      </c>
      <c r="I376" s="560">
        <v>98</v>
      </c>
      <c r="J376" s="562"/>
      <c r="K376" s="377" t="s">
        <v>1112</v>
      </c>
      <c r="L376" s="447">
        <v>6</v>
      </c>
      <c r="M376" s="447">
        <v>42</v>
      </c>
      <c r="N376" s="448">
        <v>42312</v>
      </c>
    </row>
    <row r="377" spans="1:14">
      <c r="A377" s="559" t="s">
        <v>1534</v>
      </c>
      <c r="B377" s="560">
        <v>25</v>
      </c>
      <c r="C377" s="193">
        <v>42303</v>
      </c>
      <c r="D377" s="193">
        <v>42303</v>
      </c>
      <c r="E377" s="562" t="s">
        <v>177</v>
      </c>
      <c r="F377" s="562" t="s">
        <v>1110</v>
      </c>
      <c r="G377" s="562" t="s">
        <v>1113</v>
      </c>
      <c r="H377" s="562">
        <v>40</v>
      </c>
      <c r="I377" s="560">
        <v>40</v>
      </c>
      <c r="J377" s="562"/>
      <c r="K377" s="562" t="s">
        <v>1112</v>
      </c>
      <c r="L377" s="447">
        <v>2</v>
      </c>
      <c r="M377" s="447">
        <v>8</v>
      </c>
      <c r="N377" s="448">
        <v>42305</v>
      </c>
    </row>
    <row r="378" spans="1:14">
      <c r="A378" s="559" t="s">
        <v>1534</v>
      </c>
      <c r="B378" s="560">
        <v>25</v>
      </c>
      <c r="C378" s="193">
        <v>42303</v>
      </c>
      <c r="D378" s="193">
        <v>42303</v>
      </c>
      <c r="E378" s="562" t="s">
        <v>223</v>
      </c>
      <c r="F378" s="562" t="s">
        <v>1110</v>
      </c>
      <c r="G378" s="562" t="s">
        <v>1114</v>
      </c>
      <c r="H378" s="562">
        <v>9</v>
      </c>
      <c r="I378" s="560">
        <v>9</v>
      </c>
      <c r="J378" s="562" t="s">
        <v>1115</v>
      </c>
      <c r="K378" s="377" t="s">
        <v>1112</v>
      </c>
      <c r="L378" s="449">
        <v>5</v>
      </c>
      <c r="M378" s="449">
        <v>35</v>
      </c>
      <c r="N378" s="448">
        <v>42309</v>
      </c>
    </row>
    <row r="379" spans="1:14">
      <c r="A379" s="559" t="s">
        <v>1534</v>
      </c>
      <c r="B379" s="560">
        <v>25</v>
      </c>
      <c r="C379" s="193">
        <v>42303</v>
      </c>
      <c r="D379" s="193">
        <v>42303</v>
      </c>
      <c r="E379" s="562" t="s">
        <v>171</v>
      </c>
      <c r="F379" s="562" t="s">
        <v>1110</v>
      </c>
      <c r="G379" s="563" t="s">
        <v>1116</v>
      </c>
      <c r="H379" s="562">
        <v>2</v>
      </c>
      <c r="I379" s="560"/>
      <c r="J379" s="562" t="s">
        <v>1121</v>
      </c>
      <c r="K379" s="562" t="s">
        <v>1112</v>
      </c>
      <c r="L379" s="447">
        <v>2</v>
      </c>
      <c r="M379" s="447">
        <v>8</v>
      </c>
      <c r="N379" s="448">
        <v>42312</v>
      </c>
    </row>
    <row r="380" spans="1:14" s="710" customFormat="1">
      <c r="A380" s="559" t="s">
        <v>1549</v>
      </c>
      <c r="B380" s="560">
        <v>77</v>
      </c>
      <c r="C380" s="193">
        <v>42303</v>
      </c>
      <c r="D380" s="193">
        <v>42303</v>
      </c>
      <c r="E380" s="561" t="s">
        <v>195</v>
      </c>
      <c r="F380" s="562" t="s">
        <v>1110</v>
      </c>
      <c r="G380" s="563" t="s">
        <v>1111</v>
      </c>
      <c r="H380" s="562">
        <v>180</v>
      </c>
      <c r="I380" s="560">
        <v>180</v>
      </c>
      <c r="J380" s="562"/>
      <c r="K380" s="377" t="s">
        <v>1112</v>
      </c>
      <c r="L380" s="447">
        <v>6</v>
      </c>
      <c r="M380" s="447">
        <v>42</v>
      </c>
      <c r="N380" s="448">
        <v>42312</v>
      </c>
    </row>
    <row r="381" spans="1:14" s="710" customFormat="1">
      <c r="A381" s="559" t="s">
        <v>1549</v>
      </c>
      <c r="B381" s="560">
        <v>77</v>
      </c>
      <c r="C381" s="193">
        <v>42303</v>
      </c>
      <c r="D381" s="193">
        <v>42303</v>
      </c>
      <c r="E381" s="562" t="s">
        <v>171</v>
      </c>
      <c r="F381" s="562" t="s">
        <v>1110</v>
      </c>
      <c r="G381" s="563" t="s">
        <v>1116</v>
      </c>
      <c r="H381" s="562">
        <v>32</v>
      </c>
      <c r="I381" s="560">
        <v>32</v>
      </c>
      <c r="J381" s="562"/>
      <c r="K381" s="562" t="s">
        <v>1112</v>
      </c>
      <c r="L381" s="447">
        <v>2</v>
      </c>
      <c r="M381" s="447">
        <v>8</v>
      </c>
      <c r="N381" s="448">
        <v>42312</v>
      </c>
    </row>
    <row r="382" spans="1:14" s="710" customFormat="1">
      <c r="A382" s="559" t="s">
        <v>1550</v>
      </c>
      <c r="B382" s="560">
        <v>78</v>
      </c>
      <c r="C382" s="193">
        <v>42303</v>
      </c>
      <c r="D382" s="193">
        <v>42303</v>
      </c>
      <c r="E382" s="561" t="s">
        <v>195</v>
      </c>
      <c r="F382" s="562" t="s">
        <v>1110</v>
      </c>
      <c r="G382" s="563" t="s">
        <v>1111</v>
      </c>
      <c r="H382" s="562">
        <v>288</v>
      </c>
      <c r="I382" s="560">
        <v>288</v>
      </c>
      <c r="J382" s="562"/>
      <c r="K382" s="377" t="s">
        <v>1112</v>
      </c>
      <c r="L382" s="447">
        <v>6</v>
      </c>
      <c r="M382" s="447">
        <v>42</v>
      </c>
      <c r="N382" s="448">
        <v>42312</v>
      </c>
    </row>
    <row r="383" spans="1:14" s="710" customFormat="1">
      <c r="A383" s="559" t="s">
        <v>1550</v>
      </c>
      <c r="B383" s="560">
        <v>78</v>
      </c>
      <c r="C383" s="193">
        <v>42303</v>
      </c>
      <c r="D383" s="193">
        <v>42303</v>
      </c>
      <c r="E383" s="562" t="s">
        <v>171</v>
      </c>
      <c r="F383" s="562" t="s">
        <v>1110</v>
      </c>
      <c r="G383" s="563" t="s">
        <v>1116</v>
      </c>
      <c r="H383" s="562">
        <v>31</v>
      </c>
      <c r="I383" s="560">
        <v>31</v>
      </c>
      <c r="J383" s="562"/>
      <c r="K383" s="562" t="s">
        <v>1112</v>
      </c>
      <c r="L383" s="447">
        <v>2</v>
      </c>
      <c r="M383" s="447">
        <v>8</v>
      </c>
      <c r="N383" s="448">
        <v>42312</v>
      </c>
    </row>
    <row r="384" spans="1:14">
      <c r="A384" s="559" t="s">
        <v>1537</v>
      </c>
      <c r="B384" s="560">
        <v>5</v>
      </c>
      <c r="C384" s="193">
        <v>42303</v>
      </c>
      <c r="D384" s="193">
        <v>42303</v>
      </c>
      <c r="E384" s="561" t="s">
        <v>195</v>
      </c>
      <c r="F384" s="562" t="s">
        <v>1110</v>
      </c>
      <c r="G384" s="563" t="s">
        <v>1111</v>
      </c>
      <c r="H384" s="562">
        <v>220</v>
      </c>
      <c r="I384" s="560">
        <v>220</v>
      </c>
      <c r="J384" s="562"/>
      <c r="K384" s="377" t="s">
        <v>1112</v>
      </c>
      <c r="L384" s="447">
        <v>6</v>
      </c>
      <c r="M384" s="447">
        <v>42</v>
      </c>
      <c r="N384" s="448">
        <v>42312</v>
      </c>
    </row>
    <row r="385" spans="1:14">
      <c r="A385" s="559" t="s">
        <v>1537</v>
      </c>
      <c r="B385" s="560">
        <v>5</v>
      </c>
      <c r="C385" s="193">
        <v>42303</v>
      </c>
      <c r="D385" s="193">
        <v>42303</v>
      </c>
      <c r="E385" s="562" t="s">
        <v>177</v>
      </c>
      <c r="F385" s="562" t="s">
        <v>1110</v>
      </c>
      <c r="G385" s="562" t="s">
        <v>1113</v>
      </c>
      <c r="H385" s="562">
        <v>70</v>
      </c>
      <c r="I385" s="560">
        <v>70</v>
      </c>
      <c r="J385" s="562"/>
      <c r="K385" s="562" t="s">
        <v>1112</v>
      </c>
      <c r="L385" s="447">
        <v>2</v>
      </c>
      <c r="M385" s="447">
        <v>8</v>
      </c>
      <c r="N385" s="448">
        <v>42305</v>
      </c>
    </row>
    <row r="386" spans="1:14" s="710" customFormat="1">
      <c r="A386" s="559" t="s">
        <v>1537</v>
      </c>
      <c r="B386" s="560">
        <v>5</v>
      </c>
      <c r="C386" s="193">
        <v>42303</v>
      </c>
      <c r="D386" s="193">
        <v>42303</v>
      </c>
      <c r="E386" s="562" t="s">
        <v>223</v>
      </c>
      <c r="F386" s="562" t="s">
        <v>1110</v>
      </c>
      <c r="G386" s="562" t="s">
        <v>1114</v>
      </c>
      <c r="H386" s="562">
        <v>39</v>
      </c>
      <c r="I386" s="560">
        <v>39</v>
      </c>
      <c r="J386" s="562"/>
      <c r="K386" s="377" t="s">
        <v>1112</v>
      </c>
      <c r="L386" s="449">
        <v>5</v>
      </c>
      <c r="M386" s="449">
        <v>35</v>
      </c>
      <c r="N386" s="448">
        <v>42309</v>
      </c>
    </row>
    <row r="387" spans="1:14">
      <c r="A387" s="559" t="s">
        <v>1537</v>
      </c>
      <c r="B387" s="560">
        <v>5</v>
      </c>
      <c r="C387" s="193">
        <v>42303</v>
      </c>
      <c r="D387" s="193">
        <v>42303</v>
      </c>
      <c r="E387" s="562" t="s">
        <v>171</v>
      </c>
      <c r="F387" s="562" t="s">
        <v>1110</v>
      </c>
      <c r="G387" s="563" t="s">
        <v>1116</v>
      </c>
      <c r="H387" s="562">
        <v>10</v>
      </c>
      <c r="I387" s="560">
        <v>10</v>
      </c>
      <c r="J387" s="562"/>
      <c r="K387" s="562" t="s">
        <v>1112</v>
      </c>
      <c r="L387" s="447">
        <v>2</v>
      </c>
      <c r="M387" s="447">
        <v>8</v>
      </c>
      <c r="N387" s="448">
        <v>42312</v>
      </c>
    </row>
    <row r="388" spans="1:14">
      <c r="A388" s="559" t="s">
        <v>1538</v>
      </c>
      <c r="B388" s="560" t="s">
        <v>302</v>
      </c>
      <c r="C388" s="193">
        <v>42303</v>
      </c>
      <c r="D388" s="193">
        <v>42303</v>
      </c>
      <c r="E388" s="561" t="s">
        <v>195</v>
      </c>
      <c r="F388" s="562" t="s">
        <v>1110</v>
      </c>
      <c r="G388" s="563" t="s">
        <v>1111</v>
      </c>
      <c r="H388" s="562">
        <v>341</v>
      </c>
      <c r="I388" s="560">
        <v>341</v>
      </c>
      <c r="J388" s="562"/>
      <c r="K388" s="377" t="s">
        <v>1112</v>
      </c>
      <c r="L388" s="447">
        <v>6</v>
      </c>
      <c r="M388" s="447">
        <v>42</v>
      </c>
      <c r="N388" s="448">
        <v>42312</v>
      </c>
    </row>
    <row r="389" spans="1:14">
      <c r="A389" s="559" t="s">
        <v>1538</v>
      </c>
      <c r="B389" s="560" t="s">
        <v>302</v>
      </c>
      <c r="C389" s="193">
        <v>42303</v>
      </c>
      <c r="D389" s="193">
        <v>42303</v>
      </c>
      <c r="E389" s="562" t="s">
        <v>177</v>
      </c>
      <c r="F389" s="562" t="s">
        <v>1110</v>
      </c>
      <c r="G389" s="562" t="s">
        <v>1113</v>
      </c>
      <c r="H389" s="562">
        <v>147</v>
      </c>
      <c r="I389" s="560">
        <v>147</v>
      </c>
      <c r="J389" s="562"/>
      <c r="K389" s="377" t="s">
        <v>1112</v>
      </c>
      <c r="L389" s="447">
        <v>2</v>
      </c>
      <c r="M389" s="447">
        <v>8</v>
      </c>
      <c r="N389" s="448">
        <v>42305</v>
      </c>
    </row>
    <row r="390" spans="1:14">
      <c r="A390" s="559" t="s">
        <v>1538</v>
      </c>
      <c r="B390" s="560" t="s">
        <v>302</v>
      </c>
      <c r="C390" s="193">
        <v>42303</v>
      </c>
      <c r="D390" s="193">
        <v>42303</v>
      </c>
      <c r="E390" s="562" t="s">
        <v>223</v>
      </c>
      <c r="F390" s="562" t="s">
        <v>1110</v>
      </c>
      <c r="G390" s="562" t="s">
        <v>1114</v>
      </c>
      <c r="H390" s="562">
        <v>100</v>
      </c>
      <c r="I390" s="560">
        <v>100</v>
      </c>
      <c r="J390" s="562"/>
      <c r="K390" s="562" t="s">
        <v>1112</v>
      </c>
      <c r="L390" s="449">
        <v>5</v>
      </c>
      <c r="M390" s="449">
        <v>35</v>
      </c>
      <c r="N390" s="448">
        <v>42309</v>
      </c>
    </row>
    <row r="391" spans="1:14">
      <c r="A391" s="559" t="s">
        <v>1538</v>
      </c>
      <c r="B391" s="560" t="s">
        <v>302</v>
      </c>
      <c r="C391" s="193">
        <v>42303</v>
      </c>
      <c r="D391" s="193">
        <v>42303</v>
      </c>
      <c r="E391" s="562" t="s">
        <v>171</v>
      </c>
      <c r="F391" s="562" t="s">
        <v>1110</v>
      </c>
      <c r="G391" s="563" t="s">
        <v>1116</v>
      </c>
      <c r="H391" s="562">
        <v>27</v>
      </c>
      <c r="I391" s="560">
        <v>27</v>
      </c>
      <c r="J391" s="562"/>
      <c r="K391" s="562" t="s">
        <v>1112</v>
      </c>
      <c r="L391" s="447">
        <v>2</v>
      </c>
      <c r="M391" s="447">
        <v>8</v>
      </c>
      <c r="N391" s="448">
        <v>42312</v>
      </c>
    </row>
    <row r="392" spans="1:14">
      <c r="A392" s="559" t="s">
        <v>1540</v>
      </c>
      <c r="B392" s="560">
        <v>9</v>
      </c>
      <c r="C392" s="193">
        <v>42303</v>
      </c>
      <c r="D392" s="193">
        <v>42303</v>
      </c>
      <c r="E392" s="561" t="s">
        <v>195</v>
      </c>
      <c r="F392" s="562" t="s">
        <v>1110</v>
      </c>
      <c r="G392" s="563" t="s">
        <v>1111</v>
      </c>
      <c r="H392" s="562">
        <v>441</v>
      </c>
      <c r="I392" s="560">
        <v>441</v>
      </c>
      <c r="J392" s="562"/>
      <c r="K392" s="377" t="s">
        <v>1112</v>
      </c>
      <c r="L392" s="447">
        <v>6</v>
      </c>
      <c r="M392" s="447">
        <v>42</v>
      </c>
      <c r="N392" s="448">
        <v>42312</v>
      </c>
    </row>
    <row r="393" spans="1:14">
      <c r="A393" s="559" t="s">
        <v>1540</v>
      </c>
      <c r="B393" s="560">
        <v>9</v>
      </c>
      <c r="C393" s="193">
        <v>42303</v>
      </c>
      <c r="D393" s="193">
        <v>42303</v>
      </c>
      <c r="E393" s="562" t="s">
        <v>177</v>
      </c>
      <c r="F393" s="562" t="s">
        <v>1110</v>
      </c>
      <c r="G393" s="562" t="s">
        <v>1113</v>
      </c>
      <c r="H393" s="562">
        <v>288</v>
      </c>
      <c r="I393" s="560">
        <v>288</v>
      </c>
      <c r="J393" s="562"/>
      <c r="K393" s="562" t="s">
        <v>1112</v>
      </c>
      <c r="L393" s="447">
        <v>2</v>
      </c>
      <c r="M393" s="447">
        <v>8</v>
      </c>
      <c r="N393" s="448">
        <v>42305</v>
      </c>
    </row>
    <row r="394" spans="1:14">
      <c r="A394" s="559" t="s">
        <v>1540</v>
      </c>
      <c r="B394" s="560">
        <v>9</v>
      </c>
      <c r="C394" s="193">
        <v>42303</v>
      </c>
      <c r="D394" s="193">
        <v>42303</v>
      </c>
      <c r="E394" s="562" t="s">
        <v>223</v>
      </c>
      <c r="F394" s="562" t="s">
        <v>1110</v>
      </c>
      <c r="G394" s="562" t="s">
        <v>1114</v>
      </c>
      <c r="H394" s="562">
        <v>44</v>
      </c>
      <c r="I394" s="560">
        <v>44</v>
      </c>
      <c r="J394" s="562"/>
      <c r="K394" s="377" t="s">
        <v>1112</v>
      </c>
      <c r="L394" s="449">
        <v>5</v>
      </c>
      <c r="M394" s="449">
        <v>35</v>
      </c>
      <c r="N394" s="448">
        <v>42309</v>
      </c>
    </row>
    <row r="395" spans="1:14">
      <c r="A395" s="559" t="s">
        <v>1540</v>
      </c>
      <c r="B395" s="560">
        <v>9</v>
      </c>
      <c r="C395" s="193">
        <v>42303</v>
      </c>
      <c r="D395" s="193">
        <v>42303</v>
      </c>
      <c r="E395" s="562" t="s">
        <v>171</v>
      </c>
      <c r="F395" s="562" t="s">
        <v>1110</v>
      </c>
      <c r="G395" s="563" t="s">
        <v>1116</v>
      </c>
      <c r="H395" s="562">
        <v>20</v>
      </c>
      <c r="I395" s="560">
        <v>20</v>
      </c>
      <c r="J395" s="562"/>
      <c r="K395" s="562" t="s">
        <v>1112</v>
      </c>
      <c r="L395" s="447">
        <v>2</v>
      </c>
      <c r="M395" s="447">
        <v>8</v>
      </c>
      <c r="N395" s="448">
        <v>42312</v>
      </c>
    </row>
    <row r="396" spans="1:14">
      <c r="A396" s="559" t="s">
        <v>1541</v>
      </c>
      <c r="B396" s="560">
        <v>12</v>
      </c>
      <c r="C396" s="193">
        <v>42303</v>
      </c>
      <c r="D396" s="193">
        <v>42303</v>
      </c>
      <c r="E396" s="561" t="s">
        <v>195</v>
      </c>
      <c r="F396" s="562" t="s">
        <v>1110</v>
      </c>
      <c r="G396" s="563" t="s">
        <v>1111</v>
      </c>
      <c r="H396" s="562">
        <v>567</v>
      </c>
      <c r="I396" s="560">
        <v>567</v>
      </c>
      <c r="J396" s="562"/>
      <c r="K396" s="377" t="s">
        <v>1112</v>
      </c>
      <c r="L396" s="447">
        <v>6</v>
      </c>
      <c r="M396" s="447">
        <v>42</v>
      </c>
      <c r="N396" s="448">
        <v>42312</v>
      </c>
    </row>
    <row r="397" spans="1:14">
      <c r="A397" s="559" t="s">
        <v>1541</v>
      </c>
      <c r="B397" s="560">
        <v>12</v>
      </c>
      <c r="C397" s="193">
        <v>42303</v>
      </c>
      <c r="D397" s="193">
        <v>42303</v>
      </c>
      <c r="E397" s="562" t="s">
        <v>177</v>
      </c>
      <c r="F397" s="562" t="s">
        <v>1110</v>
      </c>
      <c r="G397" s="562" t="s">
        <v>1113</v>
      </c>
      <c r="H397" s="562">
        <v>454</v>
      </c>
      <c r="I397" s="560">
        <v>454</v>
      </c>
      <c r="J397" s="562"/>
      <c r="K397" s="562" t="s">
        <v>1112</v>
      </c>
      <c r="L397" s="447">
        <v>2</v>
      </c>
      <c r="M397" s="447">
        <v>8</v>
      </c>
      <c r="N397" s="448">
        <v>42305</v>
      </c>
    </row>
    <row r="398" spans="1:14">
      <c r="A398" s="559" t="s">
        <v>1541</v>
      </c>
      <c r="B398" s="560">
        <v>12</v>
      </c>
      <c r="C398" s="193">
        <v>42303</v>
      </c>
      <c r="D398" s="193">
        <v>42303</v>
      </c>
      <c r="E398" s="562" t="s">
        <v>223</v>
      </c>
      <c r="F398" s="562" t="s">
        <v>1110</v>
      </c>
      <c r="G398" s="562" t="s">
        <v>1114</v>
      </c>
      <c r="H398" s="562">
        <v>25</v>
      </c>
      <c r="I398" s="560">
        <v>25</v>
      </c>
      <c r="J398" s="562" t="s">
        <v>1115</v>
      </c>
      <c r="K398" s="377" t="s">
        <v>1112</v>
      </c>
      <c r="L398" s="449">
        <v>5</v>
      </c>
      <c r="M398" s="449">
        <v>35</v>
      </c>
      <c r="N398" s="448">
        <v>42309</v>
      </c>
    </row>
    <row r="399" spans="1:14">
      <c r="A399" s="559" t="s">
        <v>1541</v>
      </c>
      <c r="B399" s="560">
        <v>12</v>
      </c>
      <c r="C399" s="193">
        <v>42303</v>
      </c>
      <c r="D399" s="193">
        <v>42303</v>
      </c>
      <c r="E399" s="562" t="s">
        <v>171</v>
      </c>
      <c r="F399" s="562" t="s">
        <v>1110</v>
      </c>
      <c r="G399" s="563" t="s">
        <v>1116</v>
      </c>
      <c r="H399" s="562">
        <v>39</v>
      </c>
      <c r="I399" s="560">
        <v>39</v>
      </c>
      <c r="J399" s="562"/>
      <c r="K399" s="562" t="s">
        <v>1112</v>
      </c>
      <c r="L399" s="447">
        <v>2</v>
      </c>
      <c r="M399" s="447">
        <v>8</v>
      </c>
      <c r="N399" s="448">
        <v>42312</v>
      </c>
    </row>
    <row r="400" spans="1:14">
      <c r="A400" s="559" t="s">
        <v>1542</v>
      </c>
      <c r="B400" s="560" t="s">
        <v>303</v>
      </c>
      <c r="C400" s="193">
        <v>42303</v>
      </c>
      <c r="D400" s="193">
        <v>42303</v>
      </c>
      <c r="E400" s="561" t="s">
        <v>195</v>
      </c>
      <c r="F400" s="562" t="s">
        <v>1110</v>
      </c>
      <c r="G400" s="563" t="s">
        <v>1111</v>
      </c>
      <c r="H400" s="562">
        <v>548</v>
      </c>
      <c r="I400" s="560">
        <v>548</v>
      </c>
      <c r="J400" s="562"/>
      <c r="K400" s="377" t="s">
        <v>1112</v>
      </c>
      <c r="L400" s="447">
        <v>6</v>
      </c>
      <c r="M400" s="447">
        <v>42</v>
      </c>
      <c r="N400" s="448">
        <v>42312</v>
      </c>
    </row>
    <row r="401" spans="1:14">
      <c r="A401" s="559" t="s">
        <v>1542</v>
      </c>
      <c r="B401" s="560" t="s">
        <v>303</v>
      </c>
      <c r="C401" s="193">
        <v>42303</v>
      </c>
      <c r="D401" s="193">
        <v>42303</v>
      </c>
      <c r="E401" s="562" t="s">
        <v>177</v>
      </c>
      <c r="F401" s="562" t="s">
        <v>1110</v>
      </c>
      <c r="G401" s="562" t="s">
        <v>1113</v>
      </c>
      <c r="H401" s="562">
        <v>464</v>
      </c>
      <c r="I401" s="560">
        <v>464</v>
      </c>
      <c r="J401" s="562"/>
      <c r="K401" s="562" t="s">
        <v>1112</v>
      </c>
      <c r="L401" s="447">
        <v>2</v>
      </c>
      <c r="M401" s="447">
        <v>8</v>
      </c>
      <c r="N401" s="448">
        <v>42305</v>
      </c>
    </row>
    <row r="402" spans="1:14">
      <c r="A402" s="559" t="s">
        <v>1542</v>
      </c>
      <c r="B402" s="560" t="s">
        <v>303</v>
      </c>
      <c r="C402" s="193">
        <v>42303</v>
      </c>
      <c r="D402" s="193">
        <v>42303</v>
      </c>
      <c r="E402" s="562" t="s">
        <v>223</v>
      </c>
      <c r="F402" s="562" t="s">
        <v>1110</v>
      </c>
      <c r="G402" s="562" t="s">
        <v>1114</v>
      </c>
      <c r="H402" s="562">
        <v>13</v>
      </c>
      <c r="I402" s="560">
        <v>13</v>
      </c>
      <c r="J402" s="562" t="s">
        <v>1115</v>
      </c>
      <c r="K402" s="377" t="s">
        <v>1112</v>
      </c>
      <c r="L402" s="449">
        <v>5</v>
      </c>
      <c r="M402" s="449">
        <v>35</v>
      </c>
      <c r="N402" s="448">
        <v>42309</v>
      </c>
    </row>
    <row r="403" spans="1:14">
      <c r="A403" s="559" t="s">
        <v>1542</v>
      </c>
      <c r="B403" s="560" t="s">
        <v>303</v>
      </c>
      <c r="C403" s="193">
        <v>42303</v>
      </c>
      <c r="D403" s="193">
        <v>42303</v>
      </c>
      <c r="E403" s="562" t="s">
        <v>171</v>
      </c>
      <c r="F403" s="562" t="s">
        <v>1110</v>
      </c>
      <c r="G403" s="563" t="s">
        <v>1116</v>
      </c>
      <c r="H403" s="562">
        <v>14</v>
      </c>
      <c r="I403" s="560">
        <v>14</v>
      </c>
      <c r="J403" s="562"/>
      <c r="K403" s="562" t="s">
        <v>1112</v>
      </c>
      <c r="L403" s="447">
        <v>2</v>
      </c>
      <c r="M403" s="447">
        <v>8</v>
      </c>
      <c r="N403" s="448">
        <v>42312</v>
      </c>
    </row>
    <row r="404" spans="1:14">
      <c r="A404" s="559" t="s">
        <v>1543</v>
      </c>
      <c r="B404" s="560" t="s">
        <v>679</v>
      </c>
      <c r="C404" s="193">
        <v>42303</v>
      </c>
      <c r="D404" s="193">
        <v>42303</v>
      </c>
      <c r="E404" s="561" t="s">
        <v>195</v>
      </c>
      <c r="F404" s="562" t="s">
        <v>1110</v>
      </c>
      <c r="G404" s="563" t="s">
        <v>1111</v>
      </c>
      <c r="H404" s="562">
        <v>581</v>
      </c>
      <c r="I404" s="560">
        <v>581</v>
      </c>
      <c r="J404" s="562"/>
      <c r="K404" s="377" t="s">
        <v>1112</v>
      </c>
      <c r="L404" s="447">
        <v>6</v>
      </c>
      <c r="M404" s="447">
        <v>42</v>
      </c>
      <c r="N404" s="448">
        <v>42312</v>
      </c>
    </row>
    <row r="405" spans="1:14">
      <c r="A405" s="559" t="s">
        <v>1543</v>
      </c>
      <c r="B405" s="560" t="s">
        <v>679</v>
      </c>
      <c r="C405" s="193">
        <v>42303</v>
      </c>
      <c r="D405" s="193">
        <v>42303</v>
      </c>
      <c r="E405" s="562" t="s">
        <v>177</v>
      </c>
      <c r="F405" s="562" t="s">
        <v>1110</v>
      </c>
      <c r="G405" s="562" t="s">
        <v>1113</v>
      </c>
      <c r="H405" s="562">
        <v>486</v>
      </c>
      <c r="I405" s="560">
        <v>486</v>
      </c>
      <c r="J405" s="562"/>
      <c r="K405" s="562" t="s">
        <v>1112</v>
      </c>
      <c r="L405" s="447">
        <v>2</v>
      </c>
      <c r="M405" s="447">
        <v>8</v>
      </c>
      <c r="N405" s="448">
        <v>42305</v>
      </c>
    </row>
    <row r="406" spans="1:14">
      <c r="A406" s="559" t="s">
        <v>1543</v>
      </c>
      <c r="B406" s="560" t="s">
        <v>679</v>
      </c>
      <c r="C406" s="193">
        <v>42303</v>
      </c>
      <c r="D406" s="193">
        <v>42303</v>
      </c>
      <c r="E406" s="562" t="s">
        <v>223</v>
      </c>
      <c r="F406" s="562" t="s">
        <v>1110</v>
      </c>
      <c r="G406" s="562" t="s">
        <v>1114</v>
      </c>
      <c r="H406" s="562">
        <v>10</v>
      </c>
      <c r="I406" s="560">
        <v>10</v>
      </c>
      <c r="J406" s="562" t="s">
        <v>1115</v>
      </c>
      <c r="K406" s="377" t="s">
        <v>1112</v>
      </c>
      <c r="L406" s="449">
        <v>5</v>
      </c>
      <c r="M406" s="449">
        <v>35</v>
      </c>
      <c r="N406" s="448">
        <v>42309</v>
      </c>
    </row>
    <row r="407" spans="1:14">
      <c r="A407" s="559" t="s">
        <v>1543</v>
      </c>
      <c r="B407" s="560" t="s">
        <v>679</v>
      </c>
      <c r="C407" s="193">
        <v>42303</v>
      </c>
      <c r="D407" s="193">
        <v>42303</v>
      </c>
      <c r="E407" s="562" t="s">
        <v>171</v>
      </c>
      <c r="F407" s="562" t="s">
        <v>1110</v>
      </c>
      <c r="G407" s="563" t="s">
        <v>1116</v>
      </c>
      <c r="H407" s="562">
        <v>13</v>
      </c>
      <c r="I407" s="560">
        <v>13</v>
      </c>
      <c r="J407" s="562"/>
      <c r="K407" s="562" t="s">
        <v>1112</v>
      </c>
      <c r="L407" s="447">
        <v>2</v>
      </c>
      <c r="M407" s="447">
        <v>8</v>
      </c>
      <c r="N407" s="448">
        <v>42312</v>
      </c>
    </row>
    <row r="408" spans="1:14">
      <c r="A408" s="559" t="s">
        <v>1544</v>
      </c>
      <c r="B408" s="560">
        <v>34</v>
      </c>
      <c r="C408" s="193">
        <v>42303</v>
      </c>
      <c r="D408" s="193">
        <v>42303</v>
      </c>
      <c r="E408" s="561" t="s">
        <v>195</v>
      </c>
      <c r="F408" s="562" t="s">
        <v>1110</v>
      </c>
      <c r="G408" s="563" t="s">
        <v>1111</v>
      </c>
      <c r="H408" s="562">
        <v>1179</v>
      </c>
      <c r="I408" s="560">
        <v>1179</v>
      </c>
      <c r="J408" s="562"/>
      <c r="K408" s="377" t="s">
        <v>1112</v>
      </c>
      <c r="L408" s="447">
        <v>6</v>
      </c>
      <c r="M408" s="447">
        <v>42</v>
      </c>
      <c r="N408" s="448">
        <v>42312</v>
      </c>
    </row>
    <row r="409" spans="1:14">
      <c r="A409" s="559" t="s">
        <v>1544</v>
      </c>
      <c r="B409" s="560">
        <v>34</v>
      </c>
      <c r="C409" s="193">
        <v>42303</v>
      </c>
      <c r="D409" s="193">
        <v>42303</v>
      </c>
      <c r="E409" s="562" t="s">
        <v>177</v>
      </c>
      <c r="F409" s="562" t="s">
        <v>1110</v>
      </c>
      <c r="G409" s="562" t="s">
        <v>1113</v>
      </c>
      <c r="H409" s="562">
        <v>1039</v>
      </c>
      <c r="I409" s="560">
        <v>1039</v>
      </c>
      <c r="J409" s="562"/>
      <c r="K409" s="562" t="s">
        <v>1112</v>
      </c>
      <c r="L409" s="447">
        <v>2</v>
      </c>
      <c r="M409" s="447">
        <v>8</v>
      </c>
      <c r="N409" s="448">
        <v>42305</v>
      </c>
    </row>
    <row r="410" spans="1:14">
      <c r="A410" s="559" t="s">
        <v>1544</v>
      </c>
      <c r="B410" s="560">
        <v>34</v>
      </c>
      <c r="C410" s="193">
        <v>42303</v>
      </c>
      <c r="D410" s="193">
        <v>42303</v>
      </c>
      <c r="E410" s="562" t="s">
        <v>223</v>
      </c>
      <c r="F410" s="562" t="s">
        <v>1110</v>
      </c>
      <c r="G410" s="562" t="s">
        <v>1114</v>
      </c>
      <c r="H410" s="562">
        <v>9</v>
      </c>
      <c r="I410" s="560">
        <v>9</v>
      </c>
      <c r="J410" s="562" t="s">
        <v>1115</v>
      </c>
      <c r="K410" s="377" t="s">
        <v>1112</v>
      </c>
      <c r="L410" s="449">
        <v>5</v>
      </c>
      <c r="M410" s="449">
        <v>35</v>
      </c>
      <c r="N410" s="448">
        <v>42309</v>
      </c>
    </row>
    <row r="411" spans="1:14">
      <c r="A411" s="559" t="s">
        <v>1544</v>
      </c>
      <c r="B411" s="560">
        <v>34</v>
      </c>
      <c r="C411" s="193">
        <v>42303</v>
      </c>
      <c r="D411" s="193">
        <v>42303</v>
      </c>
      <c r="E411" s="562" t="s">
        <v>171</v>
      </c>
      <c r="F411" s="562" t="s">
        <v>1110</v>
      </c>
      <c r="G411" s="563" t="s">
        <v>1116</v>
      </c>
      <c r="H411" s="562">
        <v>5</v>
      </c>
      <c r="I411" s="560">
        <v>5</v>
      </c>
      <c r="J411" s="562" t="s">
        <v>1115</v>
      </c>
      <c r="K411" s="562" t="s">
        <v>1112</v>
      </c>
      <c r="L411" s="447">
        <v>2</v>
      </c>
      <c r="M411" s="447">
        <v>8</v>
      </c>
      <c r="N411" s="448">
        <v>42312</v>
      </c>
    </row>
    <row r="412" spans="1:14">
      <c r="A412" s="559" t="s">
        <v>1547</v>
      </c>
      <c r="B412" s="560">
        <v>35</v>
      </c>
      <c r="C412" s="193">
        <v>42303</v>
      </c>
      <c r="D412" s="193">
        <v>42303</v>
      </c>
      <c r="E412" s="561" t="s">
        <v>195</v>
      </c>
      <c r="F412" s="562" t="s">
        <v>1110</v>
      </c>
      <c r="G412" s="563" t="s">
        <v>1111</v>
      </c>
      <c r="H412" s="562">
        <v>399</v>
      </c>
      <c r="I412" s="560">
        <v>399</v>
      </c>
      <c r="J412" s="562"/>
      <c r="K412" s="377" t="s">
        <v>1112</v>
      </c>
      <c r="L412" s="447">
        <v>6</v>
      </c>
      <c r="M412" s="447">
        <v>42</v>
      </c>
      <c r="N412" s="448">
        <v>42312</v>
      </c>
    </row>
    <row r="413" spans="1:14">
      <c r="A413" s="559" t="s">
        <v>1547</v>
      </c>
      <c r="B413" s="560">
        <v>35</v>
      </c>
      <c r="C413" s="193">
        <v>42303</v>
      </c>
      <c r="D413" s="193">
        <v>42303</v>
      </c>
      <c r="E413" s="562" t="s">
        <v>177</v>
      </c>
      <c r="F413" s="562" t="s">
        <v>1110</v>
      </c>
      <c r="G413" s="562" t="s">
        <v>1113</v>
      </c>
      <c r="H413" s="562">
        <v>377</v>
      </c>
      <c r="I413" s="560">
        <v>377</v>
      </c>
      <c r="J413" s="562"/>
      <c r="K413" s="562" t="s">
        <v>1112</v>
      </c>
      <c r="L413" s="447">
        <v>2</v>
      </c>
      <c r="M413" s="447">
        <v>8</v>
      </c>
      <c r="N413" s="448">
        <v>42305</v>
      </c>
    </row>
    <row r="414" spans="1:14">
      <c r="A414" s="559" t="s">
        <v>1547</v>
      </c>
      <c r="B414" s="560">
        <v>35</v>
      </c>
      <c r="C414" s="193">
        <v>42303</v>
      </c>
      <c r="D414" s="193">
        <v>42303</v>
      </c>
      <c r="E414" s="562" t="s">
        <v>223</v>
      </c>
      <c r="F414" s="562" t="s">
        <v>1110</v>
      </c>
      <c r="G414" s="562" t="s">
        <v>1114</v>
      </c>
      <c r="H414" s="562">
        <v>13</v>
      </c>
      <c r="I414" s="560">
        <v>13</v>
      </c>
      <c r="J414" s="562" t="s">
        <v>1115</v>
      </c>
      <c r="K414" s="377" t="s">
        <v>1112</v>
      </c>
      <c r="L414" s="449">
        <v>5</v>
      </c>
      <c r="M414" s="449">
        <v>35</v>
      </c>
      <c r="N414" s="448">
        <v>42309</v>
      </c>
    </row>
    <row r="415" spans="1:14">
      <c r="A415" s="559" t="s">
        <v>1547</v>
      </c>
      <c r="B415" s="560">
        <v>35</v>
      </c>
      <c r="C415" s="193">
        <v>42303</v>
      </c>
      <c r="D415" s="193">
        <v>42303</v>
      </c>
      <c r="E415" s="562" t="s">
        <v>171</v>
      </c>
      <c r="F415" s="562" t="s">
        <v>1110</v>
      </c>
      <c r="G415" s="563" t="s">
        <v>1116</v>
      </c>
      <c r="H415" s="562">
        <v>8</v>
      </c>
      <c r="I415" s="560">
        <v>8</v>
      </c>
      <c r="J415" s="562" t="s">
        <v>1115</v>
      </c>
      <c r="K415" s="562" t="s">
        <v>1112</v>
      </c>
      <c r="L415" s="447">
        <v>2</v>
      </c>
      <c r="M415" s="447">
        <v>8</v>
      </c>
      <c r="N415" s="448">
        <v>42312</v>
      </c>
    </row>
    <row r="416" spans="1:14">
      <c r="A416" s="559" t="s">
        <v>1548</v>
      </c>
      <c r="B416" s="560">
        <v>50</v>
      </c>
      <c r="C416" s="193">
        <v>42303</v>
      </c>
      <c r="D416" s="193">
        <v>42303</v>
      </c>
      <c r="E416" s="561" t="s">
        <v>195</v>
      </c>
      <c r="F416" s="562" t="s">
        <v>1110</v>
      </c>
      <c r="G416" s="563" t="s">
        <v>1111</v>
      </c>
      <c r="H416" s="562">
        <v>439</v>
      </c>
      <c r="I416" s="560">
        <v>439</v>
      </c>
      <c r="J416" s="562"/>
      <c r="K416" s="377" t="s">
        <v>1112</v>
      </c>
      <c r="L416" s="447">
        <v>6</v>
      </c>
      <c r="M416" s="447">
        <v>42</v>
      </c>
      <c r="N416" s="448">
        <v>42312</v>
      </c>
    </row>
    <row r="417" spans="1:14">
      <c r="A417" s="559" t="s">
        <v>1548</v>
      </c>
      <c r="B417" s="560">
        <v>50</v>
      </c>
      <c r="C417" s="193">
        <v>42303</v>
      </c>
      <c r="D417" s="193">
        <v>42303</v>
      </c>
      <c r="E417" s="562" t="s">
        <v>177</v>
      </c>
      <c r="F417" s="562" t="s">
        <v>1110</v>
      </c>
      <c r="G417" s="562" t="s">
        <v>1113</v>
      </c>
      <c r="H417" s="562">
        <v>39</v>
      </c>
      <c r="I417" s="560">
        <v>39</v>
      </c>
      <c r="J417" s="562"/>
      <c r="K417" s="562" t="s">
        <v>1112</v>
      </c>
      <c r="L417" s="447">
        <v>2</v>
      </c>
      <c r="M417" s="447">
        <v>8</v>
      </c>
      <c r="N417" s="448">
        <v>42305</v>
      </c>
    </row>
    <row r="418" spans="1:14">
      <c r="A418" s="559" t="s">
        <v>1548</v>
      </c>
      <c r="B418" s="560">
        <v>50</v>
      </c>
      <c r="C418" s="193">
        <v>42303</v>
      </c>
      <c r="D418" s="193">
        <v>42303</v>
      </c>
      <c r="E418" s="562" t="s">
        <v>223</v>
      </c>
      <c r="F418" s="562" t="s">
        <v>1110</v>
      </c>
      <c r="G418" s="562" t="s">
        <v>1114</v>
      </c>
      <c r="H418" s="562">
        <v>13</v>
      </c>
      <c r="I418" s="560">
        <v>13</v>
      </c>
      <c r="J418" s="562" t="s">
        <v>1115</v>
      </c>
      <c r="K418" s="377" t="s">
        <v>1112</v>
      </c>
      <c r="L418" s="449">
        <v>5</v>
      </c>
      <c r="M418" s="449">
        <v>35</v>
      </c>
      <c r="N418" s="448">
        <v>42309</v>
      </c>
    </row>
    <row r="419" spans="1:14">
      <c r="A419" s="559" t="s">
        <v>1548</v>
      </c>
      <c r="B419" s="560">
        <v>50</v>
      </c>
      <c r="C419" s="193">
        <v>42303</v>
      </c>
      <c r="D419" s="193">
        <v>42303</v>
      </c>
      <c r="E419" s="562" t="s">
        <v>171</v>
      </c>
      <c r="F419" s="562" t="s">
        <v>1110</v>
      </c>
      <c r="G419" s="563" t="s">
        <v>1116</v>
      </c>
      <c r="H419" s="562">
        <v>13</v>
      </c>
      <c r="I419" s="560">
        <v>13</v>
      </c>
      <c r="J419" s="562"/>
      <c r="K419" s="562" t="s">
        <v>1112</v>
      </c>
      <c r="L419" s="447">
        <v>2</v>
      </c>
      <c r="M419" s="447">
        <v>8</v>
      </c>
      <c r="N419" s="448">
        <v>42312</v>
      </c>
    </row>
    <row r="420" spans="1:14">
      <c r="A420" s="559" t="s">
        <v>1532</v>
      </c>
      <c r="B420" s="560">
        <v>64</v>
      </c>
      <c r="C420" s="193">
        <v>42303</v>
      </c>
      <c r="D420" s="193">
        <v>42303</v>
      </c>
      <c r="E420" s="561" t="s">
        <v>195</v>
      </c>
      <c r="F420" s="562" t="s">
        <v>1110</v>
      </c>
      <c r="G420" s="563" t="s">
        <v>1111</v>
      </c>
      <c r="H420" s="562">
        <v>700</v>
      </c>
      <c r="I420" s="560">
        <v>700</v>
      </c>
      <c r="J420" s="562"/>
      <c r="K420" s="377" t="s">
        <v>1112</v>
      </c>
      <c r="L420" s="447">
        <v>6</v>
      </c>
      <c r="M420" s="447">
        <v>42</v>
      </c>
      <c r="N420" s="448">
        <v>42312</v>
      </c>
    </row>
    <row r="421" spans="1:14">
      <c r="A421" s="559" t="s">
        <v>1532</v>
      </c>
      <c r="B421" s="560">
        <v>64</v>
      </c>
      <c r="C421" s="193">
        <v>42303</v>
      </c>
      <c r="D421" s="193">
        <v>42303</v>
      </c>
      <c r="E421" s="562" t="s">
        <v>177</v>
      </c>
      <c r="F421" s="562" t="s">
        <v>1110</v>
      </c>
      <c r="G421" s="562" t="s">
        <v>1113</v>
      </c>
      <c r="H421" s="562">
        <v>417</v>
      </c>
      <c r="I421" s="560">
        <v>417</v>
      </c>
      <c r="J421" s="562"/>
      <c r="K421" s="562" t="s">
        <v>1112</v>
      </c>
      <c r="L421" s="447">
        <v>2</v>
      </c>
      <c r="M421" s="447">
        <v>8</v>
      </c>
      <c r="N421" s="448">
        <v>42305</v>
      </c>
    </row>
    <row r="422" spans="1:14">
      <c r="A422" s="559" t="s">
        <v>1532</v>
      </c>
      <c r="B422" s="560">
        <v>64</v>
      </c>
      <c r="C422" s="193">
        <v>42303</v>
      </c>
      <c r="D422" s="193">
        <v>42303</v>
      </c>
      <c r="E422" s="562" t="s">
        <v>223</v>
      </c>
      <c r="F422" s="562" t="s">
        <v>1110</v>
      </c>
      <c r="G422" s="562" t="s">
        <v>1114</v>
      </c>
      <c r="H422" s="562">
        <v>19</v>
      </c>
      <c r="I422" s="560">
        <v>19</v>
      </c>
      <c r="J422" s="562" t="s">
        <v>1115</v>
      </c>
      <c r="K422" s="377" t="s">
        <v>1112</v>
      </c>
      <c r="L422" s="449">
        <v>5</v>
      </c>
      <c r="M422" s="449">
        <v>35</v>
      </c>
      <c r="N422" s="448">
        <v>42309</v>
      </c>
    </row>
    <row r="423" spans="1:14">
      <c r="A423" s="559" t="s">
        <v>1532</v>
      </c>
      <c r="B423" s="560">
        <v>64</v>
      </c>
      <c r="C423" s="193">
        <v>42303</v>
      </c>
      <c r="D423" s="193">
        <v>42303</v>
      </c>
      <c r="E423" s="562" t="s">
        <v>171</v>
      </c>
      <c r="F423" s="562" t="s">
        <v>1110</v>
      </c>
      <c r="G423" s="563" t="s">
        <v>1116</v>
      </c>
      <c r="H423" s="562">
        <v>38</v>
      </c>
      <c r="I423" s="560">
        <v>38</v>
      </c>
      <c r="J423" s="562"/>
      <c r="K423" s="562" t="s">
        <v>1112</v>
      </c>
      <c r="L423" s="447">
        <v>2</v>
      </c>
      <c r="M423" s="447">
        <v>8</v>
      </c>
      <c r="N423" s="448">
        <v>42312</v>
      </c>
    </row>
    <row r="424" spans="1:14">
      <c r="A424" s="559" t="s">
        <v>1551</v>
      </c>
      <c r="B424" s="560">
        <v>79</v>
      </c>
      <c r="C424" s="193">
        <v>42303</v>
      </c>
      <c r="D424" s="193">
        <v>42303</v>
      </c>
      <c r="E424" s="561" t="s">
        <v>195</v>
      </c>
      <c r="F424" s="562" t="s">
        <v>1110</v>
      </c>
      <c r="G424" s="563" t="s">
        <v>1111</v>
      </c>
      <c r="H424" s="562">
        <v>1366</v>
      </c>
      <c r="I424" s="560">
        <v>1366</v>
      </c>
      <c r="J424" s="562"/>
      <c r="K424" s="377" t="s">
        <v>1112</v>
      </c>
      <c r="L424" s="447">
        <v>6</v>
      </c>
      <c r="M424" s="447">
        <v>42</v>
      </c>
      <c r="N424" s="448">
        <v>42312</v>
      </c>
    </row>
    <row r="425" spans="1:14">
      <c r="A425" s="559" t="s">
        <v>1551</v>
      </c>
      <c r="B425" s="560">
        <v>79</v>
      </c>
      <c r="C425" s="193">
        <v>42303</v>
      </c>
      <c r="D425" s="193">
        <v>42303</v>
      </c>
      <c r="E425" s="562" t="s">
        <v>171</v>
      </c>
      <c r="F425" s="562" t="s">
        <v>1110</v>
      </c>
      <c r="G425" s="563" t="s">
        <v>1116</v>
      </c>
      <c r="H425" s="562">
        <v>2</v>
      </c>
      <c r="I425" s="560">
        <v>2</v>
      </c>
      <c r="J425" s="562" t="s">
        <v>1115</v>
      </c>
      <c r="K425" s="562" t="s">
        <v>1112</v>
      </c>
      <c r="L425" s="447">
        <v>2</v>
      </c>
      <c r="M425" s="447">
        <v>8</v>
      </c>
      <c r="N425" s="448">
        <v>42312</v>
      </c>
    </row>
    <row r="426" spans="1:14">
      <c r="A426" s="559" t="s">
        <v>1552</v>
      </c>
      <c r="B426" s="560">
        <v>80</v>
      </c>
      <c r="C426" s="193">
        <v>42303</v>
      </c>
      <c r="D426" s="193">
        <v>42303</v>
      </c>
      <c r="E426" s="561" t="s">
        <v>195</v>
      </c>
      <c r="F426" s="562" t="s">
        <v>1110</v>
      </c>
      <c r="G426" s="563" t="s">
        <v>1111</v>
      </c>
      <c r="H426" s="562">
        <v>2249</v>
      </c>
      <c r="I426" s="560">
        <v>2249</v>
      </c>
      <c r="J426" s="562"/>
      <c r="K426" s="377" t="s">
        <v>1112</v>
      </c>
      <c r="L426" s="447">
        <v>6</v>
      </c>
      <c r="M426" s="447">
        <v>42</v>
      </c>
      <c r="N426" s="448">
        <v>42312</v>
      </c>
    </row>
    <row r="427" spans="1:14">
      <c r="A427" s="559" t="s">
        <v>1552</v>
      </c>
      <c r="B427" s="560">
        <v>80</v>
      </c>
      <c r="C427" s="193">
        <v>42303</v>
      </c>
      <c r="D427" s="193">
        <v>42303</v>
      </c>
      <c r="E427" s="562" t="s">
        <v>171</v>
      </c>
      <c r="F427" s="562" t="s">
        <v>1110</v>
      </c>
      <c r="G427" s="563" t="s">
        <v>1116</v>
      </c>
      <c r="H427" s="562">
        <v>86</v>
      </c>
      <c r="I427" s="560">
        <v>86</v>
      </c>
      <c r="J427" s="562"/>
      <c r="K427" s="562" t="s">
        <v>1112</v>
      </c>
      <c r="L427" s="447">
        <v>2</v>
      </c>
      <c r="M427" s="447">
        <v>8</v>
      </c>
      <c r="N427" s="448">
        <v>42312</v>
      </c>
    </row>
    <row r="428" spans="1:14">
      <c r="A428" s="559" t="s">
        <v>1539</v>
      </c>
      <c r="B428" s="560">
        <v>32</v>
      </c>
      <c r="C428" s="193">
        <v>42303</v>
      </c>
      <c r="D428" s="193">
        <v>42303</v>
      </c>
      <c r="E428" s="561" t="s">
        <v>195</v>
      </c>
      <c r="F428" s="562" t="s">
        <v>1110</v>
      </c>
      <c r="G428" s="563" t="s">
        <v>1111</v>
      </c>
      <c r="H428" s="562">
        <v>1777</v>
      </c>
      <c r="I428" s="560">
        <v>1777</v>
      </c>
      <c r="J428" s="562"/>
      <c r="K428" s="377" t="s">
        <v>1112</v>
      </c>
      <c r="L428" s="447">
        <v>6</v>
      </c>
      <c r="M428" s="447">
        <v>42</v>
      </c>
      <c r="N428" s="448">
        <v>42312</v>
      </c>
    </row>
    <row r="429" spans="1:14">
      <c r="A429" s="559" t="s">
        <v>1539</v>
      </c>
      <c r="B429" s="560">
        <v>32</v>
      </c>
      <c r="C429" s="193">
        <v>42303</v>
      </c>
      <c r="D429" s="193">
        <v>42303</v>
      </c>
      <c r="E429" s="562" t="s">
        <v>177</v>
      </c>
      <c r="F429" s="562" t="s">
        <v>1110</v>
      </c>
      <c r="G429" s="562" t="s">
        <v>1113</v>
      </c>
      <c r="H429" s="562">
        <v>1177</v>
      </c>
      <c r="I429" s="560">
        <v>1177</v>
      </c>
      <c r="J429" s="562"/>
      <c r="K429" s="562" t="s">
        <v>1112</v>
      </c>
      <c r="L429" s="447">
        <v>2</v>
      </c>
      <c r="M429" s="447">
        <v>8</v>
      </c>
      <c r="N429" s="448">
        <v>42305</v>
      </c>
    </row>
    <row r="430" spans="1:14">
      <c r="A430" s="559" t="s">
        <v>1539</v>
      </c>
      <c r="B430" s="560">
        <v>32</v>
      </c>
      <c r="C430" s="193">
        <v>42303</v>
      </c>
      <c r="D430" s="193">
        <v>42303</v>
      </c>
      <c r="E430" s="562" t="s">
        <v>223</v>
      </c>
      <c r="F430" s="562" t="s">
        <v>1110</v>
      </c>
      <c r="G430" s="562" t="s">
        <v>1114</v>
      </c>
      <c r="H430" s="562">
        <v>327</v>
      </c>
      <c r="I430" s="560">
        <v>327</v>
      </c>
      <c r="J430" s="562"/>
      <c r="K430" s="562" t="s">
        <v>1112</v>
      </c>
      <c r="L430" s="449">
        <v>5</v>
      </c>
      <c r="M430" s="449">
        <v>35</v>
      </c>
      <c r="N430" s="448">
        <v>42309</v>
      </c>
    </row>
    <row r="431" spans="1:14">
      <c r="A431" s="559" t="s">
        <v>1539</v>
      </c>
      <c r="B431" s="560">
        <v>32</v>
      </c>
      <c r="C431" s="193">
        <v>42303</v>
      </c>
      <c r="D431" s="193">
        <v>42303</v>
      </c>
      <c r="E431" s="562" t="s">
        <v>171</v>
      </c>
      <c r="F431" s="562" t="s">
        <v>1110</v>
      </c>
      <c r="G431" s="563" t="s">
        <v>1116</v>
      </c>
      <c r="H431" s="562">
        <v>82</v>
      </c>
      <c r="I431" s="560">
        <v>82</v>
      </c>
      <c r="J431" s="562"/>
      <c r="K431" s="562" t="s">
        <v>1112</v>
      </c>
      <c r="L431" s="447">
        <v>2</v>
      </c>
      <c r="M431" s="447">
        <v>8</v>
      </c>
      <c r="N431" s="448">
        <v>42312</v>
      </c>
    </row>
    <row r="432" spans="1:14">
      <c r="A432" s="559" t="s">
        <v>1545</v>
      </c>
      <c r="B432" s="560">
        <v>18</v>
      </c>
      <c r="C432" s="193">
        <v>42303</v>
      </c>
      <c r="D432" s="193">
        <v>42303</v>
      </c>
      <c r="E432" s="561" t="s">
        <v>195</v>
      </c>
      <c r="F432" s="562" t="s">
        <v>1110</v>
      </c>
      <c r="G432" s="563" t="s">
        <v>1111</v>
      </c>
      <c r="H432" s="562">
        <v>430</v>
      </c>
      <c r="I432" s="560">
        <v>430</v>
      </c>
      <c r="J432" s="562"/>
      <c r="K432" s="377" t="s">
        <v>1112</v>
      </c>
      <c r="L432" s="447">
        <v>6</v>
      </c>
      <c r="M432" s="447">
        <v>42</v>
      </c>
      <c r="N432" s="448">
        <v>42312</v>
      </c>
    </row>
    <row r="433" spans="1:14">
      <c r="A433" s="559" t="s">
        <v>1545</v>
      </c>
      <c r="B433" s="560">
        <v>18</v>
      </c>
      <c r="C433" s="193">
        <v>42303</v>
      </c>
      <c r="D433" s="193">
        <v>42303</v>
      </c>
      <c r="E433" s="562" t="s">
        <v>177</v>
      </c>
      <c r="F433" s="562" t="s">
        <v>1110</v>
      </c>
      <c r="G433" s="562" t="s">
        <v>1113</v>
      </c>
      <c r="H433" s="562">
        <v>115</v>
      </c>
      <c r="I433" s="560">
        <v>115</v>
      </c>
      <c r="J433" s="562"/>
      <c r="K433" s="562" t="s">
        <v>1112</v>
      </c>
      <c r="L433" s="447">
        <v>2</v>
      </c>
      <c r="M433" s="447">
        <v>8</v>
      </c>
      <c r="N433" s="448">
        <v>42305</v>
      </c>
    </row>
    <row r="434" spans="1:14">
      <c r="A434" s="559" t="s">
        <v>1545</v>
      </c>
      <c r="B434" s="560">
        <v>18</v>
      </c>
      <c r="C434" s="193">
        <v>42303</v>
      </c>
      <c r="D434" s="193">
        <v>42303</v>
      </c>
      <c r="E434" s="562" t="s">
        <v>223</v>
      </c>
      <c r="F434" s="562" t="s">
        <v>1110</v>
      </c>
      <c r="G434" s="562" t="s">
        <v>1114</v>
      </c>
      <c r="H434" s="562">
        <v>20</v>
      </c>
      <c r="I434" s="560">
        <v>20</v>
      </c>
      <c r="J434" s="562" t="s">
        <v>1115</v>
      </c>
      <c r="K434" s="377" t="s">
        <v>1112</v>
      </c>
      <c r="L434" s="449">
        <v>5</v>
      </c>
      <c r="M434" s="449">
        <v>35</v>
      </c>
      <c r="N434" s="448">
        <v>42309</v>
      </c>
    </row>
    <row r="435" spans="1:14">
      <c r="A435" s="559" t="s">
        <v>1545</v>
      </c>
      <c r="B435" s="560">
        <v>18</v>
      </c>
      <c r="C435" s="193">
        <v>42303</v>
      </c>
      <c r="D435" s="193">
        <v>42303</v>
      </c>
      <c r="E435" s="562" t="s">
        <v>171</v>
      </c>
      <c r="F435" s="562" t="s">
        <v>1110</v>
      </c>
      <c r="G435" s="563" t="s">
        <v>1116</v>
      </c>
      <c r="H435" s="562">
        <v>16</v>
      </c>
      <c r="I435" s="560">
        <v>16</v>
      </c>
      <c r="J435" s="562"/>
      <c r="K435" s="562" t="s">
        <v>1112</v>
      </c>
      <c r="L435" s="447">
        <v>2</v>
      </c>
      <c r="M435" s="447">
        <v>8</v>
      </c>
      <c r="N435" s="448">
        <v>42312</v>
      </c>
    </row>
    <row r="436" spans="1:14">
      <c r="A436" s="559" t="s">
        <v>1546</v>
      </c>
      <c r="B436" s="560">
        <v>19</v>
      </c>
      <c r="C436" s="193">
        <v>42303</v>
      </c>
      <c r="D436" s="193">
        <v>42303</v>
      </c>
      <c r="E436" s="561" t="s">
        <v>195</v>
      </c>
      <c r="F436" s="562" t="s">
        <v>1110</v>
      </c>
      <c r="G436" s="563" t="s">
        <v>1111</v>
      </c>
      <c r="H436" s="562">
        <v>313</v>
      </c>
      <c r="I436" s="560">
        <v>313</v>
      </c>
      <c r="J436" s="562"/>
      <c r="K436" s="377" t="s">
        <v>1112</v>
      </c>
      <c r="L436" s="447">
        <v>6</v>
      </c>
      <c r="M436" s="447">
        <v>42</v>
      </c>
      <c r="N436" s="448">
        <v>42312</v>
      </c>
    </row>
    <row r="437" spans="1:14">
      <c r="A437" s="559" t="s">
        <v>1546</v>
      </c>
      <c r="B437" s="560">
        <v>19</v>
      </c>
      <c r="C437" s="193">
        <v>42303</v>
      </c>
      <c r="D437" s="193">
        <v>42303</v>
      </c>
      <c r="E437" s="562" t="s">
        <v>177</v>
      </c>
      <c r="F437" s="562" t="s">
        <v>1110</v>
      </c>
      <c r="G437" s="562" t="s">
        <v>1113</v>
      </c>
      <c r="H437" s="562">
        <v>203</v>
      </c>
      <c r="I437" s="560">
        <v>203</v>
      </c>
      <c r="J437" s="562"/>
      <c r="K437" s="562" t="s">
        <v>1112</v>
      </c>
      <c r="L437" s="447">
        <v>2</v>
      </c>
      <c r="M437" s="447">
        <v>8</v>
      </c>
      <c r="N437" s="448">
        <v>42305</v>
      </c>
    </row>
    <row r="438" spans="1:14">
      <c r="A438" s="559" t="s">
        <v>1546</v>
      </c>
      <c r="B438" s="560">
        <v>19</v>
      </c>
      <c r="C438" s="193">
        <v>42303</v>
      </c>
      <c r="D438" s="193">
        <v>42303</v>
      </c>
      <c r="E438" s="562" t="s">
        <v>223</v>
      </c>
      <c r="F438" s="562" t="s">
        <v>1110</v>
      </c>
      <c r="G438" s="562" t="s">
        <v>1114</v>
      </c>
      <c r="H438" s="562">
        <v>9</v>
      </c>
      <c r="I438" s="560">
        <v>9</v>
      </c>
      <c r="J438" s="562" t="s">
        <v>1115</v>
      </c>
      <c r="K438" s="377" t="s">
        <v>1112</v>
      </c>
      <c r="L438" s="449">
        <v>5</v>
      </c>
      <c r="M438" s="449">
        <v>35</v>
      </c>
      <c r="N438" s="448">
        <v>42309</v>
      </c>
    </row>
    <row r="439" spans="1:14">
      <c r="A439" s="559" t="s">
        <v>1546</v>
      </c>
      <c r="B439" s="560">
        <v>19</v>
      </c>
      <c r="C439" s="193">
        <v>42303</v>
      </c>
      <c r="D439" s="193">
        <v>42303</v>
      </c>
      <c r="E439" s="562" t="s">
        <v>171</v>
      </c>
      <c r="F439" s="562" t="s">
        <v>1110</v>
      </c>
      <c r="G439" s="563" t="s">
        <v>1116</v>
      </c>
      <c r="H439" s="562">
        <v>4</v>
      </c>
      <c r="I439" s="560">
        <v>4</v>
      </c>
      <c r="J439" s="562" t="s">
        <v>1115</v>
      </c>
      <c r="K439" s="562" t="s">
        <v>1112</v>
      </c>
      <c r="L439" s="447">
        <v>2</v>
      </c>
      <c r="M439" s="447">
        <v>8</v>
      </c>
      <c r="N439" s="448">
        <v>42312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S119"/>
  <sheetViews>
    <sheetView topLeftCell="A85" workbookViewId="0">
      <selection activeCell="J98" sqref="J98:J103"/>
    </sheetView>
  </sheetViews>
  <sheetFormatPr defaultColWidth="9.08984375" defaultRowHeight="12.5"/>
  <cols>
    <col min="1" max="1" width="9.6328125" style="480" bestFit="1" customWidth="1"/>
    <col min="2" max="2" width="5.54296875" style="482" bestFit="1" customWidth="1"/>
    <col min="3" max="3" width="8.54296875" style="484" customWidth="1"/>
    <col min="4" max="4" width="8.36328125" style="480" bestFit="1" customWidth="1"/>
    <col min="5" max="5" width="4.1796875" style="796" bestFit="1" customWidth="1"/>
    <col min="6" max="6" width="3.453125" style="486" bestFit="1" customWidth="1"/>
    <col min="7" max="7" width="4.36328125" style="486" bestFit="1" customWidth="1"/>
    <col min="8" max="8" width="4.90625" style="486" bestFit="1" customWidth="1"/>
    <col min="9" max="9" width="5.90625" style="1152" bestFit="1" customWidth="1"/>
    <col min="10" max="10" width="4.1796875" style="1151" bestFit="1" customWidth="1"/>
    <col min="11" max="11" width="9.81640625" style="483" bestFit="1" customWidth="1"/>
    <col min="12" max="12" width="4.90625" style="480" bestFit="1" customWidth="1"/>
    <col min="13" max="16" width="9.08984375" style="480"/>
    <col min="17" max="17" width="13.1796875" style="480" customWidth="1"/>
    <col min="18" max="18" width="9.08984375" style="480"/>
    <col min="19" max="19" width="16.81640625" style="480" customWidth="1"/>
    <col min="20" max="16384" width="9.08984375" style="480"/>
  </cols>
  <sheetData>
    <row r="1" spans="1:19" ht="31.5">
      <c r="A1" s="1243" t="s">
        <v>265</v>
      </c>
      <c r="B1" s="1244" t="s">
        <v>10</v>
      </c>
      <c r="C1" s="1245" t="s">
        <v>264</v>
      </c>
      <c r="D1" s="1245" t="s">
        <v>144</v>
      </c>
      <c r="E1" s="1246" t="s">
        <v>146</v>
      </c>
      <c r="F1" s="1247" t="s">
        <v>150</v>
      </c>
      <c r="G1" s="1248" t="s">
        <v>262</v>
      </c>
      <c r="H1" s="1247" t="s">
        <v>1791</v>
      </c>
      <c r="I1" s="1249" t="s">
        <v>1604</v>
      </c>
      <c r="J1" s="1250" t="s">
        <v>282</v>
      </c>
      <c r="K1" s="1251" t="s">
        <v>380</v>
      </c>
      <c r="L1" s="1251" t="s">
        <v>381</v>
      </c>
    </row>
    <row r="2" spans="1:19" ht="14">
      <c r="A2" s="1561" t="s">
        <v>238</v>
      </c>
      <c r="B2" s="1554" t="s">
        <v>346</v>
      </c>
      <c r="C2" s="1552" t="s">
        <v>885</v>
      </c>
      <c r="D2" s="1252">
        <v>42145</v>
      </c>
      <c r="E2" s="1253">
        <v>0.40972222222222227</v>
      </c>
      <c r="F2" s="1254">
        <v>7.96</v>
      </c>
      <c r="G2" s="1254">
        <v>2.5</v>
      </c>
      <c r="H2" s="1254">
        <v>12.01</v>
      </c>
      <c r="I2" s="1255">
        <v>49</v>
      </c>
      <c r="J2" s="1256">
        <v>110</v>
      </c>
      <c r="K2" s="1257">
        <v>0.01</v>
      </c>
      <c r="L2" s="1258" t="s">
        <v>1603</v>
      </c>
      <c r="O2" t="s">
        <v>162</v>
      </c>
      <c r="P2" t="s">
        <v>163</v>
      </c>
      <c r="Q2" t="s">
        <v>164</v>
      </c>
      <c r="R2" t="s">
        <v>165</v>
      </c>
      <c r="S2" t="s">
        <v>363</v>
      </c>
    </row>
    <row r="3" spans="1:19" ht="13">
      <c r="A3" s="1561"/>
      <c r="B3" s="1555"/>
      <c r="C3" s="1557"/>
      <c r="D3" s="1259">
        <v>42171</v>
      </c>
      <c r="E3" s="1253">
        <v>0.35416666666666669</v>
      </c>
      <c r="F3" s="1254">
        <v>8.4700000000000006</v>
      </c>
      <c r="G3" s="1254">
        <v>4.3</v>
      </c>
      <c r="H3" s="1254">
        <v>11.79</v>
      </c>
      <c r="I3" s="1255">
        <v>30</v>
      </c>
      <c r="J3" s="1256">
        <v>212</v>
      </c>
      <c r="K3" s="1257">
        <v>0</v>
      </c>
      <c r="L3" s="1258" t="s">
        <v>1623</v>
      </c>
      <c r="O3" s="271">
        <v>2</v>
      </c>
      <c r="P3" s="270">
        <v>0.39</v>
      </c>
      <c r="Q3" s="270">
        <v>2.82</v>
      </c>
      <c r="R3" s="270">
        <f>P3*3</f>
        <v>1.17</v>
      </c>
      <c r="S3" s="8">
        <f>Q3*R3</f>
        <v>3.2993999999999994</v>
      </c>
    </row>
    <row r="4" spans="1:19" ht="14">
      <c r="A4" s="1561"/>
      <c r="B4" s="1555"/>
      <c r="C4" s="1557"/>
      <c r="D4" s="1259">
        <v>42192</v>
      </c>
      <c r="E4" s="1260">
        <v>0.38194444444444442</v>
      </c>
      <c r="F4" s="1261">
        <v>8.61</v>
      </c>
      <c r="G4" s="1261">
        <v>7</v>
      </c>
      <c r="H4" s="1261">
        <v>13.22</v>
      </c>
      <c r="I4" s="1262">
        <v>35</v>
      </c>
      <c r="J4" s="1263">
        <v>51</v>
      </c>
      <c r="K4" s="1264">
        <v>0.01</v>
      </c>
      <c r="L4" s="1258" t="s">
        <v>1620</v>
      </c>
      <c r="O4" s="272">
        <v>4</v>
      </c>
      <c r="P4" s="6">
        <v>0.37</v>
      </c>
      <c r="Q4" s="6">
        <v>0.73</v>
      </c>
      <c r="R4" s="270">
        <f t="shared" ref="R4:R5" si="0">P4*3</f>
        <v>1.1099999999999999</v>
      </c>
      <c r="S4" s="270">
        <f t="shared" ref="S4:S16" si="1">Q4*R4</f>
        <v>0.81029999999999991</v>
      </c>
    </row>
    <row r="5" spans="1:19" ht="14">
      <c r="A5" s="1561"/>
      <c r="B5" s="1555"/>
      <c r="C5" s="1557"/>
      <c r="D5" s="1259">
        <v>42234</v>
      </c>
      <c r="E5" s="1260">
        <v>0.42708333333333331</v>
      </c>
      <c r="F5" s="1261">
        <v>8.6300000000000008</v>
      </c>
      <c r="G5" s="1261">
        <v>7.7</v>
      </c>
      <c r="H5" s="1261">
        <v>12.96</v>
      </c>
      <c r="I5" s="1262">
        <v>42</v>
      </c>
      <c r="J5" s="1263">
        <v>32</v>
      </c>
      <c r="K5" s="1264">
        <v>0.02</v>
      </c>
      <c r="L5" s="1258" t="s">
        <v>1602</v>
      </c>
      <c r="O5" s="271">
        <v>6</v>
      </c>
      <c r="P5" s="6">
        <v>0.32</v>
      </c>
      <c r="Q5" s="6">
        <v>1.3</v>
      </c>
      <c r="R5" s="270">
        <f t="shared" si="0"/>
        <v>0.96</v>
      </c>
      <c r="S5" s="270">
        <f t="shared" si="1"/>
        <v>1.248</v>
      </c>
    </row>
    <row r="6" spans="1:19" ht="14">
      <c r="A6" s="1561"/>
      <c r="B6" s="1555"/>
      <c r="C6" s="1557"/>
      <c r="D6" s="1259">
        <v>42262</v>
      </c>
      <c r="E6" s="1260">
        <v>0.41111111111111115</v>
      </c>
      <c r="F6" s="1261">
        <v>8.64</v>
      </c>
      <c r="G6" s="1261">
        <v>6.7</v>
      </c>
      <c r="H6" s="1261">
        <v>10.61</v>
      </c>
      <c r="I6" s="1262">
        <v>44</v>
      </c>
      <c r="J6" s="1263">
        <v>15.1</v>
      </c>
      <c r="K6" s="1264">
        <v>0.03</v>
      </c>
      <c r="L6" s="1258" t="s">
        <v>1602</v>
      </c>
      <c r="O6" s="272">
        <v>8</v>
      </c>
      <c r="P6" s="486"/>
      <c r="Q6" s="6">
        <v>2.46</v>
      </c>
      <c r="R6" s="270">
        <f t="shared" ref="R6:R12" si="2">P6*2.25</f>
        <v>0</v>
      </c>
      <c r="S6" s="270">
        <f t="shared" si="1"/>
        <v>0</v>
      </c>
    </row>
    <row r="7" spans="1:19" ht="14">
      <c r="A7" s="1561"/>
      <c r="B7" s="1556"/>
      <c r="C7" s="1553"/>
      <c r="D7" s="1259">
        <v>42303</v>
      </c>
      <c r="E7" s="1265">
        <v>0.39999999999999997</v>
      </c>
      <c r="F7" s="1266">
        <v>8.5500000000000007</v>
      </c>
      <c r="G7" s="1266">
        <v>1.1000000000000001</v>
      </c>
      <c r="H7" s="1266">
        <v>13.98</v>
      </c>
      <c r="I7" s="1267">
        <v>48</v>
      </c>
      <c r="J7" s="1268">
        <v>17.8</v>
      </c>
      <c r="K7" s="1264">
        <v>0.01</v>
      </c>
      <c r="L7" s="1258" t="s">
        <v>1602</v>
      </c>
      <c r="O7" s="271">
        <v>10</v>
      </c>
      <c r="P7" s="6"/>
      <c r="Q7" s="6">
        <v>2.0699999999999998</v>
      </c>
      <c r="R7" s="270">
        <f t="shared" si="2"/>
        <v>0</v>
      </c>
      <c r="S7" s="270">
        <f>Q6*R7</f>
        <v>0</v>
      </c>
    </row>
    <row r="8" spans="1:19" ht="14">
      <c r="A8" s="1561"/>
      <c r="B8" s="1554" t="s">
        <v>345</v>
      </c>
      <c r="C8" s="1552" t="s">
        <v>373</v>
      </c>
      <c r="D8" s="1252">
        <v>42145</v>
      </c>
      <c r="E8" s="1269">
        <v>0.3888888888888889</v>
      </c>
      <c r="F8" s="1270">
        <v>7.76</v>
      </c>
      <c r="G8" s="1270">
        <v>4.2</v>
      </c>
      <c r="H8" s="1270">
        <v>12.86</v>
      </c>
      <c r="I8" s="1271">
        <v>73</v>
      </c>
      <c r="J8" s="1272">
        <v>293</v>
      </c>
      <c r="K8" s="1257">
        <v>0.01</v>
      </c>
      <c r="L8" s="1258" t="s">
        <v>1620</v>
      </c>
      <c r="O8" s="272">
        <v>12</v>
      </c>
      <c r="P8" s="486"/>
      <c r="Q8" s="6">
        <v>2</v>
      </c>
      <c r="R8" s="270">
        <f t="shared" si="2"/>
        <v>0</v>
      </c>
      <c r="S8" s="270">
        <f t="shared" si="1"/>
        <v>0</v>
      </c>
    </row>
    <row r="9" spans="1:19" ht="14">
      <c r="A9" s="1561"/>
      <c r="B9" s="1555"/>
      <c r="C9" s="1557"/>
      <c r="D9" s="1259">
        <v>42171</v>
      </c>
      <c r="E9" s="1253">
        <v>0.41388888888888892</v>
      </c>
      <c r="F9" s="1254">
        <v>8.2899999999999991</v>
      </c>
      <c r="G9" s="1254">
        <v>6.3</v>
      </c>
      <c r="H9" s="1254">
        <v>10.26</v>
      </c>
      <c r="I9" s="1255">
        <v>44</v>
      </c>
      <c r="J9" s="1256">
        <v>380</v>
      </c>
      <c r="K9" s="1257">
        <v>0.01</v>
      </c>
      <c r="L9" s="1258" t="s">
        <v>1621</v>
      </c>
      <c r="O9" s="271">
        <v>14</v>
      </c>
      <c r="P9" s="486"/>
      <c r="Q9" s="6">
        <v>0.44</v>
      </c>
      <c r="R9" s="270">
        <f t="shared" si="2"/>
        <v>0</v>
      </c>
      <c r="S9" s="270">
        <f t="shared" si="1"/>
        <v>0</v>
      </c>
    </row>
    <row r="10" spans="1:19" ht="14">
      <c r="A10" s="1561"/>
      <c r="B10" s="1555"/>
      <c r="C10" s="1557"/>
      <c r="D10" s="1259">
        <v>42192</v>
      </c>
      <c r="E10" s="1260">
        <v>0.40277777777777773</v>
      </c>
      <c r="F10" s="1261">
        <v>8.2899999999999991</v>
      </c>
      <c r="G10" s="1261">
        <v>8.6</v>
      </c>
      <c r="H10" s="1261">
        <v>12.92</v>
      </c>
      <c r="I10" s="1262">
        <v>52</v>
      </c>
      <c r="J10" s="1263">
        <v>140</v>
      </c>
      <c r="K10" s="1264">
        <v>0.01</v>
      </c>
      <c r="L10" s="1258" t="s">
        <v>1603</v>
      </c>
      <c r="O10" s="272">
        <v>16</v>
      </c>
      <c r="P10" s="6"/>
      <c r="Q10" s="6">
        <v>1.88</v>
      </c>
      <c r="R10" s="270">
        <f t="shared" si="2"/>
        <v>0</v>
      </c>
      <c r="S10" s="270">
        <f t="shared" si="1"/>
        <v>0</v>
      </c>
    </row>
    <row r="11" spans="1:19" ht="14">
      <c r="A11" s="1561"/>
      <c r="B11" s="1555"/>
      <c r="C11" s="1557"/>
      <c r="D11" s="1259">
        <v>42234</v>
      </c>
      <c r="E11" s="1260">
        <v>0.45555555555555555</v>
      </c>
      <c r="F11" s="1261">
        <v>8.2799999999999994</v>
      </c>
      <c r="G11" s="1261">
        <v>10.5</v>
      </c>
      <c r="H11" s="1261">
        <v>12.47</v>
      </c>
      <c r="I11" s="1262">
        <v>62</v>
      </c>
      <c r="J11" s="1263">
        <v>34.200000000000003</v>
      </c>
      <c r="K11" s="1264">
        <v>0.05</v>
      </c>
      <c r="L11" s="1258" t="s">
        <v>1603</v>
      </c>
      <c r="O11" s="271">
        <v>18</v>
      </c>
      <c r="P11" s="6"/>
      <c r="Q11" s="6">
        <v>1.77</v>
      </c>
      <c r="R11" s="270">
        <f t="shared" si="2"/>
        <v>0</v>
      </c>
      <c r="S11" s="270">
        <f t="shared" si="1"/>
        <v>0</v>
      </c>
    </row>
    <row r="12" spans="1:19" ht="14">
      <c r="A12" s="1561"/>
      <c r="B12" s="1555"/>
      <c r="C12" s="1557"/>
      <c r="D12" s="1259">
        <v>42262</v>
      </c>
      <c r="E12" s="1260">
        <v>0.43333333333333335</v>
      </c>
      <c r="F12" s="1261">
        <v>8.33</v>
      </c>
      <c r="G12" s="1261">
        <v>8.6999999999999993</v>
      </c>
      <c r="H12" s="1273">
        <v>8.99</v>
      </c>
      <c r="I12" s="1262">
        <v>60</v>
      </c>
      <c r="J12" s="1263">
        <v>23</v>
      </c>
      <c r="K12" s="1264">
        <v>0.03</v>
      </c>
      <c r="L12" s="1258" t="s">
        <v>1603</v>
      </c>
      <c r="O12" s="272">
        <v>20</v>
      </c>
      <c r="P12" s="486"/>
      <c r="Q12" s="6">
        <v>1.54</v>
      </c>
      <c r="R12" s="270">
        <f t="shared" si="2"/>
        <v>0</v>
      </c>
      <c r="S12" s="270">
        <f t="shared" si="1"/>
        <v>0</v>
      </c>
    </row>
    <row r="13" spans="1:19" ht="14">
      <c r="A13" s="1561"/>
      <c r="B13" s="1556"/>
      <c r="C13" s="1553"/>
      <c r="D13" s="1259">
        <v>42303</v>
      </c>
      <c r="E13" s="1260">
        <v>0.42499999999999999</v>
      </c>
      <c r="F13" s="1261">
        <v>8.26</v>
      </c>
      <c r="G13" s="1261">
        <v>2.6</v>
      </c>
      <c r="H13" s="1273">
        <v>16.53</v>
      </c>
      <c r="I13" s="1262">
        <v>66</v>
      </c>
      <c r="J13" s="1263">
        <v>17.899999999999999</v>
      </c>
      <c r="K13" s="1264">
        <v>0.01</v>
      </c>
      <c r="L13" s="1258" t="s">
        <v>1602</v>
      </c>
      <c r="O13" s="271">
        <v>22</v>
      </c>
      <c r="P13" s="486"/>
      <c r="Q13" s="6">
        <v>2.4500000000000002</v>
      </c>
      <c r="R13" s="270">
        <f t="shared" ref="R13" si="3">P13*2</f>
        <v>0</v>
      </c>
      <c r="S13" s="270">
        <f t="shared" si="1"/>
        <v>0</v>
      </c>
    </row>
    <row r="14" spans="1:19" ht="14">
      <c r="A14" s="1561"/>
      <c r="B14" s="1554" t="s">
        <v>239</v>
      </c>
      <c r="C14" s="1552" t="s">
        <v>884</v>
      </c>
      <c r="D14" s="1252">
        <v>42145</v>
      </c>
      <c r="E14" s="1253">
        <v>0.44930555555555557</v>
      </c>
      <c r="F14" s="1254">
        <v>7.85</v>
      </c>
      <c r="G14" s="1254">
        <v>4.7</v>
      </c>
      <c r="H14" s="1254">
        <v>11.97</v>
      </c>
      <c r="I14" s="1255">
        <v>92</v>
      </c>
      <c r="J14" s="1256">
        <v>322</v>
      </c>
      <c r="K14" s="1257">
        <v>0.01</v>
      </c>
      <c r="L14" s="1258" t="s">
        <v>1621</v>
      </c>
      <c r="O14" s="272">
        <v>24</v>
      </c>
      <c r="P14" s="486"/>
      <c r="Q14" s="798">
        <v>0.1</v>
      </c>
      <c r="R14" s="270">
        <f t="shared" ref="R14:R16" si="4">P14*2</f>
        <v>0</v>
      </c>
      <c r="S14" s="270">
        <f t="shared" si="1"/>
        <v>0</v>
      </c>
    </row>
    <row r="15" spans="1:19" ht="13">
      <c r="A15" s="1561"/>
      <c r="B15" s="1555"/>
      <c r="C15" s="1557"/>
      <c r="D15" s="1259">
        <v>42171</v>
      </c>
      <c r="E15" s="1253">
        <v>0.42499999999999999</v>
      </c>
      <c r="F15" s="1254">
        <v>8.07</v>
      </c>
      <c r="G15" s="1254">
        <v>6.5</v>
      </c>
      <c r="H15" s="1254">
        <v>12.5</v>
      </c>
      <c r="I15" s="1255">
        <v>52</v>
      </c>
      <c r="J15" s="1256">
        <v>435</v>
      </c>
      <c r="K15" s="1257">
        <v>0.01</v>
      </c>
      <c r="L15" s="1258" t="s">
        <v>1623</v>
      </c>
      <c r="O15" s="271">
        <v>26</v>
      </c>
      <c r="P15" s="486"/>
      <c r="Q15" s="798">
        <v>2.0299999999999998</v>
      </c>
      <c r="R15" s="270">
        <f t="shared" si="4"/>
        <v>0</v>
      </c>
      <c r="S15" s="270">
        <f t="shared" si="1"/>
        <v>0</v>
      </c>
    </row>
    <row r="16" spans="1:19" ht="14">
      <c r="A16" s="1561"/>
      <c r="B16" s="1555"/>
      <c r="C16" s="1557"/>
      <c r="D16" s="1259">
        <v>42192</v>
      </c>
      <c r="E16" s="1260">
        <v>0.41180555555555554</v>
      </c>
      <c r="F16" s="1261">
        <v>8.32</v>
      </c>
      <c r="G16" s="1261">
        <v>9.3000000000000007</v>
      </c>
      <c r="H16" s="1261">
        <v>12.08</v>
      </c>
      <c r="I16" s="1262">
        <v>62</v>
      </c>
      <c r="J16" s="1263">
        <v>196</v>
      </c>
      <c r="K16" s="1264">
        <v>0.01</v>
      </c>
      <c r="L16" s="1258" t="s">
        <v>1620</v>
      </c>
      <c r="O16" s="272">
        <v>28</v>
      </c>
      <c r="P16" s="486"/>
      <c r="Q16" s="798">
        <v>3.16</v>
      </c>
      <c r="R16" s="270">
        <f t="shared" si="4"/>
        <v>0</v>
      </c>
      <c r="S16" s="270">
        <f t="shared" si="1"/>
        <v>0</v>
      </c>
    </row>
    <row r="17" spans="1:19">
      <c r="A17" s="1561"/>
      <c r="B17" s="1555"/>
      <c r="C17" s="1557"/>
      <c r="D17" s="1259">
        <v>42234</v>
      </c>
      <c r="E17" s="1260">
        <v>0.47500000000000003</v>
      </c>
      <c r="F17" s="1261">
        <v>8.26</v>
      </c>
      <c r="G17" s="1261">
        <v>11.2</v>
      </c>
      <c r="H17" s="1261">
        <v>12.17</v>
      </c>
      <c r="I17" s="1262">
        <v>75</v>
      </c>
      <c r="J17" s="1263">
        <v>50</v>
      </c>
      <c r="K17" s="1264">
        <v>0.05</v>
      </c>
      <c r="L17" s="1258" t="s">
        <v>1620</v>
      </c>
      <c r="P17" s="798"/>
      <c r="S17" s="797">
        <f>SUM(S3:S16)</f>
        <v>5.3576999999999995</v>
      </c>
    </row>
    <row r="18" spans="1:19">
      <c r="A18" s="1561"/>
      <c r="B18" s="1555"/>
      <c r="C18" s="1557"/>
      <c r="D18" s="1259">
        <v>42262</v>
      </c>
      <c r="E18" s="1260">
        <v>0.44444444444444442</v>
      </c>
      <c r="F18" s="1261">
        <v>8.35</v>
      </c>
      <c r="G18" s="1261">
        <v>9.5</v>
      </c>
      <c r="H18" s="1261">
        <v>9.7200000000000006</v>
      </c>
      <c r="I18" s="1262">
        <v>73</v>
      </c>
      <c r="J18" s="1263">
        <v>24</v>
      </c>
      <c r="K18" s="1264">
        <v>0.03</v>
      </c>
      <c r="L18" s="1258" t="s">
        <v>1603</v>
      </c>
    </row>
    <row r="19" spans="1:19">
      <c r="A19" s="1562"/>
      <c r="B19" s="1556"/>
      <c r="C19" s="1553"/>
      <c r="D19" s="1259">
        <v>42303</v>
      </c>
      <c r="E19" s="1260">
        <v>0.44027777777777777</v>
      </c>
      <c r="F19" s="1261">
        <v>8.2100000000000009</v>
      </c>
      <c r="G19" s="1261">
        <v>2.6</v>
      </c>
      <c r="H19" s="1261">
        <v>16.53</v>
      </c>
      <c r="I19" s="1262">
        <v>66</v>
      </c>
      <c r="J19" s="1263">
        <v>26</v>
      </c>
      <c r="K19" s="1264">
        <v>0.01</v>
      </c>
      <c r="L19" s="1258" t="s">
        <v>1602</v>
      </c>
    </row>
    <row r="20" spans="1:19">
      <c r="A20" s="1558" t="s">
        <v>241</v>
      </c>
      <c r="B20" s="1554" t="s">
        <v>178</v>
      </c>
      <c r="C20" s="1552" t="s">
        <v>883</v>
      </c>
      <c r="D20" s="1252">
        <v>42145</v>
      </c>
      <c r="E20" s="1260">
        <v>0.45624999999999999</v>
      </c>
      <c r="F20" s="1261">
        <v>7.74</v>
      </c>
      <c r="G20" s="1261">
        <v>5</v>
      </c>
      <c r="H20" s="1261">
        <v>11.62</v>
      </c>
      <c r="I20" s="1262">
        <v>117</v>
      </c>
      <c r="J20" s="1263">
        <v>491</v>
      </c>
      <c r="K20" s="1264">
        <v>0.01</v>
      </c>
      <c r="L20" s="1258" t="s">
        <v>1621</v>
      </c>
    </row>
    <row r="21" spans="1:19">
      <c r="A21" s="1559"/>
      <c r="B21" s="1555"/>
      <c r="C21" s="1557"/>
      <c r="D21" s="1259">
        <v>42171</v>
      </c>
      <c r="E21" s="1260">
        <v>0.43263888888888885</v>
      </c>
      <c r="F21" s="1261">
        <v>8.01</v>
      </c>
      <c r="G21" s="1261">
        <v>7.8</v>
      </c>
      <c r="H21" s="1261">
        <v>12.23</v>
      </c>
      <c r="I21" s="1262">
        <v>63</v>
      </c>
      <c r="J21" s="1263">
        <v>400</v>
      </c>
      <c r="K21" s="1264">
        <v>0.01</v>
      </c>
      <c r="L21" s="1258" t="s">
        <v>1623</v>
      </c>
    </row>
    <row r="22" spans="1:19">
      <c r="A22" s="1559"/>
      <c r="B22" s="1555"/>
      <c r="C22" s="1557"/>
      <c r="D22" s="1259">
        <v>42192</v>
      </c>
      <c r="E22" s="1260">
        <v>0.4201388888888889</v>
      </c>
      <c r="F22" s="1261">
        <v>8.24</v>
      </c>
      <c r="G22" s="1261">
        <v>11.8</v>
      </c>
      <c r="H22" s="1261">
        <v>11.22</v>
      </c>
      <c r="I22" s="1262">
        <v>76</v>
      </c>
      <c r="J22" s="1263">
        <v>170</v>
      </c>
      <c r="K22" s="1264">
        <v>0.01</v>
      </c>
      <c r="L22" s="1258" t="s">
        <v>1621</v>
      </c>
    </row>
    <row r="23" spans="1:19">
      <c r="A23" s="1559"/>
      <c r="B23" s="1555"/>
      <c r="C23" s="1557"/>
      <c r="D23" s="1259">
        <v>42234</v>
      </c>
      <c r="E23" s="1260">
        <v>0.48194444444444445</v>
      </c>
      <c r="F23" s="1261">
        <v>8.14</v>
      </c>
      <c r="G23" s="1261">
        <v>14.2</v>
      </c>
      <c r="H23" s="1261">
        <v>10.98</v>
      </c>
      <c r="I23" s="1262">
        <v>92</v>
      </c>
      <c r="J23" s="1263">
        <v>75</v>
      </c>
      <c r="K23" s="1264">
        <v>0.05</v>
      </c>
      <c r="L23" s="1258" t="s">
        <v>1620</v>
      </c>
    </row>
    <row r="24" spans="1:19">
      <c r="A24" s="1559"/>
      <c r="B24" s="1555"/>
      <c r="C24" s="1557"/>
      <c r="D24" s="1259">
        <v>42262</v>
      </c>
      <c r="E24" s="1260">
        <v>0.4513888888888889</v>
      </c>
      <c r="F24" s="1261">
        <v>8.2100000000000009</v>
      </c>
      <c r="G24" s="1261">
        <v>13.4</v>
      </c>
      <c r="H24" s="1261">
        <v>9.4</v>
      </c>
      <c r="I24" s="1262">
        <v>87</v>
      </c>
      <c r="J24" s="1263">
        <v>25</v>
      </c>
      <c r="K24" s="1264">
        <v>0.03</v>
      </c>
      <c r="L24" s="1258" t="s">
        <v>1620</v>
      </c>
    </row>
    <row r="25" spans="1:19">
      <c r="A25" s="1559"/>
      <c r="B25" s="1556"/>
      <c r="C25" s="1553"/>
      <c r="D25" s="1259">
        <v>42303</v>
      </c>
      <c r="E25" s="1260">
        <v>0.44722222222222219</v>
      </c>
      <c r="F25" s="1261">
        <v>8.07</v>
      </c>
      <c r="G25" s="1261">
        <v>6.3</v>
      </c>
      <c r="H25" s="1261">
        <v>15.32</v>
      </c>
      <c r="I25" s="1262">
        <v>112</v>
      </c>
      <c r="J25" s="1263">
        <v>23</v>
      </c>
      <c r="K25" s="1264">
        <v>0.05</v>
      </c>
      <c r="L25" s="1258" t="s">
        <v>1603</v>
      </c>
    </row>
    <row r="26" spans="1:19">
      <c r="A26" s="1559"/>
      <c r="B26" s="1554" t="s">
        <v>226</v>
      </c>
      <c r="C26" s="1552" t="s">
        <v>280</v>
      </c>
      <c r="D26" s="1252">
        <v>42145</v>
      </c>
      <c r="E26" s="1260">
        <v>0.46875</v>
      </c>
      <c r="F26" s="1261">
        <v>7.74</v>
      </c>
      <c r="G26" s="1261">
        <v>5.0999999999999996</v>
      </c>
      <c r="H26" s="1261">
        <v>11.53</v>
      </c>
      <c r="I26" s="1262">
        <v>158</v>
      </c>
      <c r="J26" s="1263">
        <v>500</v>
      </c>
      <c r="K26" s="1264">
        <v>0.01</v>
      </c>
      <c r="L26" s="1258" t="s">
        <v>1621</v>
      </c>
    </row>
    <row r="27" spans="1:19">
      <c r="A27" s="1559"/>
      <c r="B27" s="1555"/>
      <c r="C27" s="1557"/>
      <c r="D27" s="1259">
        <v>42171</v>
      </c>
      <c r="E27" s="1260">
        <v>0.43263888888888885</v>
      </c>
      <c r="F27" s="1261">
        <v>8.06</v>
      </c>
      <c r="G27" s="1261">
        <v>8</v>
      </c>
      <c r="H27" s="1261">
        <v>11.48</v>
      </c>
      <c r="I27" s="1262">
        <v>69</v>
      </c>
      <c r="J27" s="1263">
        <v>420</v>
      </c>
      <c r="K27" s="1264">
        <v>0.01</v>
      </c>
      <c r="L27" s="1258" t="s">
        <v>1623</v>
      </c>
    </row>
    <row r="28" spans="1:19">
      <c r="A28" s="1559"/>
      <c r="B28" s="1555"/>
      <c r="C28" s="1557"/>
      <c r="D28" s="1259">
        <v>42192</v>
      </c>
      <c r="E28" s="1260">
        <v>0.42499999999999999</v>
      </c>
      <c r="F28" s="1261">
        <v>8.1</v>
      </c>
      <c r="G28" s="1261">
        <v>12.1</v>
      </c>
      <c r="H28" s="1261">
        <v>11.06</v>
      </c>
      <c r="I28" s="1262">
        <v>83</v>
      </c>
      <c r="J28" s="1263">
        <v>170</v>
      </c>
      <c r="K28" s="1264">
        <v>0.01</v>
      </c>
      <c r="L28" s="1258" t="s">
        <v>1621</v>
      </c>
    </row>
    <row r="29" spans="1:19">
      <c r="A29" s="1559"/>
      <c r="B29" s="1555"/>
      <c r="C29" s="1557"/>
      <c r="D29" s="1259">
        <v>42234</v>
      </c>
      <c r="E29" s="1260">
        <v>0.48749999999999999</v>
      </c>
      <c r="F29" s="1261">
        <v>8.01</v>
      </c>
      <c r="G29" s="1261">
        <v>14.7</v>
      </c>
      <c r="H29" s="1261">
        <v>11.12</v>
      </c>
      <c r="I29" s="1262">
        <v>105</v>
      </c>
      <c r="J29" s="1263">
        <v>70</v>
      </c>
      <c r="K29" s="1264">
        <v>0.05</v>
      </c>
      <c r="L29" s="1258" t="s">
        <v>1620</v>
      </c>
    </row>
    <row r="30" spans="1:19">
      <c r="A30" s="1559"/>
      <c r="B30" s="1555"/>
      <c r="C30" s="1557"/>
      <c r="D30" s="1259">
        <v>42262</v>
      </c>
      <c r="E30" s="1260">
        <v>0.45694444444444443</v>
      </c>
      <c r="F30" s="1261">
        <v>8.15</v>
      </c>
      <c r="G30" s="1261">
        <v>13.8</v>
      </c>
      <c r="H30" s="1261">
        <v>9.23</v>
      </c>
      <c r="I30" s="1262">
        <v>112</v>
      </c>
      <c r="J30" s="1263">
        <v>22</v>
      </c>
      <c r="K30" s="1264">
        <v>0.03</v>
      </c>
      <c r="L30" s="1258" t="s">
        <v>1620</v>
      </c>
    </row>
    <row r="31" spans="1:19">
      <c r="A31" s="1559"/>
      <c r="B31" s="1556"/>
      <c r="C31" s="1553"/>
      <c r="D31" s="1259">
        <v>42303</v>
      </c>
      <c r="E31" s="1260">
        <v>0.45277777777777778</v>
      </c>
      <c r="F31" s="1261">
        <v>8.02</v>
      </c>
      <c r="G31" s="1261">
        <v>6.6</v>
      </c>
      <c r="H31" s="1261">
        <v>11.21</v>
      </c>
      <c r="I31" s="1262">
        <v>131</v>
      </c>
      <c r="J31" s="1263">
        <v>24</v>
      </c>
      <c r="K31" s="1264">
        <v>0.1</v>
      </c>
      <c r="L31" s="1258" t="s">
        <v>1603</v>
      </c>
    </row>
    <row r="32" spans="1:19">
      <c r="A32" s="1559"/>
      <c r="B32" s="1554" t="s">
        <v>227</v>
      </c>
      <c r="C32" s="1552" t="s">
        <v>886</v>
      </c>
      <c r="D32" s="1252">
        <v>42145</v>
      </c>
      <c r="E32" s="1260">
        <v>0.4861111111111111</v>
      </c>
      <c r="F32" s="1261">
        <v>8.15</v>
      </c>
      <c r="G32" s="1261">
        <v>5.4</v>
      </c>
      <c r="H32" s="1261">
        <v>11.39</v>
      </c>
      <c r="I32" s="1262">
        <v>158</v>
      </c>
      <c r="J32" s="1263">
        <v>525</v>
      </c>
      <c r="K32" s="1264">
        <v>0.01</v>
      </c>
      <c r="L32" s="1258" t="s">
        <v>1621</v>
      </c>
    </row>
    <row r="33" spans="1:12">
      <c r="A33" s="1559"/>
      <c r="B33" s="1555"/>
      <c r="C33" s="1557"/>
      <c r="D33" s="1259">
        <v>42171</v>
      </c>
      <c r="E33" s="1260">
        <v>0.45277777777777778</v>
      </c>
      <c r="F33" s="1261">
        <v>8.74</v>
      </c>
      <c r="G33" s="1261">
        <v>8.5</v>
      </c>
      <c r="H33" s="1261">
        <v>12.34</v>
      </c>
      <c r="I33" s="1262">
        <v>89</v>
      </c>
      <c r="J33" s="1263">
        <v>435</v>
      </c>
      <c r="K33" s="1264">
        <v>0.01</v>
      </c>
      <c r="L33" s="1258" t="s">
        <v>1623</v>
      </c>
    </row>
    <row r="34" spans="1:12">
      <c r="A34" s="1559"/>
      <c r="B34" s="1555"/>
      <c r="C34" s="1557"/>
      <c r="D34" s="1259">
        <v>42192</v>
      </c>
      <c r="E34" s="1260">
        <v>0.43541666666666662</v>
      </c>
      <c r="F34" s="1261">
        <v>8.5500000000000007</v>
      </c>
      <c r="G34" s="1261">
        <v>12.5</v>
      </c>
      <c r="H34" s="1261">
        <v>11.53</v>
      </c>
      <c r="I34" s="1262">
        <v>114</v>
      </c>
      <c r="J34" s="1263">
        <v>172</v>
      </c>
      <c r="K34" s="1264">
        <v>0.01</v>
      </c>
      <c r="L34" s="1258" t="s">
        <v>1621</v>
      </c>
    </row>
    <row r="35" spans="1:12">
      <c r="A35" s="1559"/>
      <c r="B35" s="1555"/>
      <c r="C35" s="1557"/>
      <c r="D35" s="1259">
        <v>42234</v>
      </c>
      <c r="E35" s="1260">
        <v>0.5</v>
      </c>
      <c r="F35" s="1261">
        <v>8.24</v>
      </c>
      <c r="G35" s="1261">
        <v>15</v>
      </c>
      <c r="H35" s="1261">
        <v>10.84</v>
      </c>
      <c r="I35" s="1262">
        <v>149</v>
      </c>
      <c r="J35" s="1263">
        <v>82</v>
      </c>
      <c r="K35" s="1264">
        <v>0.06</v>
      </c>
      <c r="L35" s="1258" t="s">
        <v>1620</v>
      </c>
    </row>
    <row r="36" spans="1:12">
      <c r="A36" s="1559"/>
      <c r="B36" s="1555"/>
      <c r="C36" s="1557"/>
      <c r="D36" s="1259">
        <v>42262</v>
      </c>
      <c r="E36" s="1260">
        <v>0.46875</v>
      </c>
      <c r="F36" s="1261">
        <v>8.32</v>
      </c>
      <c r="G36" s="1261">
        <v>13.9</v>
      </c>
      <c r="H36" s="1261">
        <v>9.41</v>
      </c>
      <c r="I36" s="1262">
        <v>165</v>
      </c>
      <c r="J36" s="1263">
        <v>21</v>
      </c>
      <c r="K36" s="1264">
        <v>0.03</v>
      </c>
      <c r="L36" s="1258" t="s">
        <v>1603</v>
      </c>
    </row>
    <row r="37" spans="1:12">
      <c r="A37" s="1559"/>
      <c r="B37" s="1556"/>
      <c r="C37" s="1553"/>
      <c r="D37" s="1259">
        <v>42303</v>
      </c>
      <c r="E37" s="1260">
        <v>0.46527777777777773</v>
      </c>
      <c r="F37" s="1261">
        <v>8.2200000000000006</v>
      </c>
      <c r="G37" s="1261">
        <v>6.4</v>
      </c>
      <c r="H37" s="1261">
        <v>14.36</v>
      </c>
      <c r="I37" s="1262">
        <v>197</v>
      </c>
      <c r="J37" s="1263">
        <v>24</v>
      </c>
      <c r="K37" s="1264">
        <v>0.05</v>
      </c>
      <c r="L37" s="1258" t="s">
        <v>1603</v>
      </c>
    </row>
    <row r="38" spans="1:12">
      <c r="A38" s="1559"/>
      <c r="B38" s="1554" t="s">
        <v>228</v>
      </c>
      <c r="C38" s="1552" t="s">
        <v>887</v>
      </c>
      <c r="D38" s="1252">
        <v>42145</v>
      </c>
      <c r="E38" s="1260">
        <v>0.49444444444444446</v>
      </c>
      <c r="F38" s="1261">
        <v>8.0299999999999994</v>
      </c>
      <c r="G38" s="1261">
        <v>5.5</v>
      </c>
      <c r="H38" s="1261">
        <v>11.46</v>
      </c>
      <c r="I38" s="1262">
        <v>169</v>
      </c>
      <c r="J38" s="1263">
        <v>550</v>
      </c>
      <c r="K38" s="1264">
        <v>0.01</v>
      </c>
      <c r="L38" s="1258" t="s">
        <v>1621</v>
      </c>
    </row>
    <row r="39" spans="1:12">
      <c r="A39" s="1559"/>
      <c r="B39" s="1555"/>
      <c r="C39" s="1557"/>
      <c r="D39" s="1259">
        <v>42171</v>
      </c>
      <c r="E39" s="1260">
        <v>0.46111111111111108</v>
      </c>
      <c r="F39" s="1261">
        <v>8.3699999999999992</v>
      </c>
      <c r="G39" s="1261">
        <v>9.1</v>
      </c>
      <c r="H39" s="1261">
        <v>12.89</v>
      </c>
      <c r="I39" s="1262">
        <v>101</v>
      </c>
      <c r="J39" s="1263">
        <v>445</v>
      </c>
      <c r="K39" s="1264">
        <v>0.01</v>
      </c>
      <c r="L39" s="1258" t="s">
        <v>1623</v>
      </c>
    </row>
    <row r="40" spans="1:12">
      <c r="A40" s="1559"/>
      <c r="B40" s="1555"/>
      <c r="C40" s="1557"/>
      <c r="D40" s="1259">
        <v>42192</v>
      </c>
      <c r="E40" s="1260">
        <v>0.44375000000000003</v>
      </c>
      <c r="F40" s="1261">
        <v>8.3699999999999992</v>
      </c>
      <c r="G40" s="1261">
        <v>12.8</v>
      </c>
      <c r="H40" s="1261">
        <v>10.74</v>
      </c>
      <c r="I40" s="1262">
        <v>138</v>
      </c>
      <c r="J40" s="1263">
        <v>175</v>
      </c>
      <c r="K40" s="1264">
        <v>0.01</v>
      </c>
      <c r="L40" s="1258" t="s">
        <v>1621</v>
      </c>
    </row>
    <row r="41" spans="1:12">
      <c r="A41" s="1559"/>
      <c r="B41" s="1555"/>
      <c r="C41" s="1557"/>
      <c r="D41" s="1259">
        <v>42234</v>
      </c>
      <c r="E41" s="1260">
        <v>0.51388888888888895</v>
      </c>
      <c r="F41" s="1261">
        <v>7.98</v>
      </c>
      <c r="G41" s="1261">
        <v>14.8</v>
      </c>
      <c r="H41" s="1261">
        <v>11.34</v>
      </c>
      <c r="I41" s="1262">
        <v>184</v>
      </c>
      <c r="J41" s="1263">
        <v>80</v>
      </c>
      <c r="K41" s="1264">
        <v>0.05</v>
      </c>
      <c r="L41" s="1258" t="s">
        <v>1620</v>
      </c>
    </row>
    <row r="42" spans="1:12">
      <c r="A42" s="1559"/>
      <c r="B42" s="1555"/>
      <c r="C42" s="1557"/>
      <c r="D42" s="1259">
        <v>42262</v>
      </c>
      <c r="E42" s="1260" t="s">
        <v>1626</v>
      </c>
      <c r="F42" s="1261">
        <v>8.25</v>
      </c>
      <c r="G42" s="1261">
        <v>13.7</v>
      </c>
      <c r="H42" s="1261">
        <v>8.24</v>
      </c>
      <c r="I42" s="1262">
        <v>212</v>
      </c>
      <c r="J42" s="1263">
        <v>24</v>
      </c>
      <c r="K42" s="1264">
        <v>0.03</v>
      </c>
      <c r="L42" s="1258" t="s">
        <v>1603</v>
      </c>
    </row>
    <row r="43" spans="1:12">
      <c r="A43" s="1559"/>
      <c r="B43" s="1556"/>
      <c r="C43" s="1553"/>
      <c r="D43" s="1259">
        <v>42303</v>
      </c>
      <c r="E43" s="1260">
        <v>0.47638888888888892</v>
      </c>
      <c r="F43" s="1261">
        <v>8.07</v>
      </c>
      <c r="G43" s="1261">
        <v>6.3</v>
      </c>
      <c r="H43" s="1261">
        <v>14.46</v>
      </c>
      <c r="I43" s="1262">
        <v>246</v>
      </c>
      <c r="J43" s="1263">
        <v>27</v>
      </c>
      <c r="K43" s="1264">
        <v>0.05</v>
      </c>
      <c r="L43" s="1258" t="s">
        <v>1621</v>
      </c>
    </row>
    <row r="44" spans="1:12">
      <c r="A44" s="1559"/>
      <c r="B44" s="1554" t="s">
        <v>229</v>
      </c>
      <c r="C44" s="1552" t="s">
        <v>888</v>
      </c>
      <c r="D44" s="1252">
        <v>42145</v>
      </c>
      <c r="E44" s="1260">
        <v>0.50347222222222221</v>
      </c>
      <c r="F44" s="1261">
        <v>7.88</v>
      </c>
      <c r="G44" s="1261">
        <v>5.9</v>
      </c>
      <c r="H44" s="1261">
        <v>11.78</v>
      </c>
      <c r="I44" s="1262">
        <v>173</v>
      </c>
      <c r="J44" s="1263">
        <v>560</v>
      </c>
      <c r="K44" s="1264">
        <v>0.01</v>
      </c>
      <c r="L44" s="1258" t="s">
        <v>1621</v>
      </c>
    </row>
    <row r="45" spans="1:12">
      <c r="A45" s="1559"/>
      <c r="B45" s="1555"/>
      <c r="C45" s="1557"/>
      <c r="D45" s="1259">
        <v>42171</v>
      </c>
      <c r="E45" s="1260">
        <v>0.47013888888888888</v>
      </c>
      <c r="F45" s="1261">
        <v>8.24</v>
      </c>
      <c r="G45" s="1261">
        <v>9.4</v>
      </c>
      <c r="H45" s="1261">
        <v>11.69</v>
      </c>
      <c r="I45" s="1262">
        <v>108</v>
      </c>
      <c r="J45" s="1263">
        <v>450</v>
      </c>
      <c r="K45" s="1264">
        <v>0.01</v>
      </c>
      <c r="L45" s="1258" t="s">
        <v>1623</v>
      </c>
    </row>
    <row r="46" spans="1:12">
      <c r="A46" s="1559"/>
      <c r="B46" s="1555"/>
      <c r="C46" s="1557"/>
      <c r="D46" s="1259">
        <v>42192</v>
      </c>
      <c r="E46" s="1260">
        <v>0.4513888888888889</v>
      </c>
      <c r="F46" s="1261">
        <v>8.34</v>
      </c>
      <c r="G46" s="1261">
        <v>12.9</v>
      </c>
      <c r="H46" s="1261">
        <v>10.17</v>
      </c>
      <c r="I46" s="1262">
        <v>141</v>
      </c>
      <c r="J46" s="1263">
        <v>180</v>
      </c>
      <c r="K46" s="1264">
        <v>0.01</v>
      </c>
      <c r="L46" s="1258" t="s">
        <v>1621</v>
      </c>
    </row>
    <row r="47" spans="1:12">
      <c r="A47" s="1559"/>
      <c r="B47" s="1555"/>
      <c r="C47" s="1557"/>
      <c r="D47" s="1259">
        <v>42234</v>
      </c>
      <c r="E47" s="1260">
        <v>0.52083333333333337</v>
      </c>
      <c r="F47" s="1261">
        <v>8.02</v>
      </c>
      <c r="G47" s="1261">
        <v>14.8</v>
      </c>
      <c r="H47" s="1261">
        <v>10.93</v>
      </c>
      <c r="I47" s="1262">
        <v>183</v>
      </c>
      <c r="J47" s="1263">
        <v>80</v>
      </c>
      <c r="K47" s="1264">
        <v>0.06</v>
      </c>
      <c r="L47" s="1258" t="s">
        <v>1620</v>
      </c>
    </row>
    <row r="48" spans="1:12">
      <c r="A48" s="1559"/>
      <c r="B48" s="1555"/>
      <c r="C48" s="1557"/>
      <c r="D48" s="1259">
        <v>42262</v>
      </c>
      <c r="E48" s="1260">
        <v>0.4909722222222222</v>
      </c>
      <c r="F48" s="1261">
        <v>8.23</v>
      </c>
      <c r="G48" s="1261">
        <v>13.2</v>
      </c>
      <c r="H48" s="1261">
        <v>9.4</v>
      </c>
      <c r="I48" s="1262">
        <v>220</v>
      </c>
      <c r="J48" s="1263">
        <v>23</v>
      </c>
      <c r="K48" s="1264">
        <v>0.03</v>
      </c>
      <c r="L48" s="1258" t="s">
        <v>1603</v>
      </c>
    </row>
    <row r="49" spans="1:12">
      <c r="A49" s="1559"/>
      <c r="B49" s="1556"/>
      <c r="C49" s="1553"/>
      <c r="D49" s="1259">
        <v>42303</v>
      </c>
      <c r="E49" s="1260">
        <v>0.48333333333333334</v>
      </c>
      <c r="F49" s="1261">
        <v>8.09</v>
      </c>
      <c r="G49" s="1261">
        <v>6.2</v>
      </c>
      <c r="H49" s="1261">
        <v>14.8</v>
      </c>
      <c r="I49" s="1262">
        <v>254</v>
      </c>
      <c r="J49" s="1263">
        <v>30</v>
      </c>
      <c r="K49" s="1264">
        <v>0.05</v>
      </c>
      <c r="L49" s="1258" t="s">
        <v>1620</v>
      </c>
    </row>
    <row r="50" spans="1:12">
      <c r="A50" s="1559"/>
      <c r="B50" s="1554" t="s">
        <v>230</v>
      </c>
      <c r="C50" s="1552" t="s">
        <v>889</v>
      </c>
      <c r="D50" s="1252">
        <v>42145</v>
      </c>
      <c r="E50" s="1260">
        <v>0.51041666666666663</v>
      </c>
      <c r="F50" s="1261">
        <v>7.88</v>
      </c>
      <c r="G50" s="1261">
        <v>5.9</v>
      </c>
      <c r="H50" s="1261">
        <v>11.78</v>
      </c>
      <c r="I50" s="1262">
        <v>173</v>
      </c>
      <c r="J50" s="1263">
        <v>630</v>
      </c>
      <c r="K50" s="1264">
        <v>0.01</v>
      </c>
      <c r="L50" s="1258" t="s">
        <v>1621</v>
      </c>
    </row>
    <row r="51" spans="1:12">
      <c r="A51" s="1559"/>
      <c r="B51" s="1555"/>
      <c r="C51" s="1557"/>
      <c r="D51" s="1259">
        <v>42171</v>
      </c>
      <c r="E51" s="1260">
        <v>0.47916666666666669</v>
      </c>
      <c r="F51" s="1261">
        <v>8.18</v>
      </c>
      <c r="G51" s="1261">
        <v>9.9</v>
      </c>
      <c r="H51" s="1261">
        <v>11.76</v>
      </c>
      <c r="I51" s="1262">
        <v>107</v>
      </c>
      <c r="J51" s="1263">
        <v>573</v>
      </c>
      <c r="K51" s="1264">
        <v>0.01</v>
      </c>
      <c r="L51" s="1258" t="s">
        <v>1623</v>
      </c>
    </row>
    <row r="52" spans="1:12">
      <c r="A52" s="1559"/>
      <c r="B52" s="1555"/>
      <c r="C52" s="1557"/>
      <c r="D52" s="1259">
        <v>42192</v>
      </c>
      <c r="E52" s="1260">
        <v>0.4604166666666667</v>
      </c>
      <c r="F52" s="1261">
        <v>8.2799999999999994</v>
      </c>
      <c r="G52" s="1261">
        <v>13.3</v>
      </c>
      <c r="H52" s="1261">
        <v>9.6199999999999992</v>
      </c>
      <c r="I52" s="1262">
        <v>147</v>
      </c>
      <c r="J52" s="1263">
        <v>187</v>
      </c>
      <c r="K52" s="1264">
        <v>0.01</v>
      </c>
      <c r="L52" s="1258" t="s">
        <v>1621</v>
      </c>
    </row>
    <row r="53" spans="1:12">
      <c r="A53" s="1559"/>
      <c r="B53" s="1555"/>
      <c r="C53" s="1557"/>
      <c r="D53" s="1259">
        <v>42234</v>
      </c>
      <c r="E53" s="1260">
        <v>0.52777777777777779</v>
      </c>
      <c r="F53" s="1261">
        <v>8.01</v>
      </c>
      <c r="G53" s="1261">
        <v>14.6</v>
      </c>
      <c r="H53" s="1261">
        <v>11.45</v>
      </c>
      <c r="I53" s="1262">
        <v>185</v>
      </c>
      <c r="J53" s="1263">
        <v>67</v>
      </c>
      <c r="K53" s="1264">
        <v>0.05</v>
      </c>
      <c r="L53" s="1258" t="s">
        <v>1620</v>
      </c>
    </row>
    <row r="54" spans="1:12">
      <c r="A54" s="1559"/>
      <c r="B54" s="1555"/>
      <c r="C54" s="1557"/>
      <c r="D54" s="1259">
        <v>42262</v>
      </c>
      <c r="E54" s="1260">
        <v>0.50347222222222221</v>
      </c>
      <c r="F54" s="1261">
        <v>8.23</v>
      </c>
      <c r="G54" s="1261">
        <v>13.2</v>
      </c>
      <c r="H54" s="1261">
        <v>9.7200000000000006</v>
      </c>
      <c r="I54" s="1262">
        <v>210</v>
      </c>
      <c r="J54" s="1263">
        <v>22</v>
      </c>
      <c r="K54" s="1264">
        <v>0.03</v>
      </c>
      <c r="L54" s="1258" t="s">
        <v>1603</v>
      </c>
    </row>
    <row r="55" spans="1:12">
      <c r="A55" s="1560"/>
      <c r="B55" s="1556"/>
      <c r="C55" s="1553"/>
      <c r="D55" s="1259">
        <v>42303</v>
      </c>
      <c r="E55" s="1260">
        <v>0.49305555555555558</v>
      </c>
      <c r="F55" s="1261">
        <v>8.1199999999999992</v>
      </c>
      <c r="G55" s="1261">
        <v>6.4</v>
      </c>
      <c r="H55" s="1261">
        <v>14.64</v>
      </c>
      <c r="I55" s="1262">
        <v>264</v>
      </c>
      <c r="J55" s="1263">
        <v>34</v>
      </c>
      <c r="K55" s="1264">
        <v>0.02</v>
      </c>
      <c r="L55" s="1258" t="s">
        <v>1603</v>
      </c>
    </row>
    <row r="56" spans="1:12">
      <c r="A56" s="1563" t="s">
        <v>246</v>
      </c>
      <c r="B56" s="1554" t="s">
        <v>233</v>
      </c>
      <c r="C56" s="1552" t="s">
        <v>890</v>
      </c>
      <c r="D56" s="1252">
        <v>42145</v>
      </c>
      <c r="E56" s="1253">
        <v>0.3888888888888889</v>
      </c>
      <c r="F56" s="1254">
        <v>8.1</v>
      </c>
      <c r="G56" s="1254">
        <v>3.9</v>
      </c>
      <c r="H56" s="1254">
        <v>11.51</v>
      </c>
      <c r="I56" s="1255">
        <v>88</v>
      </c>
      <c r="J56" s="1256">
        <v>119</v>
      </c>
      <c r="K56" s="1257">
        <v>0.01</v>
      </c>
      <c r="L56" s="1258" t="s">
        <v>1620</v>
      </c>
    </row>
    <row r="57" spans="1:12">
      <c r="A57" s="1563"/>
      <c r="B57" s="1555"/>
      <c r="C57" s="1557"/>
      <c r="D57" s="1259">
        <v>42171</v>
      </c>
      <c r="E57" s="1253">
        <v>0.37847222222222227</v>
      </c>
      <c r="F57" s="1254">
        <v>8.7200000000000006</v>
      </c>
      <c r="G57" s="1254">
        <v>5.9</v>
      </c>
      <c r="H57" s="1254">
        <v>12.51</v>
      </c>
      <c r="I57" s="1255">
        <v>58</v>
      </c>
      <c r="J57" s="1256">
        <v>87.8</v>
      </c>
      <c r="K57" s="1257">
        <v>0.01</v>
      </c>
      <c r="L57" s="1258" t="s">
        <v>1621</v>
      </c>
    </row>
    <row r="58" spans="1:12">
      <c r="A58" s="1563"/>
      <c r="B58" s="1555"/>
      <c r="C58" s="1557"/>
      <c r="D58" s="1259">
        <v>42192</v>
      </c>
      <c r="E58" s="1253">
        <v>0.37013888888888885</v>
      </c>
      <c r="F58" s="1254">
        <v>8.74</v>
      </c>
      <c r="G58" s="1254">
        <v>8</v>
      </c>
      <c r="H58" s="1254">
        <v>13.36</v>
      </c>
      <c r="I58" s="1255">
        <v>81</v>
      </c>
      <c r="J58" s="1256">
        <v>27.3</v>
      </c>
      <c r="K58" s="1257">
        <v>0.01</v>
      </c>
      <c r="L58" s="1258" t="s">
        <v>1620</v>
      </c>
    </row>
    <row r="59" spans="1:12">
      <c r="A59" s="1563"/>
      <c r="B59" s="1555"/>
      <c r="C59" s="1557"/>
      <c r="D59" s="1259">
        <v>42234</v>
      </c>
      <c r="E59" s="1260">
        <v>0.41666666666666669</v>
      </c>
      <c r="F59" s="1261">
        <v>8.64</v>
      </c>
      <c r="G59" s="1261">
        <v>9.1</v>
      </c>
      <c r="H59" s="1261">
        <v>12.88</v>
      </c>
      <c r="I59" s="1262">
        <v>93</v>
      </c>
      <c r="J59" s="1263">
        <v>4.0999999999999996</v>
      </c>
      <c r="K59" s="1264">
        <v>0.02</v>
      </c>
      <c r="L59" s="1258" t="s">
        <v>1603</v>
      </c>
    </row>
    <row r="60" spans="1:12">
      <c r="A60" s="1563"/>
      <c r="B60" s="1555"/>
      <c r="C60" s="1557"/>
      <c r="D60" s="1259">
        <v>42262</v>
      </c>
      <c r="E60" s="1260">
        <v>0.39930555555555558</v>
      </c>
      <c r="F60" s="1261">
        <v>8.74</v>
      </c>
      <c r="G60" s="1261">
        <v>7.8</v>
      </c>
      <c r="H60" s="1261">
        <v>11.17</v>
      </c>
      <c r="I60" s="1262">
        <v>91</v>
      </c>
      <c r="J60" s="1263">
        <v>1.7</v>
      </c>
      <c r="K60" s="1264">
        <v>0.03</v>
      </c>
      <c r="L60" s="1258" t="s">
        <v>1602</v>
      </c>
    </row>
    <row r="61" spans="1:12">
      <c r="A61" s="1563"/>
      <c r="B61" s="1556"/>
      <c r="C61" s="1553"/>
      <c r="D61" s="1259">
        <v>42303</v>
      </c>
      <c r="E61" s="1260">
        <v>0.39027777777777778</v>
      </c>
      <c r="F61" s="1261">
        <v>8.4600000000000009</v>
      </c>
      <c r="G61" s="1261">
        <v>2.2999999999999998</v>
      </c>
      <c r="H61" s="1261">
        <v>15.6</v>
      </c>
      <c r="I61" s="1262">
        <v>99</v>
      </c>
      <c r="J61" s="1263">
        <v>4.0999999999999996</v>
      </c>
      <c r="K61" s="1264">
        <v>0.03</v>
      </c>
      <c r="L61" s="1258" t="s">
        <v>1602</v>
      </c>
    </row>
    <row r="62" spans="1:12" ht="15.75" customHeight="1">
      <c r="A62" s="1561" t="s">
        <v>686</v>
      </c>
      <c r="B62" s="1554" t="s">
        <v>456</v>
      </c>
      <c r="C62" s="1552" t="s">
        <v>891</v>
      </c>
      <c r="D62" s="1252">
        <v>42145</v>
      </c>
      <c r="E62" s="1260">
        <v>0.51597222222222217</v>
      </c>
      <c r="F62" s="1261">
        <v>7.73</v>
      </c>
      <c r="G62" s="1261">
        <v>7.1</v>
      </c>
      <c r="H62" s="1261">
        <v>11.01</v>
      </c>
      <c r="I62" s="1262">
        <v>917</v>
      </c>
      <c r="J62" s="1263">
        <v>78</v>
      </c>
      <c r="K62" s="1264">
        <v>0.01</v>
      </c>
      <c r="L62" s="1258" t="s">
        <v>1621</v>
      </c>
    </row>
    <row r="63" spans="1:12" ht="15.75" customHeight="1">
      <c r="A63" s="1561"/>
      <c r="B63" s="1555"/>
      <c r="C63" s="1557"/>
      <c r="D63" s="1259">
        <v>42171</v>
      </c>
      <c r="E63" s="1260">
        <v>0.48472222222222222</v>
      </c>
      <c r="F63" s="1261">
        <v>7.82</v>
      </c>
      <c r="G63" s="1261">
        <v>12.1</v>
      </c>
      <c r="H63" s="1261">
        <v>11.54</v>
      </c>
      <c r="I63" s="1262">
        <v>1040</v>
      </c>
      <c r="J63" s="1263">
        <v>7.5</v>
      </c>
      <c r="K63" s="1264">
        <v>0.01</v>
      </c>
      <c r="L63" s="1258" t="s">
        <v>1623</v>
      </c>
    </row>
    <row r="64" spans="1:12" ht="15.75" customHeight="1">
      <c r="A64" s="1561"/>
      <c r="B64" s="1555"/>
      <c r="C64" s="1557"/>
      <c r="D64" s="1259">
        <v>42192</v>
      </c>
      <c r="E64" s="1260" t="s">
        <v>1625</v>
      </c>
      <c r="F64" s="1261">
        <v>8.01</v>
      </c>
      <c r="G64" s="1261">
        <v>12.3</v>
      </c>
      <c r="H64" s="1261">
        <v>12.12</v>
      </c>
      <c r="I64" s="1262">
        <v>1165</v>
      </c>
      <c r="J64" s="1263">
        <v>5.9</v>
      </c>
      <c r="K64" s="1264">
        <v>0.05</v>
      </c>
      <c r="L64" s="1258" t="s">
        <v>1620</v>
      </c>
    </row>
    <row r="65" spans="1:12">
      <c r="A65" s="1561"/>
      <c r="B65" s="1555"/>
      <c r="C65" s="1557"/>
      <c r="D65" s="1259">
        <v>42234</v>
      </c>
      <c r="E65" s="1260">
        <v>0.53472222222222221</v>
      </c>
      <c r="F65" s="1261">
        <v>7.83</v>
      </c>
      <c r="G65" s="1261">
        <v>13.1</v>
      </c>
      <c r="H65" s="1261">
        <v>11.94</v>
      </c>
      <c r="I65" s="1262">
        <v>1294</v>
      </c>
      <c r="J65" s="1263">
        <v>3.4</v>
      </c>
      <c r="K65" s="1264">
        <v>0.2</v>
      </c>
      <c r="L65" s="1258" t="s">
        <v>1603</v>
      </c>
    </row>
    <row r="66" spans="1:12">
      <c r="A66" s="1561"/>
      <c r="B66" s="1555"/>
      <c r="C66" s="1557"/>
      <c r="D66" s="1259">
        <v>42262</v>
      </c>
      <c r="E66" s="1260">
        <v>0.50902777777777775</v>
      </c>
      <c r="F66" s="1261">
        <v>8.0299999999999994</v>
      </c>
      <c r="G66" s="1261">
        <v>12.4</v>
      </c>
      <c r="H66" s="1261">
        <v>9.48</v>
      </c>
      <c r="I66" s="1262">
        <v>1372</v>
      </c>
      <c r="J66" s="1263">
        <v>0.3</v>
      </c>
      <c r="K66" s="1264">
        <v>0.2</v>
      </c>
      <c r="L66" s="1258" t="s">
        <v>1602</v>
      </c>
    </row>
    <row r="67" spans="1:12">
      <c r="A67" s="1562"/>
      <c r="B67" s="1556"/>
      <c r="C67" s="1553"/>
      <c r="D67" s="1259">
        <v>42303</v>
      </c>
      <c r="E67" s="1260">
        <v>0.49791666666666662</v>
      </c>
      <c r="F67" s="1261">
        <v>7.76</v>
      </c>
      <c r="G67" s="1261">
        <v>8.6999999999999993</v>
      </c>
      <c r="H67" s="1261">
        <v>11.5</v>
      </c>
      <c r="I67" s="1262">
        <v>1504</v>
      </c>
      <c r="J67" s="1263">
        <v>2.2999999999999998</v>
      </c>
      <c r="K67" s="1264">
        <v>0.6</v>
      </c>
      <c r="L67" s="1258" t="s">
        <v>1602</v>
      </c>
    </row>
    <row r="68" spans="1:12" ht="15.75" customHeight="1">
      <c r="A68" s="1558" t="s">
        <v>248</v>
      </c>
      <c r="B68" s="1554" t="s">
        <v>234</v>
      </c>
      <c r="C68" s="1552" t="s">
        <v>892</v>
      </c>
      <c r="D68" s="1252">
        <v>42145</v>
      </c>
      <c r="E68" s="1253">
        <v>6.5972222222222224E-2</v>
      </c>
      <c r="F68" s="1254">
        <v>7.92</v>
      </c>
      <c r="G68" s="1254">
        <v>7.8</v>
      </c>
      <c r="H68" s="1254">
        <v>10.039999999999999</v>
      </c>
      <c r="I68" s="1255">
        <v>77</v>
      </c>
      <c r="J68" s="1256">
        <v>12.2</v>
      </c>
      <c r="K68" s="1257">
        <v>0</v>
      </c>
      <c r="L68" s="1258" t="s">
        <v>1603</v>
      </c>
    </row>
    <row r="69" spans="1:12" ht="15.75" customHeight="1">
      <c r="A69" s="1559"/>
      <c r="B69" s="1555"/>
      <c r="C69" s="1557"/>
      <c r="D69" s="1259">
        <v>42171</v>
      </c>
      <c r="E69" s="1253">
        <v>4.8611111111111112E-2</v>
      </c>
      <c r="F69" s="1254">
        <v>8.33</v>
      </c>
      <c r="G69" s="1254">
        <v>8.1999999999999993</v>
      </c>
      <c r="H69" s="1254">
        <v>11.36</v>
      </c>
      <c r="I69" s="1255">
        <v>54</v>
      </c>
      <c r="J69" s="1256">
        <v>4.9000000000000004</v>
      </c>
      <c r="K69" s="1257">
        <v>0.05</v>
      </c>
      <c r="L69" s="1258" t="s">
        <v>1603</v>
      </c>
    </row>
    <row r="70" spans="1:12" ht="15.75" customHeight="1">
      <c r="A70" s="1559"/>
      <c r="B70" s="1555"/>
      <c r="C70" s="1557"/>
      <c r="D70" s="1259">
        <v>42192</v>
      </c>
      <c r="E70" s="1253">
        <v>0.50624999999999998</v>
      </c>
      <c r="F70" s="1254">
        <v>8.17</v>
      </c>
      <c r="G70" s="1254">
        <v>9</v>
      </c>
      <c r="H70" s="1254">
        <v>11.62</v>
      </c>
      <c r="I70" s="1255">
        <v>66</v>
      </c>
      <c r="J70" s="1256">
        <v>2.9</v>
      </c>
      <c r="K70" s="1257">
        <v>0.01</v>
      </c>
      <c r="L70" s="1258" t="s">
        <v>1603</v>
      </c>
    </row>
    <row r="71" spans="1:12" ht="15.75" customHeight="1">
      <c r="A71" s="1559"/>
      <c r="B71" s="1555"/>
      <c r="C71" s="1557"/>
      <c r="D71" s="1259">
        <v>42234</v>
      </c>
      <c r="E71" s="1260">
        <v>7.7777777777777779E-2</v>
      </c>
      <c r="F71" s="1261">
        <v>8.41</v>
      </c>
      <c r="G71" s="1261">
        <v>11.9</v>
      </c>
      <c r="H71" s="1261">
        <v>11.15</v>
      </c>
      <c r="I71" s="1262">
        <v>76</v>
      </c>
      <c r="J71" s="1263">
        <v>1.2</v>
      </c>
      <c r="K71" s="1264">
        <v>0</v>
      </c>
      <c r="L71" s="1258" t="s">
        <v>1602</v>
      </c>
    </row>
    <row r="72" spans="1:12" ht="15.75" customHeight="1">
      <c r="A72" s="1559"/>
      <c r="B72" s="1555"/>
      <c r="C72" s="1557"/>
      <c r="D72" s="1259">
        <v>42262</v>
      </c>
      <c r="E72" s="1260">
        <v>5.2083333333333336E-2</v>
      </c>
      <c r="F72" s="1261">
        <v>8.2899999999999991</v>
      </c>
      <c r="G72" s="1261">
        <v>11.6</v>
      </c>
      <c r="H72" s="1261">
        <v>9.6199999999999992</v>
      </c>
      <c r="I72" s="1274">
        <v>81</v>
      </c>
      <c r="J72" s="1263">
        <v>0.2</v>
      </c>
      <c r="K72" s="1264">
        <v>0.01</v>
      </c>
      <c r="L72" s="1258" t="s">
        <v>1602</v>
      </c>
    </row>
    <row r="73" spans="1:12" ht="15.75" customHeight="1">
      <c r="A73" s="1559"/>
      <c r="B73" s="1275"/>
      <c r="C73" s="1553"/>
      <c r="D73" s="1259">
        <v>42303</v>
      </c>
      <c r="E73" s="1260">
        <v>0.53541666666666665</v>
      </c>
      <c r="F73" s="1261">
        <v>8.35</v>
      </c>
      <c r="G73" s="1261">
        <v>4.5</v>
      </c>
      <c r="H73" s="1261">
        <v>14.22</v>
      </c>
      <c r="I73" s="1262">
        <v>101</v>
      </c>
      <c r="J73" s="1263">
        <v>1.6</v>
      </c>
      <c r="K73" s="1264">
        <v>0.01</v>
      </c>
      <c r="L73" s="1258" t="s">
        <v>1602</v>
      </c>
    </row>
    <row r="74" spans="1:12" ht="15.75" customHeight="1">
      <c r="A74" s="1559"/>
      <c r="B74" s="1554" t="s">
        <v>235</v>
      </c>
      <c r="C74" s="1552" t="s">
        <v>893</v>
      </c>
      <c r="D74" s="1252">
        <v>42145</v>
      </c>
      <c r="E74" s="1253">
        <v>7.6388888888888895E-2</v>
      </c>
      <c r="F74" s="1254">
        <v>7.73</v>
      </c>
      <c r="G74" s="1254">
        <v>6.5</v>
      </c>
      <c r="H74" s="1254">
        <v>10.87</v>
      </c>
      <c r="I74" s="1255">
        <v>110</v>
      </c>
      <c r="J74" s="1256">
        <v>216</v>
      </c>
      <c r="K74" s="1257">
        <v>0.01</v>
      </c>
      <c r="L74" s="1258" t="s">
        <v>1620</v>
      </c>
    </row>
    <row r="75" spans="1:12" ht="15.75" customHeight="1">
      <c r="A75" s="1559"/>
      <c r="B75" s="1555"/>
      <c r="C75" s="1557"/>
      <c r="D75" s="1259">
        <v>42171</v>
      </c>
      <c r="E75" s="1253">
        <v>5.7638888888888885E-2</v>
      </c>
      <c r="F75" s="1254">
        <v>8.1999999999999993</v>
      </c>
      <c r="G75" s="1254">
        <v>10.4</v>
      </c>
      <c r="H75" s="1254">
        <v>10.27</v>
      </c>
      <c r="I75" s="1255">
        <v>106</v>
      </c>
      <c r="J75" s="1256">
        <v>29.7</v>
      </c>
      <c r="K75" s="1257">
        <v>0.01</v>
      </c>
      <c r="L75" s="1258" t="s">
        <v>1623</v>
      </c>
    </row>
    <row r="76" spans="1:12" ht="15.75" customHeight="1">
      <c r="A76" s="1559"/>
      <c r="B76" s="1555"/>
      <c r="C76" s="1557"/>
      <c r="D76" s="1259">
        <v>42192</v>
      </c>
      <c r="E76" s="1253">
        <v>0.51666666666666672</v>
      </c>
      <c r="F76" s="1254">
        <v>8.17</v>
      </c>
      <c r="G76" s="1254">
        <v>11.6</v>
      </c>
      <c r="H76" s="1254">
        <v>10.62</v>
      </c>
      <c r="I76" s="1255">
        <v>129</v>
      </c>
      <c r="J76" s="1256">
        <v>11.1</v>
      </c>
      <c r="K76" s="1257">
        <v>0.01</v>
      </c>
      <c r="L76" s="1258" t="s">
        <v>1620</v>
      </c>
    </row>
    <row r="77" spans="1:12" ht="15.75" customHeight="1">
      <c r="A77" s="1559"/>
      <c r="B77" s="1555"/>
      <c r="C77" s="1557"/>
      <c r="D77" s="1259">
        <v>42234</v>
      </c>
      <c r="E77" s="1260">
        <v>8.7500000000000008E-2</v>
      </c>
      <c r="F77" s="1261">
        <v>7.9</v>
      </c>
      <c r="G77" s="1261">
        <v>14.6</v>
      </c>
      <c r="H77" s="1261">
        <v>10.98</v>
      </c>
      <c r="I77" s="1262">
        <v>168</v>
      </c>
      <c r="J77" s="1263">
        <v>14.6</v>
      </c>
      <c r="K77" s="1264">
        <v>0.05</v>
      </c>
      <c r="L77" s="1258" t="s">
        <v>1620</v>
      </c>
    </row>
    <row r="78" spans="1:12" ht="15.75" customHeight="1">
      <c r="A78" s="1559"/>
      <c r="B78" s="1555"/>
      <c r="C78" s="1557"/>
      <c r="D78" s="1259">
        <v>42262</v>
      </c>
      <c r="E78" s="1260">
        <v>6.3888888888888884E-2</v>
      </c>
      <c r="F78" s="1261">
        <v>8.25</v>
      </c>
      <c r="G78" s="1261">
        <v>13.4</v>
      </c>
      <c r="H78" s="1261">
        <v>8.14</v>
      </c>
      <c r="I78" s="1262">
        <v>185</v>
      </c>
      <c r="J78" s="1263">
        <v>0.3</v>
      </c>
      <c r="K78" s="1264">
        <v>0.12</v>
      </c>
      <c r="L78" s="1258" t="s">
        <v>1602</v>
      </c>
    </row>
    <row r="79" spans="1:12" ht="15.75" customHeight="1">
      <c r="A79" s="1559"/>
      <c r="B79" s="1556"/>
      <c r="C79" s="1553"/>
      <c r="D79" s="1259">
        <v>42303</v>
      </c>
      <c r="E79" s="1260">
        <v>4.3750000000000004E-2</v>
      </c>
      <c r="F79" s="1261">
        <v>8.1199999999999992</v>
      </c>
      <c r="G79" s="1261">
        <v>5.6</v>
      </c>
      <c r="H79" s="1261">
        <v>14.02</v>
      </c>
      <c r="I79" s="1262">
        <v>171</v>
      </c>
      <c r="J79" s="1263">
        <v>1</v>
      </c>
      <c r="K79" s="1264">
        <v>0.05</v>
      </c>
      <c r="L79" s="1258" t="s">
        <v>1602</v>
      </c>
    </row>
    <row r="80" spans="1:12" ht="15.75" customHeight="1">
      <c r="A80" s="1559"/>
      <c r="B80" s="1554" t="s">
        <v>453</v>
      </c>
      <c r="C80" s="1552" t="s">
        <v>455</v>
      </c>
      <c r="D80" s="1252">
        <v>42145</v>
      </c>
      <c r="E80" s="1260">
        <v>0.35416666666666669</v>
      </c>
      <c r="F80" s="1261">
        <v>8.0500000000000007</v>
      </c>
      <c r="G80" s="1261">
        <v>7</v>
      </c>
      <c r="H80" s="1261">
        <v>10.39</v>
      </c>
      <c r="I80" s="1262">
        <v>508</v>
      </c>
      <c r="J80" s="1263">
        <v>7.7</v>
      </c>
      <c r="K80" s="1264">
        <v>0.05</v>
      </c>
      <c r="L80" s="1258" t="s">
        <v>1603</v>
      </c>
    </row>
    <row r="81" spans="1:12" ht="15.75" customHeight="1">
      <c r="A81" s="1559"/>
      <c r="B81" s="1555"/>
      <c r="C81" s="1557"/>
      <c r="D81" s="1259">
        <v>42171</v>
      </c>
      <c r="E81" s="1260">
        <v>0.33333333333333331</v>
      </c>
      <c r="F81" s="1261">
        <v>8.27</v>
      </c>
      <c r="G81" s="1261">
        <v>13.3</v>
      </c>
      <c r="H81" s="1261">
        <v>6</v>
      </c>
      <c r="I81" s="1262">
        <v>517</v>
      </c>
      <c r="J81" s="1263">
        <v>4.7</v>
      </c>
      <c r="K81" s="1264">
        <v>0.1</v>
      </c>
      <c r="L81" s="1258" t="s">
        <v>1603</v>
      </c>
    </row>
    <row r="82" spans="1:12" ht="15.75" customHeight="1">
      <c r="A82" s="1559"/>
      <c r="B82" s="1555"/>
      <c r="C82" s="1557"/>
      <c r="D82" s="1259">
        <v>42192</v>
      </c>
      <c r="E82" s="1260">
        <v>0.34722222222222227</v>
      </c>
      <c r="F82" s="1261">
        <v>8.5</v>
      </c>
      <c r="G82" s="1261">
        <v>14.1</v>
      </c>
      <c r="H82" s="1261">
        <v>6.14</v>
      </c>
      <c r="I82" s="1262">
        <v>568</v>
      </c>
      <c r="J82" s="1263">
        <v>2.8</v>
      </c>
      <c r="K82" s="1264">
        <v>0.01</v>
      </c>
      <c r="L82" s="1258" t="s">
        <v>1603</v>
      </c>
    </row>
    <row r="83" spans="1:12" ht="15.75" customHeight="1">
      <c r="A83" s="1559"/>
      <c r="B83" s="1555"/>
      <c r="C83" s="1557"/>
      <c r="D83" s="1259">
        <v>42234</v>
      </c>
      <c r="E83" s="1260">
        <v>0.3923611111111111</v>
      </c>
      <c r="F83" s="1261">
        <v>8.51</v>
      </c>
      <c r="G83" s="1261">
        <v>13.4</v>
      </c>
      <c r="H83" s="1261">
        <v>8.3699999999999992</v>
      </c>
      <c r="I83" s="1262">
        <v>710</v>
      </c>
      <c r="J83" s="1263">
        <v>0.8</v>
      </c>
      <c r="K83" s="1264">
        <v>0.05</v>
      </c>
      <c r="L83" s="1258" t="s">
        <v>1603</v>
      </c>
    </row>
    <row r="84" spans="1:12" ht="15.75" customHeight="1">
      <c r="A84" s="1559"/>
      <c r="B84" s="1555"/>
      <c r="C84" s="1557"/>
      <c r="D84" s="1259">
        <v>42262</v>
      </c>
      <c r="E84" s="1260">
        <v>0.37847222222222227</v>
      </c>
      <c r="F84" s="1261">
        <v>8.4600000000000009</v>
      </c>
      <c r="G84" s="1261">
        <v>10.6</v>
      </c>
      <c r="H84" s="1261">
        <v>8.93</v>
      </c>
      <c r="I84" s="1262">
        <v>761</v>
      </c>
      <c r="J84" s="1263">
        <v>0.3</v>
      </c>
      <c r="K84" s="1264">
        <v>0.2</v>
      </c>
      <c r="L84" s="1258" t="s">
        <v>1602</v>
      </c>
    </row>
    <row r="85" spans="1:12" ht="15.75" customHeight="1">
      <c r="A85" s="1559"/>
      <c r="B85" s="1556"/>
      <c r="C85" s="1553"/>
      <c r="D85" s="1259">
        <v>42303</v>
      </c>
      <c r="E85" s="1260">
        <v>0.3611111111111111</v>
      </c>
      <c r="F85" s="1261">
        <v>8.34</v>
      </c>
      <c r="G85" s="1261">
        <v>5.6</v>
      </c>
      <c r="H85" s="1261">
        <v>13.82</v>
      </c>
      <c r="I85" s="1262">
        <v>758</v>
      </c>
      <c r="J85" s="1263">
        <v>0.4</v>
      </c>
      <c r="K85" s="1264">
        <v>0.02</v>
      </c>
      <c r="L85" s="1258" t="s">
        <v>1602</v>
      </c>
    </row>
    <row r="86" spans="1:12" ht="17.25" customHeight="1">
      <c r="A86" s="1559"/>
      <c r="B86" s="1554" t="s">
        <v>452</v>
      </c>
      <c r="C86" s="1552" t="s">
        <v>454</v>
      </c>
      <c r="D86" s="1252">
        <v>42145</v>
      </c>
      <c r="E86" s="1260">
        <v>0.47569444444444442</v>
      </c>
      <c r="F86" s="1261">
        <v>7.8</v>
      </c>
      <c r="G86" s="1261">
        <v>7.8</v>
      </c>
      <c r="H86" s="1261">
        <v>13</v>
      </c>
      <c r="I86" s="1262">
        <v>499</v>
      </c>
      <c r="J86" s="1263">
        <v>15.7</v>
      </c>
      <c r="K86" s="1264">
        <v>0.02</v>
      </c>
      <c r="L86" s="1258" t="s">
        <v>1621</v>
      </c>
    </row>
    <row r="87" spans="1:12" ht="17.25" customHeight="1">
      <c r="A87" s="1559"/>
      <c r="B87" s="1555"/>
      <c r="C87" s="1557"/>
      <c r="D87" s="1259">
        <v>42171</v>
      </c>
      <c r="E87" s="1260">
        <v>0.44444444444444442</v>
      </c>
      <c r="F87" s="1261">
        <v>7.87</v>
      </c>
      <c r="G87" s="1261">
        <v>12.6</v>
      </c>
      <c r="H87" s="1261">
        <v>10.8</v>
      </c>
      <c r="I87" s="1262">
        <v>578</v>
      </c>
      <c r="J87" s="1263">
        <v>8.6</v>
      </c>
      <c r="K87" s="1264">
        <v>0.05</v>
      </c>
      <c r="L87" s="1258" t="s">
        <v>1620</v>
      </c>
    </row>
    <row r="88" spans="1:12" ht="17.25" customHeight="1">
      <c r="A88" s="1559"/>
      <c r="B88" s="1555"/>
      <c r="C88" s="1557"/>
      <c r="D88" s="1259">
        <v>42192</v>
      </c>
      <c r="E88" s="1260">
        <v>0.4291666666666667</v>
      </c>
      <c r="F88" s="1261">
        <v>8.0500000000000007</v>
      </c>
      <c r="G88" s="1261">
        <v>13.6</v>
      </c>
      <c r="H88" s="1261">
        <v>10.71</v>
      </c>
      <c r="I88" s="1262">
        <v>568</v>
      </c>
      <c r="J88" s="1263">
        <v>7.5</v>
      </c>
      <c r="K88" s="1264">
        <v>0.05</v>
      </c>
      <c r="L88" s="1258" t="s">
        <v>1620</v>
      </c>
    </row>
    <row r="89" spans="1:12" ht="17.25" customHeight="1">
      <c r="A89" s="1559"/>
      <c r="B89" s="1555"/>
      <c r="C89" s="1557"/>
      <c r="D89" s="1259">
        <v>42234</v>
      </c>
      <c r="E89" s="1260">
        <v>0.49305555555555558</v>
      </c>
      <c r="F89" s="1261">
        <v>7.89</v>
      </c>
      <c r="G89" s="1261">
        <v>13.7</v>
      </c>
      <c r="H89" s="1261">
        <v>11.83</v>
      </c>
      <c r="I89" s="1262">
        <v>686</v>
      </c>
      <c r="J89" s="1263">
        <v>5.5</v>
      </c>
      <c r="K89" s="1264">
        <v>0.02</v>
      </c>
      <c r="L89" s="1258" t="s">
        <v>1603</v>
      </c>
    </row>
    <row r="90" spans="1:12" ht="17.25" customHeight="1">
      <c r="A90" s="1559"/>
      <c r="B90" s="1555"/>
      <c r="C90" s="1557"/>
      <c r="D90" s="1259">
        <v>42262</v>
      </c>
      <c r="E90" s="1260">
        <v>0.46180555555555558</v>
      </c>
      <c r="F90" s="1261">
        <v>7.93</v>
      </c>
      <c r="G90" s="1261">
        <v>11.7</v>
      </c>
      <c r="H90" s="1261">
        <v>10.45</v>
      </c>
      <c r="I90" s="1262">
        <v>726</v>
      </c>
      <c r="J90" s="1263">
        <v>1.7</v>
      </c>
      <c r="K90" s="1264">
        <v>0.25</v>
      </c>
      <c r="L90" s="1258" t="s">
        <v>1602</v>
      </c>
    </row>
    <row r="91" spans="1:12" ht="17.25" customHeight="1">
      <c r="A91" s="1560"/>
      <c r="B91" s="1556"/>
      <c r="C91" s="1553"/>
      <c r="D91" s="1259">
        <v>42303</v>
      </c>
      <c r="E91" s="1260">
        <v>0.45694444444444443</v>
      </c>
      <c r="F91" s="1261">
        <v>7.86</v>
      </c>
      <c r="G91" s="1261">
        <v>6.9</v>
      </c>
      <c r="H91" s="1261">
        <v>13.52</v>
      </c>
      <c r="I91" s="1262">
        <v>703</v>
      </c>
      <c r="J91" s="1263">
        <v>7.6</v>
      </c>
      <c r="K91" s="1264">
        <v>0.01</v>
      </c>
      <c r="L91" s="1258" t="s">
        <v>1602</v>
      </c>
    </row>
    <row r="92" spans="1:12">
      <c r="A92" s="1558" t="s">
        <v>251</v>
      </c>
      <c r="B92" s="1554" t="s">
        <v>231</v>
      </c>
      <c r="C92" s="1552" t="s">
        <v>894</v>
      </c>
      <c r="D92" s="1252">
        <v>42145</v>
      </c>
      <c r="E92" s="1260">
        <v>0.53819444444444442</v>
      </c>
      <c r="F92" s="1261">
        <v>8.0399999999999991</v>
      </c>
      <c r="G92" s="1261">
        <v>9.6999999999999993</v>
      </c>
      <c r="H92" s="1261">
        <v>9.1199999999999992</v>
      </c>
      <c r="I92" s="1262">
        <v>225</v>
      </c>
      <c r="J92" s="1263">
        <v>2</v>
      </c>
      <c r="K92" s="1264">
        <v>0.05</v>
      </c>
      <c r="L92" s="1258" t="s">
        <v>1603</v>
      </c>
    </row>
    <row r="93" spans="1:12">
      <c r="A93" s="1559"/>
      <c r="B93" s="1555"/>
      <c r="C93" s="1557"/>
      <c r="D93" s="1259">
        <v>42171</v>
      </c>
      <c r="E93" s="1260">
        <v>0.52083333333333337</v>
      </c>
      <c r="F93" s="1261">
        <v>8.16</v>
      </c>
      <c r="G93" s="1261">
        <v>14.9</v>
      </c>
      <c r="H93" s="1261">
        <v>9.14</v>
      </c>
      <c r="I93" s="1262">
        <v>328</v>
      </c>
      <c r="J93" s="1263">
        <v>1.9</v>
      </c>
      <c r="K93" s="1264">
        <v>0.2</v>
      </c>
      <c r="L93" s="1258" t="s">
        <v>1603</v>
      </c>
    </row>
    <row r="94" spans="1:12">
      <c r="A94" s="1559"/>
      <c r="B94" s="1555"/>
      <c r="C94" s="1557"/>
      <c r="D94" s="1259">
        <v>42192</v>
      </c>
      <c r="E94" s="1260">
        <v>0.4826388888888889</v>
      </c>
      <c r="F94" s="1261">
        <v>8.3000000000000007</v>
      </c>
      <c r="G94" s="1261">
        <v>14.3</v>
      </c>
      <c r="H94" s="1261">
        <v>10.34</v>
      </c>
      <c r="I94" s="1262">
        <v>572</v>
      </c>
      <c r="J94" s="1263">
        <v>1.4</v>
      </c>
      <c r="K94" s="1264">
        <v>0.1</v>
      </c>
      <c r="L94" s="1258" t="s">
        <v>1620</v>
      </c>
    </row>
    <row r="95" spans="1:12">
      <c r="A95" s="1559"/>
      <c r="B95" s="1555"/>
      <c r="C95" s="1557"/>
      <c r="D95" s="1259">
        <v>42234</v>
      </c>
      <c r="E95" s="1260">
        <v>5.5555555555555552E-2</v>
      </c>
      <c r="F95" s="1261">
        <v>7.95</v>
      </c>
      <c r="G95" s="1261">
        <v>15.9</v>
      </c>
      <c r="H95" s="1261">
        <v>9.66</v>
      </c>
      <c r="I95" s="1262">
        <v>880</v>
      </c>
      <c r="J95" s="1263">
        <v>1.3</v>
      </c>
      <c r="K95" s="1264">
        <v>0.05</v>
      </c>
      <c r="L95" s="1258" t="s">
        <v>1603</v>
      </c>
    </row>
    <row r="96" spans="1:12">
      <c r="A96" s="1559"/>
      <c r="B96" s="1555"/>
      <c r="C96" s="1557"/>
      <c r="D96" s="1259">
        <v>42262</v>
      </c>
      <c r="E96" s="1260">
        <v>0.52847222222222223</v>
      </c>
      <c r="F96" s="1261">
        <v>8.07</v>
      </c>
      <c r="G96" s="1261">
        <v>12.9</v>
      </c>
      <c r="H96" s="1261">
        <v>8.23</v>
      </c>
      <c r="I96" s="1262">
        <v>1132</v>
      </c>
      <c r="J96" s="1263">
        <v>0.05</v>
      </c>
      <c r="K96" s="1264">
        <v>0.02</v>
      </c>
      <c r="L96" s="1258" t="s">
        <v>1602</v>
      </c>
    </row>
    <row r="97" spans="1:12">
      <c r="A97" s="1560"/>
      <c r="B97" s="1556"/>
      <c r="C97" s="1553"/>
      <c r="D97" s="1259">
        <v>42303</v>
      </c>
      <c r="E97" s="1260">
        <v>0.51458333333333328</v>
      </c>
      <c r="F97" s="1261">
        <v>8.0299999999999994</v>
      </c>
      <c r="G97" s="1261">
        <v>5.8</v>
      </c>
      <c r="H97" s="1261">
        <v>13.8</v>
      </c>
      <c r="I97" s="1262">
        <v>1183</v>
      </c>
      <c r="J97" s="1263">
        <v>0.3</v>
      </c>
      <c r="K97" s="1264">
        <v>0.1</v>
      </c>
      <c r="L97" s="1258" t="s">
        <v>1602</v>
      </c>
    </row>
    <row r="98" spans="1:12">
      <c r="A98" s="1563" t="s">
        <v>1622</v>
      </c>
      <c r="B98" s="1548" t="s">
        <v>232</v>
      </c>
      <c r="C98" s="1547" t="s">
        <v>895</v>
      </c>
      <c r="D98" s="1252">
        <v>42145</v>
      </c>
      <c r="E98" s="1260">
        <v>4.8611111111111112E-2</v>
      </c>
      <c r="F98" s="1261">
        <v>7.92</v>
      </c>
      <c r="G98" s="1261">
        <v>7.8</v>
      </c>
      <c r="H98" s="1261">
        <v>10.039999999999999</v>
      </c>
      <c r="I98" s="1262">
        <v>164</v>
      </c>
      <c r="J98" s="1263">
        <v>19.7</v>
      </c>
      <c r="K98" s="1264">
        <v>0.01</v>
      </c>
      <c r="L98" s="1258" t="s">
        <v>1621</v>
      </c>
    </row>
    <row r="99" spans="1:12">
      <c r="A99" s="1563"/>
      <c r="B99" s="1548"/>
      <c r="C99" s="1547"/>
      <c r="D99" s="1259">
        <v>42171</v>
      </c>
      <c r="E99" s="1260">
        <v>0.52986111111111112</v>
      </c>
      <c r="F99" s="1261">
        <v>8.2200000000000006</v>
      </c>
      <c r="G99" s="1261">
        <v>11.3</v>
      </c>
      <c r="H99" s="1261">
        <v>9.93</v>
      </c>
      <c r="I99" s="1262">
        <v>24</v>
      </c>
      <c r="J99" s="1263">
        <v>6.3</v>
      </c>
      <c r="K99" s="1264">
        <v>0.05</v>
      </c>
      <c r="L99" s="1258" t="s">
        <v>1603</v>
      </c>
    </row>
    <row r="100" spans="1:12">
      <c r="A100" s="1563"/>
      <c r="B100" s="1548"/>
      <c r="C100" s="1547"/>
      <c r="D100" s="1259">
        <v>42192</v>
      </c>
      <c r="E100" s="1260">
        <v>0.49305555555555558</v>
      </c>
      <c r="F100" s="1261">
        <v>8.23</v>
      </c>
      <c r="G100" s="1261">
        <v>12.5</v>
      </c>
      <c r="H100" s="1261">
        <v>10.96</v>
      </c>
      <c r="I100" s="1262">
        <v>296</v>
      </c>
      <c r="J100" s="1263">
        <v>3.8</v>
      </c>
      <c r="K100" s="1264">
        <v>0.01</v>
      </c>
      <c r="L100" s="1258" t="s">
        <v>1603</v>
      </c>
    </row>
    <row r="101" spans="1:12">
      <c r="A101" s="1563"/>
      <c r="B101" s="1548"/>
      <c r="C101" s="1547"/>
      <c r="D101" s="1259">
        <v>42234</v>
      </c>
      <c r="E101" s="1260">
        <v>6.3888888888888884E-2</v>
      </c>
      <c r="F101" s="1261">
        <v>7.96</v>
      </c>
      <c r="G101" s="1261">
        <v>13.7</v>
      </c>
      <c r="H101" s="1261">
        <v>11.16</v>
      </c>
      <c r="I101" s="1262">
        <v>453</v>
      </c>
      <c r="J101" s="1263">
        <v>2</v>
      </c>
      <c r="K101" s="1264">
        <v>0.2</v>
      </c>
      <c r="L101" s="1258" t="s">
        <v>1603</v>
      </c>
    </row>
    <row r="102" spans="1:12">
      <c r="A102" s="1563"/>
      <c r="B102" s="1548"/>
      <c r="C102" s="1547"/>
      <c r="D102" s="1259">
        <v>42262</v>
      </c>
      <c r="E102" s="1260">
        <v>0.53819444444444442</v>
      </c>
      <c r="F102" s="1261">
        <v>8.27</v>
      </c>
      <c r="G102" s="1261">
        <v>10.7</v>
      </c>
      <c r="H102" s="1261">
        <v>9.43</v>
      </c>
      <c r="I102" s="1262">
        <v>659</v>
      </c>
      <c r="J102" s="1263">
        <v>1</v>
      </c>
      <c r="K102" s="1264">
        <v>0.3</v>
      </c>
      <c r="L102" s="1258" t="s">
        <v>1602</v>
      </c>
    </row>
    <row r="103" spans="1:12">
      <c r="A103" s="1563"/>
      <c r="B103" s="1548"/>
      <c r="C103" s="1547"/>
      <c r="D103" s="1259">
        <v>42303</v>
      </c>
      <c r="E103" s="1260">
        <v>0.52083333333333337</v>
      </c>
      <c r="F103" s="1261">
        <v>8.23</v>
      </c>
      <c r="G103" s="1261">
        <v>4.7</v>
      </c>
      <c r="H103" s="1261">
        <v>15.1</v>
      </c>
      <c r="I103" s="1262">
        <v>486</v>
      </c>
      <c r="J103" s="1263">
        <v>0.8</v>
      </c>
      <c r="K103" s="1264">
        <v>0.3</v>
      </c>
      <c r="L103" s="1258" t="s">
        <v>1602</v>
      </c>
    </row>
    <row r="104" spans="1:12">
      <c r="A104" s="1550" t="s">
        <v>246</v>
      </c>
      <c r="B104" s="1548" t="s">
        <v>1159</v>
      </c>
      <c r="C104" s="1552" t="s">
        <v>1160</v>
      </c>
      <c r="D104" s="1259">
        <v>42145</v>
      </c>
      <c r="E104" s="1265">
        <v>0.36805555555555558</v>
      </c>
      <c r="F104" s="1266">
        <v>8.11</v>
      </c>
      <c r="G104" s="1266">
        <v>3.8</v>
      </c>
      <c r="H104" s="1266">
        <v>11.69</v>
      </c>
      <c r="I104" s="1267">
        <v>170</v>
      </c>
      <c r="J104" s="1268">
        <v>14.9</v>
      </c>
      <c r="K104" s="1264">
        <v>0.01</v>
      </c>
      <c r="L104" s="1258" t="s">
        <v>1620</v>
      </c>
    </row>
    <row r="105" spans="1:12">
      <c r="A105" s="1551"/>
      <c r="B105" s="1548"/>
      <c r="C105" s="1553"/>
      <c r="D105" s="1259">
        <v>42303</v>
      </c>
      <c r="E105" s="1265">
        <v>0.37847222222222227</v>
      </c>
      <c r="F105" s="1266">
        <v>8.2899999999999991</v>
      </c>
      <c r="G105" s="1266">
        <v>4.9000000000000004</v>
      </c>
      <c r="H105" s="1266">
        <v>14.07</v>
      </c>
      <c r="I105" s="1267">
        <v>310</v>
      </c>
      <c r="J105" s="1268">
        <v>0.7</v>
      </c>
      <c r="K105" s="1264">
        <v>0.02</v>
      </c>
      <c r="L105" s="1258" t="s">
        <v>1602</v>
      </c>
    </row>
    <row r="106" spans="1:12">
      <c r="A106" s="1551"/>
      <c r="B106" s="1548" t="s">
        <v>1161</v>
      </c>
      <c r="C106" s="1552" t="s">
        <v>1162</v>
      </c>
      <c r="D106" s="1259">
        <v>42145</v>
      </c>
      <c r="E106" s="1265">
        <v>0.44444444444444442</v>
      </c>
      <c r="F106" s="1266">
        <v>7.82</v>
      </c>
      <c r="G106" s="1266">
        <v>6.1</v>
      </c>
      <c r="H106" s="1266">
        <v>10.88</v>
      </c>
      <c r="I106" s="1267">
        <v>117</v>
      </c>
      <c r="J106" s="1268">
        <v>39</v>
      </c>
      <c r="K106" s="1264">
        <v>0.05</v>
      </c>
      <c r="L106" s="1258" t="s">
        <v>1603</v>
      </c>
    </row>
    <row r="107" spans="1:12">
      <c r="A107" s="1551"/>
      <c r="B107" s="1548"/>
      <c r="C107" s="1553"/>
      <c r="D107" s="1259">
        <v>42303</v>
      </c>
      <c r="E107" s="1265">
        <v>0.43611111111111112</v>
      </c>
      <c r="F107" s="1266">
        <v>7.91</v>
      </c>
      <c r="G107" s="1266">
        <v>3.3</v>
      </c>
      <c r="H107" s="1266">
        <v>14.3</v>
      </c>
      <c r="I107" s="1267">
        <v>232</v>
      </c>
      <c r="J107" s="1268">
        <v>0.1</v>
      </c>
      <c r="K107" s="1264">
        <v>0.05</v>
      </c>
      <c r="L107" s="1258" t="s">
        <v>1603</v>
      </c>
    </row>
    <row r="108" spans="1:12">
      <c r="A108" s="1549" t="s">
        <v>248</v>
      </c>
      <c r="B108" s="1548" t="s">
        <v>1163</v>
      </c>
      <c r="C108" s="1552" t="s">
        <v>1624</v>
      </c>
      <c r="D108" s="1259">
        <v>42171</v>
      </c>
      <c r="E108" s="1265">
        <v>0.3576388888888889</v>
      </c>
      <c r="F108" s="1266">
        <v>8.27</v>
      </c>
      <c r="G108" s="1266">
        <v>11.6</v>
      </c>
      <c r="H108" s="1266">
        <v>10.83</v>
      </c>
      <c r="I108" s="1267">
        <v>545</v>
      </c>
      <c r="J108" s="1268">
        <v>2.7</v>
      </c>
      <c r="K108" s="1264">
        <v>0.05</v>
      </c>
      <c r="L108" s="1258" t="s">
        <v>1620</v>
      </c>
    </row>
    <row r="109" spans="1:12">
      <c r="A109" s="1549"/>
      <c r="B109" s="1548"/>
      <c r="C109" s="1553"/>
      <c r="D109" s="1259">
        <v>42303</v>
      </c>
      <c r="E109" s="1265">
        <v>5.9027777777777783E-2</v>
      </c>
      <c r="F109" s="1266">
        <v>7.8</v>
      </c>
      <c r="G109" s="1266">
        <v>8.6999999999999993</v>
      </c>
      <c r="H109" s="1266">
        <v>12.26</v>
      </c>
      <c r="I109" s="1267">
        <v>681</v>
      </c>
      <c r="J109" s="1268">
        <v>0.3</v>
      </c>
      <c r="K109" s="1264">
        <v>0.2</v>
      </c>
      <c r="L109" s="1258" t="s">
        <v>1602</v>
      </c>
    </row>
    <row r="110" spans="1:12">
      <c r="A110" s="1549"/>
      <c r="B110" s="1548" t="s">
        <v>1165</v>
      </c>
      <c r="C110" s="1547" t="s">
        <v>1627</v>
      </c>
      <c r="D110" s="1276">
        <v>42173</v>
      </c>
      <c r="E110" s="1265">
        <v>0.100694444444444</v>
      </c>
      <c r="F110" s="1266">
        <v>7.86</v>
      </c>
      <c r="G110" s="1266">
        <v>18.8</v>
      </c>
      <c r="H110" s="1266">
        <v>5.7</v>
      </c>
      <c r="I110" s="1267">
        <v>618</v>
      </c>
      <c r="J110" s="1268">
        <v>10.5</v>
      </c>
      <c r="K110" s="1264">
        <v>0.1</v>
      </c>
      <c r="L110" s="1258" t="s">
        <v>1603</v>
      </c>
    </row>
    <row r="111" spans="1:12">
      <c r="A111" s="1549"/>
      <c r="B111" s="1548"/>
      <c r="C111" s="1547"/>
      <c r="D111" s="1259">
        <v>42303</v>
      </c>
      <c r="E111" s="1265">
        <v>6.1111111111111116E-2</v>
      </c>
      <c r="F111" s="1266">
        <v>7.8</v>
      </c>
      <c r="G111" s="1266">
        <v>8.6999999999999993</v>
      </c>
      <c r="H111" s="1266">
        <v>12.26</v>
      </c>
      <c r="I111" s="1267">
        <v>681</v>
      </c>
      <c r="J111" s="1268">
        <v>5.4</v>
      </c>
      <c r="K111" s="1277">
        <v>20</v>
      </c>
      <c r="L111" s="1258" t="s">
        <v>1602</v>
      </c>
    </row>
    <row r="113" spans="4:4">
      <c r="D113" s="480" t="s">
        <v>72</v>
      </c>
    </row>
    <row r="114" spans="4:4">
      <c r="D114" s="480" t="s">
        <v>309</v>
      </c>
    </row>
    <row r="115" spans="4:4">
      <c r="D115" s="480" t="s">
        <v>304</v>
      </c>
    </row>
    <row r="116" spans="4:4">
      <c r="D116" s="480" t="s">
        <v>75</v>
      </c>
    </row>
    <row r="117" spans="4:4">
      <c r="D117" s="480" t="s">
        <v>1747</v>
      </c>
    </row>
    <row r="118" spans="4:4">
      <c r="D118" s="480" t="s">
        <v>77</v>
      </c>
    </row>
    <row r="119" spans="4:4">
      <c r="D119" s="480" t="s">
        <v>78</v>
      </c>
    </row>
  </sheetData>
  <mergeCells count="51">
    <mergeCell ref="C38:C43"/>
    <mergeCell ref="C32:C37"/>
    <mergeCell ref="B32:B37"/>
    <mergeCell ref="C62:C67"/>
    <mergeCell ref="B56:B61"/>
    <mergeCell ref="C56:C61"/>
    <mergeCell ref="C50:C55"/>
    <mergeCell ref="C44:C49"/>
    <mergeCell ref="B44:B49"/>
    <mergeCell ref="B50:B55"/>
    <mergeCell ref="A62:A67"/>
    <mergeCell ref="A56:A61"/>
    <mergeCell ref="A20:A55"/>
    <mergeCell ref="A98:A103"/>
    <mergeCell ref="B62:B67"/>
    <mergeCell ref="B38:B43"/>
    <mergeCell ref="B26:B31"/>
    <mergeCell ref="B98:B103"/>
    <mergeCell ref="C26:C31"/>
    <mergeCell ref="B20:B25"/>
    <mergeCell ref="C20:C25"/>
    <mergeCell ref="C14:C19"/>
    <mergeCell ref="B14:B19"/>
    <mergeCell ref="B8:B13"/>
    <mergeCell ref="C8:C13"/>
    <mergeCell ref="A2:A19"/>
    <mergeCell ref="B2:B7"/>
    <mergeCell ref="C2:C7"/>
    <mergeCell ref="C98:C103"/>
    <mergeCell ref="B86:B91"/>
    <mergeCell ref="C86:C91"/>
    <mergeCell ref="A68:A91"/>
    <mergeCell ref="A92:A97"/>
    <mergeCell ref="B92:B97"/>
    <mergeCell ref="C92:C97"/>
    <mergeCell ref="B68:B72"/>
    <mergeCell ref="C68:C73"/>
    <mergeCell ref="B74:B79"/>
    <mergeCell ref="C74:C79"/>
    <mergeCell ref="B80:B85"/>
    <mergeCell ref="C80:C85"/>
    <mergeCell ref="C110:C111"/>
    <mergeCell ref="B110:B111"/>
    <mergeCell ref="A108:A111"/>
    <mergeCell ref="A104:A107"/>
    <mergeCell ref="C104:C105"/>
    <mergeCell ref="C106:C107"/>
    <mergeCell ref="C108:C109"/>
    <mergeCell ref="B104:B105"/>
    <mergeCell ref="B106:B107"/>
    <mergeCell ref="B108:B109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59999389629810485"/>
    <pageSetUpPr fitToPage="1"/>
  </sheetPr>
  <dimension ref="A1:CF107"/>
  <sheetViews>
    <sheetView zoomScaleNormal="100" workbookViewId="0">
      <selection sqref="A1:G23"/>
    </sheetView>
  </sheetViews>
  <sheetFormatPr defaultRowHeight="14"/>
  <cols>
    <col min="1" max="1" width="11.08984375" bestFit="1" customWidth="1"/>
    <col min="2" max="2" width="7.36328125" bestFit="1" customWidth="1"/>
    <col min="3" max="3" width="38" style="149" bestFit="1" customWidth="1"/>
    <col min="4" max="4" width="5.36328125" style="149" bestFit="1" customWidth="1"/>
    <col min="5" max="5" width="8" style="149" bestFit="1" customWidth="1"/>
    <col min="6" max="6" width="7.54296875" style="149" bestFit="1" customWidth="1"/>
    <col min="7" max="7" width="6.1796875" style="149" bestFit="1" customWidth="1"/>
    <col min="8" max="8" width="5" style="149" bestFit="1" customWidth="1"/>
    <col min="9" max="9" width="8" style="149" bestFit="1" customWidth="1"/>
    <col min="10" max="10" width="10.08984375" style="149" bestFit="1" customWidth="1"/>
    <col min="11" max="11" width="6.54296875" style="149" bestFit="1" customWidth="1"/>
    <col min="12" max="12" width="7.54296875" style="149" bestFit="1" customWidth="1"/>
    <col min="13" max="13" width="8" style="149" bestFit="1" customWidth="1"/>
    <col min="14" max="14" width="8.453125" style="149" bestFit="1" customWidth="1"/>
    <col min="15" max="15" width="6.1796875" style="149" bestFit="1" customWidth="1"/>
    <col min="16" max="16" width="6.54296875" style="149" bestFit="1" customWidth="1"/>
    <col min="17" max="17" width="8" style="149" bestFit="1" customWidth="1"/>
    <col min="18" max="18" width="8.453125" style="149" bestFit="1" customWidth="1"/>
    <col min="19" max="19" width="6.1796875" style="149" bestFit="1" customWidth="1"/>
    <col min="20" max="20" width="7" bestFit="1" customWidth="1"/>
    <col min="21" max="21" width="8" bestFit="1" customWidth="1"/>
    <col min="22" max="22" width="8.453125" bestFit="1" customWidth="1"/>
    <col min="23" max="23" width="6.1796875" bestFit="1" customWidth="1"/>
    <col min="24" max="24" width="7" bestFit="1" customWidth="1"/>
    <col min="25" max="25" width="8" bestFit="1" customWidth="1"/>
    <col min="26" max="26" width="8.453125" bestFit="1" customWidth="1"/>
    <col min="27" max="27" width="6.1796875" bestFit="1" customWidth="1"/>
    <col min="28" max="28" width="7" bestFit="1" customWidth="1"/>
    <col min="29" max="29" width="8" bestFit="1" customWidth="1"/>
    <col min="30" max="30" width="8.453125" bestFit="1" customWidth="1"/>
    <col min="31" max="31" width="6.1796875" bestFit="1" customWidth="1"/>
    <col min="32" max="32" width="7.36328125" bestFit="1" customWidth="1"/>
    <col min="33" max="35" width="8.90625" style="710"/>
    <col min="37" max="37" width="33.36328125" bestFit="1" customWidth="1"/>
    <col min="38" max="38" width="14.453125" bestFit="1" customWidth="1"/>
    <col min="39" max="39" width="7.90625" bestFit="1" customWidth="1"/>
    <col min="40" max="40" width="14" bestFit="1" customWidth="1"/>
    <col min="41" max="41" width="5.54296875" bestFit="1" customWidth="1"/>
    <col min="42" max="42" width="4" bestFit="1" customWidth="1"/>
    <col min="43" max="43" width="8.6328125" bestFit="1" customWidth="1"/>
    <col min="44" max="44" width="9" bestFit="1" customWidth="1"/>
    <col min="45" max="45" width="10.08984375" bestFit="1" customWidth="1"/>
    <col min="46" max="46" width="13.1796875" style="710" bestFit="1" customWidth="1"/>
    <col min="47" max="47" width="11.81640625" style="710" bestFit="1" customWidth="1"/>
    <col min="48" max="48" width="6.08984375" style="710" bestFit="1" customWidth="1"/>
    <col min="49" max="49" width="8.453125" style="710" bestFit="1" customWidth="1"/>
    <col min="50" max="50" width="7.6328125" style="710" bestFit="1" customWidth="1"/>
    <col min="52" max="52" width="19.81640625" bestFit="1" customWidth="1"/>
    <col min="53" max="53" width="10.08984375" bestFit="1" customWidth="1"/>
    <col min="54" max="54" width="14" bestFit="1" customWidth="1"/>
    <col min="55" max="55" width="4" bestFit="1" customWidth="1"/>
    <col min="56" max="56" width="3.54296875" bestFit="1" customWidth="1"/>
    <col min="57" max="57" width="7.6328125" bestFit="1" customWidth="1"/>
    <col min="58" max="58" width="7.453125" bestFit="1" customWidth="1"/>
    <col min="59" max="59" width="5" style="710" bestFit="1" customWidth="1"/>
    <col min="60" max="60" width="18.1796875" style="710" bestFit="1" customWidth="1"/>
    <col min="61" max="61" width="6" style="710" bestFit="1" customWidth="1"/>
    <col min="62" max="62" width="5.81640625" bestFit="1" customWidth="1"/>
    <col min="63" max="63" width="8.453125" bestFit="1" customWidth="1"/>
    <col min="64" max="64" width="8.1796875" bestFit="1" customWidth="1"/>
    <col min="65" max="65" width="37.453125" bestFit="1" customWidth="1"/>
    <col min="66" max="66" width="39.1796875" bestFit="1" customWidth="1"/>
    <col min="67" max="67" width="12.08984375" bestFit="1" customWidth="1"/>
    <col min="68" max="68" width="9.08984375" bestFit="1" customWidth="1"/>
    <col min="69" max="69" width="24.453125" bestFit="1" customWidth="1"/>
    <col min="70" max="70" width="6.54296875" customWidth="1"/>
    <col min="71" max="71" width="6.54296875" bestFit="1" customWidth="1"/>
    <col min="72" max="72" width="5" bestFit="1" customWidth="1"/>
    <col min="74" max="74" width="3" bestFit="1" customWidth="1"/>
    <col min="75" max="75" width="19.36328125" bestFit="1" customWidth="1"/>
    <col min="76" max="76" width="35.08984375" bestFit="1" customWidth="1"/>
    <col min="77" max="82" width="9.08984375" bestFit="1" customWidth="1"/>
    <col min="83" max="84" width="10.08984375" bestFit="1" customWidth="1"/>
  </cols>
  <sheetData>
    <row r="1" spans="1:77" ht="12" customHeight="1">
      <c r="B1" s="1582" t="s">
        <v>236</v>
      </c>
      <c r="C1" s="1580" t="s">
        <v>237</v>
      </c>
      <c r="D1" s="1590" t="s">
        <v>108</v>
      </c>
      <c r="E1" s="1591"/>
      <c r="F1" s="1591"/>
      <c r="G1" s="1592"/>
      <c r="H1" s="1584">
        <v>42145</v>
      </c>
      <c r="I1" s="1585"/>
      <c r="J1" s="1585"/>
      <c r="K1" s="1586"/>
      <c r="L1" s="1584">
        <v>42171</v>
      </c>
      <c r="M1" s="1585"/>
      <c r="N1" s="1585"/>
      <c r="O1" s="1586"/>
      <c r="P1" s="1584">
        <v>42192</v>
      </c>
      <c r="Q1" s="1585"/>
      <c r="R1" s="1585"/>
      <c r="S1" s="1586"/>
      <c r="T1" s="1584">
        <v>42234</v>
      </c>
      <c r="U1" s="1585"/>
      <c r="V1" s="1585"/>
      <c r="W1" s="1586"/>
      <c r="X1" s="1584">
        <v>42262</v>
      </c>
      <c r="Y1" s="1585"/>
      <c r="Z1" s="1585"/>
      <c r="AA1" s="1586"/>
      <c r="AB1" s="1584">
        <v>42303</v>
      </c>
      <c r="AC1" s="1585"/>
      <c r="AD1" s="1585"/>
      <c r="AE1" s="1586"/>
    </row>
    <row r="2" spans="1:77" ht="24.75" customHeight="1">
      <c r="B2" s="1583"/>
      <c r="C2" s="1581"/>
      <c r="D2" s="724" t="s">
        <v>259</v>
      </c>
      <c r="E2" s="724" t="s">
        <v>255</v>
      </c>
      <c r="F2" s="724" t="s">
        <v>256</v>
      </c>
      <c r="G2" s="724" t="s">
        <v>257</v>
      </c>
      <c r="H2" s="724" t="s">
        <v>259</v>
      </c>
      <c r="I2" s="724" t="s">
        <v>255</v>
      </c>
      <c r="J2" s="724" t="s">
        <v>256</v>
      </c>
      <c r="K2" s="724" t="s">
        <v>257</v>
      </c>
      <c r="L2" s="724" t="s">
        <v>259</v>
      </c>
      <c r="M2" s="724" t="s">
        <v>255</v>
      </c>
      <c r="N2" s="724" t="s">
        <v>256</v>
      </c>
      <c r="O2" s="724" t="s">
        <v>257</v>
      </c>
      <c r="P2" s="724" t="s">
        <v>259</v>
      </c>
      <c r="Q2" s="724" t="s">
        <v>255</v>
      </c>
      <c r="R2" s="724" t="s">
        <v>256</v>
      </c>
      <c r="S2" s="724" t="s">
        <v>257</v>
      </c>
      <c r="T2" s="724" t="s">
        <v>259</v>
      </c>
      <c r="U2" s="724" t="s">
        <v>255</v>
      </c>
      <c r="V2" s="724" t="s">
        <v>256</v>
      </c>
      <c r="W2" s="724" t="s">
        <v>257</v>
      </c>
      <c r="X2" s="724" t="s">
        <v>259</v>
      </c>
      <c r="Y2" s="724" t="s">
        <v>255</v>
      </c>
      <c r="Z2" s="724" t="s">
        <v>256</v>
      </c>
      <c r="AA2" s="724" t="s">
        <v>257</v>
      </c>
      <c r="AB2" s="724" t="s">
        <v>259</v>
      </c>
      <c r="AC2" s="724" t="s">
        <v>255</v>
      </c>
      <c r="AD2" s="724" t="s">
        <v>256</v>
      </c>
      <c r="AE2" s="724" t="s">
        <v>257</v>
      </c>
      <c r="AK2" s="710"/>
      <c r="AL2" s="710"/>
      <c r="AM2" s="710"/>
      <c r="AN2" s="875"/>
      <c r="AO2" s="1579" t="s">
        <v>1167</v>
      </c>
      <c r="AP2" s="1579"/>
      <c r="AQ2" s="1579" t="s">
        <v>1168</v>
      </c>
      <c r="AR2" s="1579"/>
      <c r="BA2" s="217">
        <v>42303</v>
      </c>
      <c r="BB2" s="1223"/>
      <c r="BC2" s="1593" t="s">
        <v>1202</v>
      </c>
      <c r="BD2" s="1593"/>
      <c r="BE2" s="1593" t="s">
        <v>1168</v>
      </c>
      <c r="BF2" s="1593"/>
      <c r="BV2" s="560">
        <v>34</v>
      </c>
      <c r="BW2" s="193">
        <v>42145</v>
      </c>
      <c r="BX2" s="561" t="s">
        <v>195</v>
      </c>
      <c r="BY2" s="562">
        <v>2381</v>
      </c>
    </row>
    <row r="3" spans="1:77" ht="15" customHeight="1">
      <c r="A3" s="1566" t="s">
        <v>238</v>
      </c>
      <c r="B3" s="729" t="s">
        <v>346</v>
      </c>
      <c r="C3" s="726" t="s">
        <v>383</v>
      </c>
      <c r="D3" s="1238">
        <f>AVERAGE(H3,L3,P3,T3,X3,AB3)</f>
        <v>233.83333333333334</v>
      </c>
      <c r="E3" s="1238">
        <f t="shared" ref="E3:G18" si="0">AVERAGE(I3,M3,Q3,U3,Y3,AC3)</f>
        <v>85.666666666666671</v>
      </c>
      <c r="F3" s="1238">
        <f t="shared" si="0"/>
        <v>10.333333333333334</v>
      </c>
      <c r="G3" s="1238">
        <f t="shared" si="0"/>
        <v>22.666666666666668</v>
      </c>
      <c r="H3" s="1059">
        <v>261</v>
      </c>
      <c r="I3" s="1059">
        <v>38</v>
      </c>
      <c r="J3" s="1059">
        <v>11</v>
      </c>
      <c r="K3" s="1059">
        <v>64</v>
      </c>
      <c r="L3" s="1061">
        <v>360</v>
      </c>
      <c r="M3" s="1061">
        <v>90</v>
      </c>
      <c r="N3" s="1061">
        <v>17</v>
      </c>
      <c r="O3" s="1061">
        <v>42</v>
      </c>
      <c r="P3" s="1059">
        <v>244</v>
      </c>
      <c r="Q3" s="1059">
        <v>84</v>
      </c>
      <c r="R3" s="1059">
        <v>6</v>
      </c>
      <c r="S3" s="1059">
        <v>19</v>
      </c>
      <c r="T3" s="638">
        <v>211</v>
      </c>
      <c r="U3" s="638">
        <v>93</v>
      </c>
      <c r="V3" s="638">
        <v>15</v>
      </c>
      <c r="W3" s="638">
        <v>7</v>
      </c>
      <c r="X3" s="621">
        <v>145</v>
      </c>
      <c r="Y3" s="621">
        <v>84</v>
      </c>
      <c r="Z3" s="621">
        <v>5</v>
      </c>
      <c r="AA3" s="621">
        <v>2</v>
      </c>
      <c r="AB3" s="638">
        <v>182</v>
      </c>
      <c r="AC3" s="638">
        <v>125</v>
      </c>
      <c r="AD3" s="638">
        <v>8</v>
      </c>
      <c r="AE3" s="638">
        <v>2</v>
      </c>
      <c r="AF3" s="729" t="s">
        <v>346</v>
      </c>
      <c r="AG3" s="1279"/>
      <c r="AH3" s="1279"/>
      <c r="AI3" s="1279"/>
      <c r="AK3" s="710"/>
      <c r="AL3" s="710"/>
      <c r="AM3" s="126" t="s">
        <v>1169</v>
      </c>
      <c r="AN3" s="126" t="s">
        <v>1170</v>
      </c>
      <c r="AO3" s="126" t="s">
        <v>29</v>
      </c>
      <c r="AP3" s="126" t="s">
        <v>28</v>
      </c>
      <c r="AQ3" s="126" t="s">
        <v>29</v>
      </c>
      <c r="AR3" s="126" t="s">
        <v>28</v>
      </c>
      <c r="BA3" s="1225" t="s">
        <v>1169</v>
      </c>
      <c r="BB3" s="1225" t="s">
        <v>1740</v>
      </c>
      <c r="BC3" s="1224" t="s">
        <v>29</v>
      </c>
      <c r="BD3" s="1224" t="s">
        <v>28</v>
      </c>
      <c r="BE3" s="1224" t="s">
        <v>1743</v>
      </c>
      <c r="BF3" s="1224" t="s">
        <v>1781</v>
      </c>
      <c r="BI3" s="1594" t="s">
        <v>1774</v>
      </c>
      <c r="BJ3" s="1594"/>
      <c r="BK3" s="1595" t="s">
        <v>1782</v>
      </c>
      <c r="BL3" s="1595"/>
      <c r="BV3" s="560">
        <v>34</v>
      </c>
      <c r="BW3" s="193">
        <v>42145</v>
      </c>
      <c r="BX3" s="562" t="s">
        <v>177</v>
      </c>
      <c r="BY3" s="562">
        <v>1977</v>
      </c>
    </row>
    <row r="4" spans="1:77">
      <c r="A4" s="1567"/>
      <c r="B4" s="730" t="s">
        <v>345</v>
      </c>
      <c r="C4" s="726" t="s">
        <v>373</v>
      </c>
      <c r="D4" s="1238">
        <f t="shared" ref="D4:D23" si="1">AVERAGE(H4,L4,P4,T4,X4,AB4)</f>
        <v>208.5</v>
      </c>
      <c r="E4" s="1238">
        <f t="shared" si="0"/>
        <v>50.666666666666664</v>
      </c>
      <c r="F4" s="1238">
        <f t="shared" si="0"/>
        <v>13.666666666666666</v>
      </c>
      <c r="G4" s="1238">
        <f t="shared" si="0"/>
        <v>26.166666666666668</v>
      </c>
      <c r="H4" s="1059">
        <v>253</v>
      </c>
      <c r="I4" s="1059">
        <v>47</v>
      </c>
      <c r="J4" s="1059">
        <v>11</v>
      </c>
      <c r="K4" s="1059">
        <v>39</v>
      </c>
      <c r="L4" s="638">
        <v>349</v>
      </c>
      <c r="M4" s="638">
        <v>50</v>
      </c>
      <c r="N4" s="638">
        <v>27</v>
      </c>
      <c r="O4" s="638">
        <v>58</v>
      </c>
      <c r="P4" s="1059">
        <v>235</v>
      </c>
      <c r="Q4" s="1059">
        <v>59</v>
      </c>
      <c r="R4" s="1059">
        <v>12</v>
      </c>
      <c r="S4" s="1059">
        <v>33</v>
      </c>
      <c r="T4" s="638">
        <v>165</v>
      </c>
      <c r="U4" s="638">
        <v>43</v>
      </c>
      <c r="V4" s="638">
        <v>15</v>
      </c>
      <c r="W4" s="638">
        <v>14</v>
      </c>
      <c r="X4" s="621">
        <v>125</v>
      </c>
      <c r="Y4" s="621">
        <v>42</v>
      </c>
      <c r="Z4" s="621">
        <v>6</v>
      </c>
      <c r="AA4" s="621">
        <v>11</v>
      </c>
      <c r="AB4" s="638">
        <v>124</v>
      </c>
      <c r="AC4" s="638">
        <v>63</v>
      </c>
      <c r="AD4" s="638">
        <v>11</v>
      </c>
      <c r="AE4" s="638">
        <v>2</v>
      </c>
      <c r="AF4" s="730" t="s">
        <v>345</v>
      </c>
      <c r="AG4" s="1280"/>
      <c r="AH4" s="1280"/>
      <c r="AI4" s="1280"/>
      <c r="AK4" s="1587" t="s">
        <v>455</v>
      </c>
      <c r="AL4" s="481"/>
      <c r="AM4" s="876">
        <v>2</v>
      </c>
      <c r="AN4" s="877">
        <f>AM4*1.983*31</f>
        <v>122.94600000000001</v>
      </c>
      <c r="AO4" s="878"/>
      <c r="AP4" s="878"/>
      <c r="AQ4" s="247">
        <f>AN4*AO4*0.002723</f>
        <v>0</v>
      </c>
      <c r="AR4" s="247">
        <f>AN4*AP4*0.002723</f>
        <v>0</v>
      </c>
      <c r="AZ4" s="896" t="s">
        <v>1175</v>
      </c>
      <c r="BA4" s="885">
        <v>17.8</v>
      </c>
      <c r="BB4" s="884">
        <f>BA4*1.983*30</f>
        <v>1058.922</v>
      </c>
      <c r="BC4" s="885">
        <v>32</v>
      </c>
      <c r="BD4" s="1219">
        <v>2</v>
      </c>
      <c r="BE4" s="885">
        <f>BB4*BC4*0.002723</f>
        <v>92.27022739200001</v>
      </c>
      <c r="BF4" s="885">
        <f>BB4*BD4*0.002723</f>
        <v>5.7668892120000006</v>
      </c>
      <c r="BH4" s="1228" t="s">
        <v>1784</v>
      </c>
      <c r="BI4" s="1227" t="s">
        <v>1783</v>
      </c>
      <c r="BJ4" s="1227" t="s">
        <v>1785</v>
      </c>
      <c r="BK4" s="1227" t="s">
        <v>1783</v>
      </c>
      <c r="BL4" s="1227" t="s">
        <v>1785</v>
      </c>
      <c r="BV4" s="560">
        <v>34</v>
      </c>
      <c r="BW4" s="193">
        <v>42145</v>
      </c>
      <c r="BX4" s="562" t="s">
        <v>223</v>
      </c>
      <c r="BY4" s="562">
        <v>41</v>
      </c>
    </row>
    <row r="5" spans="1:77">
      <c r="A5" s="1568"/>
      <c r="B5" s="730" t="s">
        <v>239</v>
      </c>
      <c r="C5" s="727" t="s">
        <v>240</v>
      </c>
      <c r="D5" s="1238">
        <f t="shared" si="1"/>
        <v>231.5</v>
      </c>
      <c r="E5" s="1238">
        <f t="shared" si="0"/>
        <v>61.666666666666664</v>
      </c>
      <c r="F5" s="1238">
        <f t="shared" si="0"/>
        <v>19.5</v>
      </c>
      <c r="G5" s="1238">
        <f t="shared" si="0"/>
        <v>36.333333333333336</v>
      </c>
      <c r="H5" s="1059">
        <v>311</v>
      </c>
      <c r="I5" s="1059">
        <v>99</v>
      </c>
      <c r="J5" s="1059">
        <v>29</v>
      </c>
      <c r="K5" s="1059">
        <v>58</v>
      </c>
      <c r="L5" s="638">
        <v>354</v>
      </c>
      <c r="M5" s="638">
        <v>58</v>
      </c>
      <c r="N5" s="638">
        <v>30</v>
      </c>
      <c r="O5" s="638">
        <v>67</v>
      </c>
      <c r="P5" s="1059">
        <v>240</v>
      </c>
      <c r="Q5" s="1059">
        <v>62</v>
      </c>
      <c r="R5" s="1059">
        <v>12</v>
      </c>
      <c r="S5" s="1059">
        <v>42</v>
      </c>
      <c r="T5" s="638">
        <v>170</v>
      </c>
      <c r="U5" s="638">
        <v>41</v>
      </c>
      <c r="V5" s="638">
        <v>19</v>
      </c>
      <c r="W5" s="638">
        <v>20</v>
      </c>
      <c r="X5" s="621">
        <v>142</v>
      </c>
      <c r="Y5" s="621">
        <v>46</v>
      </c>
      <c r="Z5" s="621">
        <v>14</v>
      </c>
      <c r="AA5" s="621">
        <v>11</v>
      </c>
      <c r="AB5" s="638">
        <v>172</v>
      </c>
      <c r="AC5" s="638">
        <v>64</v>
      </c>
      <c r="AD5" s="638">
        <v>13</v>
      </c>
      <c r="AE5" s="638">
        <v>20</v>
      </c>
      <c r="AF5" s="730" t="s">
        <v>239</v>
      </c>
      <c r="AG5" s="1280"/>
      <c r="AH5" s="1280"/>
      <c r="AI5" s="1280"/>
      <c r="AK5" s="1588"/>
      <c r="AL5" s="481"/>
      <c r="AM5" s="879">
        <v>0.94</v>
      </c>
      <c r="AN5" s="872">
        <f>AM5*1.983*30</f>
        <v>55.9206</v>
      </c>
      <c r="AO5" s="880"/>
      <c r="AP5" s="880"/>
      <c r="AQ5" s="247">
        <f t="shared" ref="AQ5:AQ15" si="2">AN5*AO5*0.002723</f>
        <v>0</v>
      </c>
      <c r="AR5" s="247">
        <f t="shared" ref="AR5:AR15" si="3">AN5*AP5*0.002723</f>
        <v>0</v>
      </c>
      <c r="AZ5" s="897" t="s">
        <v>1180</v>
      </c>
      <c r="BA5" s="885">
        <v>4.0999999999999996</v>
      </c>
      <c r="BB5" s="884">
        <f t="shared" ref="BB5:BB12" si="4">BA5*1.983*30</f>
        <v>243.90899999999999</v>
      </c>
      <c r="BC5" s="885">
        <v>40</v>
      </c>
      <c r="BD5" s="1219">
        <v>2</v>
      </c>
      <c r="BE5" s="885">
        <f>BB5*BC5*0.002723</f>
        <v>26.566568280000002</v>
      </c>
      <c r="BF5" s="885">
        <f>BB5*BD5*0.002723</f>
        <v>1.328328414</v>
      </c>
      <c r="BH5" s="1229" t="s">
        <v>1180</v>
      </c>
      <c r="BI5" s="1226">
        <f>BE20/BE27</f>
        <v>0.27977722949295569</v>
      </c>
      <c r="BJ5" s="1226">
        <f>BF20/BF27</f>
        <v>0.32599659928207064</v>
      </c>
      <c r="BK5" s="1226">
        <f>BK20/BK27</f>
        <v>3.6672629695885507E-2</v>
      </c>
      <c r="BL5" s="1226">
        <f>BL20/BL27</f>
        <v>1.5769230769230768E-2</v>
      </c>
      <c r="BV5" s="560">
        <v>34</v>
      </c>
      <c r="BW5" s="193">
        <v>42145</v>
      </c>
      <c r="BX5" s="562" t="s">
        <v>171</v>
      </c>
      <c r="BY5" s="562">
        <v>69</v>
      </c>
    </row>
    <row r="6" spans="1:77" s="710" customFormat="1">
      <c r="A6" s="1573" t="s">
        <v>246</v>
      </c>
      <c r="B6" s="730" t="s">
        <v>233</v>
      </c>
      <c r="C6" s="727" t="s">
        <v>247</v>
      </c>
      <c r="D6" s="1238">
        <f t="shared" si="1"/>
        <v>208.66666666666666</v>
      </c>
      <c r="E6" s="1238">
        <f t="shared" si="0"/>
        <v>29.166666666666668</v>
      </c>
      <c r="F6" s="1238">
        <f t="shared" si="0"/>
        <v>15</v>
      </c>
      <c r="G6" s="1238">
        <f t="shared" si="0"/>
        <v>26.166666666666668</v>
      </c>
      <c r="H6" s="1059">
        <v>263</v>
      </c>
      <c r="I6" s="1059">
        <v>25</v>
      </c>
      <c r="J6" s="1059">
        <v>26</v>
      </c>
      <c r="K6" s="1059">
        <v>58</v>
      </c>
      <c r="L6" s="638">
        <v>364</v>
      </c>
      <c r="M6" s="638">
        <v>21</v>
      </c>
      <c r="N6" s="638">
        <v>27</v>
      </c>
      <c r="O6" s="638">
        <v>60</v>
      </c>
      <c r="P6" s="1059">
        <v>154</v>
      </c>
      <c r="Q6" s="1059">
        <v>28</v>
      </c>
      <c r="R6" s="1059">
        <v>8</v>
      </c>
      <c r="S6" s="1059">
        <v>24</v>
      </c>
      <c r="T6" s="638">
        <v>269</v>
      </c>
      <c r="U6" s="638">
        <v>30</v>
      </c>
      <c r="V6" s="638">
        <v>15</v>
      </c>
      <c r="W6" s="638">
        <v>10</v>
      </c>
      <c r="X6" s="621">
        <v>104</v>
      </c>
      <c r="Y6" s="621">
        <v>31</v>
      </c>
      <c r="Z6" s="621">
        <v>5</v>
      </c>
      <c r="AA6" s="621">
        <v>3</v>
      </c>
      <c r="AB6" s="638">
        <v>98</v>
      </c>
      <c r="AC6" s="638">
        <v>40</v>
      </c>
      <c r="AD6" s="638">
        <v>9</v>
      </c>
      <c r="AE6" s="638">
        <v>2</v>
      </c>
      <c r="AF6" s="730" t="s">
        <v>233</v>
      </c>
      <c r="AG6" s="1280"/>
      <c r="AH6" s="1280"/>
      <c r="AI6" s="1280"/>
      <c r="AK6" s="1588"/>
      <c r="AL6" s="481"/>
      <c r="AM6" s="879">
        <v>2.1</v>
      </c>
      <c r="AN6" s="872">
        <f>AM6*1.983*31</f>
        <v>129.09330000000003</v>
      </c>
      <c r="AO6" s="881"/>
      <c r="AP6" s="881"/>
      <c r="AQ6" s="247">
        <f t="shared" si="2"/>
        <v>0</v>
      </c>
      <c r="AR6" s="247">
        <f t="shared" si="3"/>
        <v>0</v>
      </c>
      <c r="AZ6" s="303" t="s">
        <v>1181</v>
      </c>
      <c r="BA6" s="1219">
        <f>SUM(BA4:BA5)</f>
        <v>21.9</v>
      </c>
      <c r="BB6" s="884">
        <f t="shared" si="4"/>
        <v>1302.8310000000001</v>
      </c>
      <c r="BC6" s="1219"/>
      <c r="BD6" s="1219"/>
      <c r="BE6" s="1219">
        <f>SUM(BE4:BE5)</f>
        <v>118.83679567200001</v>
      </c>
      <c r="BF6" s="1219">
        <f>SUM(BF4:BF5)</f>
        <v>7.0952176260000002</v>
      </c>
      <c r="BH6" s="1229" t="s">
        <v>1173</v>
      </c>
      <c r="BI6" s="1226">
        <f>BE23/BE27</f>
        <v>9.0174676392762651E-2</v>
      </c>
      <c r="BJ6" s="1226">
        <f>BF23/BF27</f>
        <v>5.7004534290572444E-2</v>
      </c>
      <c r="BK6" s="1226">
        <f>BK23/BK27</f>
        <v>2.8175313059033986E-2</v>
      </c>
      <c r="BL6" s="1226">
        <f>BL23/BL27</f>
        <v>4.3076923076923068E-2</v>
      </c>
      <c r="BM6" s="562" t="s">
        <v>1248</v>
      </c>
      <c r="BN6" s="560" t="s">
        <v>1249</v>
      </c>
      <c r="BO6" s="193">
        <v>42241</v>
      </c>
      <c r="BP6" s="193">
        <v>42241</v>
      </c>
      <c r="BQ6" s="561" t="s">
        <v>195</v>
      </c>
      <c r="BR6" s="562"/>
      <c r="BS6" s="563"/>
      <c r="BT6" s="562">
        <v>628</v>
      </c>
      <c r="BV6" s="560">
        <v>34</v>
      </c>
      <c r="BW6" s="193">
        <v>42171</v>
      </c>
      <c r="BX6" s="561" t="s">
        <v>195</v>
      </c>
      <c r="BY6" s="562">
        <v>1889</v>
      </c>
    </row>
    <row r="7" spans="1:77" s="710" customFormat="1" ht="17.399999999999999" customHeight="1">
      <c r="A7" s="1574"/>
      <c r="B7" s="730" t="s">
        <v>1159</v>
      </c>
      <c r="C7" s="727" t="s">
        <v>1160</v>
      </c>
      <c r="D7" s="1238">
        <f t="shared" si="1"/>
        <v>428.5</v>
      </c>
      <c r="E7" s="1238"/>
      <c r="F7" s="1238"/>
      <c r="G7" s="1238">
        <f t="shared" si="0"/>
        <v>56.5</v>
      </c>
      <c r="H7" s="498">
        <v>677</v>
      </c>
      <c r="I7" s="498"/>
      <c r="J7" s="498"/>
      <c r="K7" s="498">
        <v>81</v>
      </c>
      <c r="L7" s="638"/>
      <c r="M7" s="1048"/>
      <c r="N7" s="638"/>
      <c r="O7" s="638"/>
      <c r="P7" s="1047"/>
      <c r="Q7" s="1047"/>
      <c r="R7" s="1047"/>
      <c r="S7" s="1047"/>
      <c r="T7" s="1048"/>
      <c r="U7" s="1048"/>
      <c r="V7" s="1048"/>
      <c r="W7" s="1048"/>
      <c r="X7" s="621"/>
      <c r="Y7" s="621"/>
      <c r="Z7" s="621"/>
      <c r="AA7" s="621"/>
      <c r="AB7" s="638">
        <v>180</v>
      </c>
      <c r="AC7" s="638"/>
      <c r="AD7" s="638"/>
      <c r="AE7" s="638">
        <v>32</v>
      </c>
      <c r="AF7" s="730" t="s">
        <v>1159</v>
      </c>
      <c r="AG7" s="1280"/>
      <c r="AH7" s="1280"/>
      <c r="AI7" s="1280"/>
      <c r="AK7" s="1588"/>
      <c r="AL7" s="481"/>
      <c r="AM7" s="879">
        <v>0.6</v>
      </c>
      <c r="AN7" s="872">
        <f>AM7*1.983*31</f>
        <v>36.883800000000001</v>
      </c>
      <c r="AO7" s="881"/>
      <c r="AP7" s="881"/>
      <c r="AQ7" s="247">
        <f t="shared" si="2"/>
        <v>0</v>
      </c>
      <c r="AR7" s="247">
        <f t="shared" si="3"/>
        <v>0</v>
      </c>
      <c r="AZ7" s="897" t="s">
        <v>1176</v>
      </c>
      <c r="BA7" s="885">
        <v>17.899999999999999</v>
      </c>
      <c r="BB7" s="884">
        <f t="shared" si="4"/>
        <v>1064.8710000000001</v>
      </c>
      <c r="BC7" s="885">
        <v>124</v>
      </c>
      <c r="BD7" s="1219">
        <v>2</v>
      </c>
      <c r="BE7" s="885">
        <f t="shared" ref="BE7:BE8" si="5">BB7*BC7*0.002723</f>
        <v>359.55582289200004</v>
      </c>
      <c r="BF7" s="885">
        <f>BB7*BD7*0.002723</f>
        <v>5.7992874660000009</v>
      </c>
      <c r="BH7" s="1229" t="s">
        <v>1174</v>
      </c>
      <c r="BI7" s="1226">
        <f>BE25/BE27</f>
        <v>0.25659729671744264</v>
      </c>
      <c r="BJ7" s="1226">
        <f>BF25/BF27</f>
        <v>0.12710183260910635</v>
      </c>
      <c r="BK7" s="1226">
        <f>BK25/BK27</f>
        <v>6.4400715563506265E-3</v>
      </c>
      <c r="BL7" s="1226">
        <f>BL25/BL27</f>
        <v>5.9615384615384617E-3</v>
      </c>
      <c r="BM7" s="562" t="s">
        <v>1248</v>
      </c>
      <c r="BN7" s="560" t="s">
        <v>1249</v>
      </c>
      <c r="BO7" s="193">
        <v>42241</v>
      </c>
      <c r="BP7" s="193">
        <v>42241</v>
      </c>
      <c r="BQ7" s="562" t="s">
        <v>177</v>
      </c>
      <c r="BR7" s="562"/>
      <c r="BS7" s="562"/>
      <c r="BT7" s="562">
        <v>411</v>
      </c>
      <c r="BV7" s="560">
        <v>34</v>
      </c>
      <c r="BW7" s="193">
        <v>42171</v>
      </c>
      <c r="BX7" s="562" t="s">
        <v>177</v>
      </c>
      <c r="BY7" s="562">
        <v>1655</v>
      </c>
    </row>
    <row r="8" spans="1:77">
      <c r="A8" s="1575"/>
      <c r="B8" s="874" t="s">
        <v>1161</v>
      </c>
      <c r="C8" s="1060" t="s">
        <v>1162</v>
      </c>
      <c r="D8" s="1238">
        <f t="shared" si="1"/>
        <v>512</v>
      </c>
      <c r="E8" s="1238"/>
      <c r="F8" s="1238"/>
      <c r="G8" s="1238">
        <f t="shared" si="0"/>
        <v>50</v>
      </c>
      <c r="H8" s="1059">
        <v>736</v>
      </c>
      <c r="I8" s="1059"/>
      <c r="J8" s="1059"/>
      <c r="K8" s="1059">
        <v>69</v>
      </c>
      <c r="L8" s="638"/>
      <c r="M8" s="638"/>
      <c r="N8" s="638"/>
      <c r="O8" s="638"/>
      <c r="P8" s="1059"/>
      <c r="Q8" s="1059"/>
      <c r="R8" s="1059"/>
      <c r="S8" s="1059"/>
      <c r="T8" s="638"/>
      <c r="U8" s="638"/>
      <c r="V8" s="638"/>
      <c r="W8" s="638"/>
      <c r="X8" s="725"/>
      <c r="Y8" s="725"/>
      <c r="Z8" s="725"/>
      <c r="AA8" s="725"/>
      <c r="AB8" s="638">
        <v>288</v>
      </c>
      <c r="AC8" s="638"/>
      <c r="AD8" s="638"/>
      <c r="AE8" s="638">
        <v>31</v>
      </c>
      <c r="AF8" s="874" t="s">
        <v>1161</v>
      </c>
      <c r="AG8" s="1281"/>
      <c r="AH8" s="1281"/>
      <c r="AI8" s="1281"/>
      <c r="AK8" s="1588"/>
      <c r="AL8" s="481"/>
      <c r="AM8" s="879">
        <v>0.47</v>
      </c>
      <c r="AN8" s="872">
        <f>AM8*1.983*30</f>
        <v>27.9603</v>
      </c>
      <c r="AO8" s="881"/>
      <c r="AP8" s="881"/>
      <c r="AQ8" s="247">
        <f t="shared" si="2"/>
        <v>0</v>
      </c>
      <c r="AR8" s="247">
        <f t="shared" si="3"/>
        <v>0</v>
      </c>
      <c r="AZ8" s="897" t="s">
        <v>1173</v>
      </c>
      <c r="BA8" s="1215">
        <v>0.7</v>
      </c>
      <c r="BB8" s="884">
        <f t="shared" si="4"/>
        <v>41.642999999999994</v>
      </c>
      <c r="BC8" s="885">
        <v>180</v>
      </c>
      <c r="BD8" s="1219">
        <v>32</v>
      </c>
      <c r="BE8" s="885">
        <f t="shared" si="5"/>
        <v>20.41090002</v>
      </c>
      <c r="BF8" s="885">
        <f>BB8*BD8*0.002723</f>
        <v>3.6286044479999995</v>
      </c>
      <c r="BH8" s="1230"/>
      <c r="BM8" s="562" t="s">
        <v>1248</v>
      </c>
      <c r="BN8" s="560" t="s">
        <v>1249</v>
      </c>
      <c r="BO8" s="193">
        <v>42241</v>
      </c>
      <c r="BP8" s="193">
        <v>42241</v>
      </c>
      <c r="BQ8" s="562" t="s">
        <v>223</v>
      </c>
      <c r="BR8" s="562"/>
      <c r="BS8" s="562"/>
      <c r="BT8" s="562">
        <v>20</v>
      </c>
      <c r="BV8" s="560">
        <v>34</v>
      </c>
      <c r="BW8" s="193">
        <v>42171</v>
      </c>
      <c r="BX8" s="562" t="s">
        <v>223</v>
      </c>
      <c r="BY8" s="562">
        <v>44</v>
      </c>
    </row>
    <row r="9" spans="1:77">
      <c r="A9" s="1566" t="s">
        <v>241</v>
      </c>
      <c r="B9" s="730" t="s">
        <v>178</v>
      </c>
      <c r="C9" s="727" t="s">
        <v>260</v>
      </c>
      <c r="D9" s="1238">
        <f t="shared" si="1"/>
        <v>272.5</v>
      </c>
      <c r="E9" s="1238">
        <f t="shared" si="0"/>
        <v>84.666666666666671</v>
      </c>
      <c r="F9" s="1238">
        <f t="shared" si="0"/>
        <v>29.333333333333332</v>
      </c>
      <c r="G9" s="1238">
        <f t="shared" si="0"/>
        <v>32.5</v>
      </c>
      <c r="H9" s="1059">
        <v>442</v>
      </c>
      <c r="I9" s="1059">
        <v>214</v>
      </c>
      <c r="J9" s="1059">
        <v>36</v>
      </c>
      <c r="K9" s="1059">
        <v>58</v>
      </c>
      <c r="L9" s="638">
        <v>366</v>
      </c>
      <c r="M9" s="638">
        <v>73</v>
      </c>
      <c r="N9" s="638">
        <v>35</v>
      </c>
      <c r="O9" s="638">
        <v>59</v>
      </c>
      <c r="P9" s="1059">
        <v>158</v>
      </c>
      <c r="Q9" s="1059">
        <v>60</v>
      </c>
      <c r="R9" s="1059">
        <v>10</v>
      </c>
      <c r="S9" s="1059">
        <v>27</v>
      </c>
      <c r="T9" s="638">
        <v>270</v>
      </c>
      <c r="U9" s="638">
        <v>56</v>
      </c>
      <c r="V9" s="638">
        <v>37</v>
      </c>
      <c r="W9" s="638">
        <v>30</v>
      </c>
      <c r="X9" s="621">
        <v>179</v>
      </c>
      <c r="Y9" s="621">
        <v>35</v>
      </c>
      <c r="Z9" s="621">
        <v>19</v>
      </c>
      <c r="AA9" s="621">
        <v>11</v>
      </c>
      <c r="AB9" s="638">
        <v>220</v>
      </c>
      <c r="AC9" s="638">
        <v>70</v>
      </c>
      <c r="AD9" s="638">
        <v>39</v>
      </c>
      <c r="AE9" s="638">
        <v>10</v>
      </c>
      <c r="AF9" s="730" t="s">
        <v>178</v>
      </c>
      <c r="AG9" s="1280"/>
      <c r="AH9" s="1280"/>
      <c r="AI9" s="1280"/>
      <c r="AK9" s="1589"/>
      <c r="AL9" s="481"/>
      <c r="AM9" s="879">
        <v>0.13</v>
      </c>
      <c r="AN9" s="872">
        <f>AM9*1.983*31</f>
        <v>7.9914900000000006</v>
      </c>
      <c r="AO9" s="881"/>
      <c r="AP9" s="881"/>
      <c r="AQ9" s="247">
        <f t="shared" si="2"/>
        <v>0</v>
      </c>
      <c r="AR9" s="247">
        <f t="shared" si="3"/>
        <v>0</v>
      </c>
      <c r="AZ9" s="896" t="s">
        <v>1178</v>
      </c>
      <c r="BA9" s="884">
        <f>BA7+BA8</f>
        <v>18.599999999999998</v>
      </c>
      <c r="BB9" s="884">
        <f t="shared" si="4"/>
        <v>1106.5140000000001</v>
      </c>
      <c r="BC9" s="884"/>
      <c r="BD9" s="1219"/>
      <c r="BE9" s="884">
        <f>BE7+BE8</f>
        <v>379.96672291200002</v>
      </c>
      <c r="BF9" s="884">
        <f>BF7+BF8</f>
        <v>9.4278919139999999</v>
      </c>
      <c r="BH9" s="1230"/>
      <c r="BM9" s="562" t="s">
        <v>1248</v>
      </c>
      <c r="BN9" s="560" t="s">
        <v>1249</v>
      </c>
      <c r="BO9" s="193">
        <v>42241</v>
      </c>
      <c r="BP9" s="193">
        <v>42241</v>
      </c>
      <c r="BQ9" s="562" t="s">
        <v>171</v>
      </c>
      <c r="BR9" s="562"/>
      <c r="BS9" s="563"/>
      <c r="BT9" s="562">
        <v>31</v>
      </c>
      <c r="BV9" s="560">
        <v>34</v>
      </c>
      <c r="BW9" s="193">
        <v>42171</v>
      </c>
      <c r="BX9" s="562" t="s">
        <v>171</v>
      </c>
      <c r="BY9" s="562">
        <v>70</v>
      </c>
    </row>
    <row r="10" spans="1:77" ht="16.25" customHeight="1">
      <c r="A10" s="1567"/>
      <c r="B10" s="730" t="s">
        <v>226</v>
      </c>
      <c r="C10" s="727" t="s">
        <v>242</v>
      </c>
      <c r="D10" s="1238">
        <f t="shared" si="1"/>
        <v>369.5</v>
      </c>
      <c r="E10" s="1238">
        <f t="shared" si="0"/>
        <v>124.33333333333333</v>
      </c>
      <c r="F10" s="1238">
        <f t="shared" si="0"/>
        <v>57.5</v>
      </c>
      <c r="G10" s="1238">
        <f t="shared" si="0"/>
        <v>40.5</v>
      </c>
      <c r="H10" s="1059">
        <v>622</v>
      </c>
      <c r="I10" s="1059">
        <v>231</v>
      </c>
      <c r="J10" s="1059">
        <v>24</v>
      </c>
      <c r="K10" s="1059">
        <v>67</v>
      </c>
      <c r="L10" s="638">
        <v>394</v>
      </c>
      <c r="M10" s="638">
        <v>83</v>
      </c>
      <c r="N10" s="638">
        <v>40</v>
      </c>
      <c r="O10" s="638">
        <v>68</v>
      </c>
      <c r="P10" s="1059">
        <v>258</v>
      </c>
      <c r="Q10" s="1059">
        <v>69</v>
      </c>
      <c r="R10" s="1059">
        <v>15</v>
      </c>
      <c r="S10" s="1059">
        <v>36</v>
      </c>
      <c r="T10" s="638">
        <v>292</v>
      </c>
      <c r="U10" s="638">
        <v>97</v>
      </c>
      <c r="V10" s="638">
        <v>66</v>
      </c>
      <c r="W10" s="638">
        <v>31</v>
      </c>
      <c r="X10" s="621">
        <v>310</v>
      </c>
      <c r="Y10" s="621">
        <v>119</v>
      </c>
      <c r="Z10" s="621">
        <v>100</v>
      </c>
      <c r="AA10" s="621">
        <v>14</v>
      </c>
      <c r="AB10" s="638">
        <v>341</v>
      </c>
      <c r="AC10" s="638">
        <v>147</v>
      </c>
      <c r="AD10" s="638">
        <v>100</v>
      </c>
      <c r="AE10" s="638">
        <v>27</v>
      </c>
      <c r="AF10" s="730" t="s">
        <v>226</v>
      </c>
      <c r="AG10" s="1280"/>
      <c r="AH10" s="1280"/>
      <c r="AI10" s="1280"/>
      <c r="AK10" s="1587" t="s">
        <v>454</v>
      </c>
      <c r="AL10" s="481"/>
      <c r="AM10" s="879">
        <v>4.5</v>
      </c>
      <c r="AN10" s="872">
        <f t="shared" ref="AN10:AN15" si="6">AM10*1.983*31</f>
        <v>276.62850000000003</v>
      </c>
      <c r="AO10" s="880"/>
      <c r="AP10" s="880"/>
      <c r="AQ10" s="247">
        <f t="shared" si="2"/>
        <v>0</v>
      </c>
      <c r="AR10" s="247">
        <f t="shared" si="3"/>
        <v>0</v>
      </c>
      <c r="AZ10" s="897" t="s">
        <v>1174</v>
      </c>
      <c r="BA10" s="1215">
        <v>0.1</v>
      </c>
      <c r="BB10" s="884">
        <f t="shared" si="4"/>
        <v>5.9490000000000007</v>
      </c>
      <c r="BC10" s="885">
        <v>288</v>
      </c>
      <c r="BD10" s="1219">
        <v>31</v>
      </c>
      <c r="BE10" s="885">
        <f>BB10*BC10*0.002723</f>
        <v>4.6653485760000004</v>
      </c>
      <c r="BF10" s="885">
        <f>BB10*BD10*0.002723</f>
        <v>0.5021729370000001</v>
      </c>
      <c r="BH10" s="1231" t="s">
        <v>1786</v>
      </c>
      <c r="BI10" s="1226">
        <f>BE19/BE27</f>
        <v>0.45054709289851963</v>
      </c>
      <c r="BJ10" s="1226">
        <f>BF19/BF27</f>
        <v>0.27772529756281883</v>
      </c>
      <c r="BK10" s="1226">
        <f>BK19/BK27</f>
        <v>0.12737030411449016</v>
      </c>
      <c r="BL10" s="1226">
        <f>BL19/BL27</f>
        <v>6.8461538461538463E-2</v>
      </c>
      <c r="BM10" s="559" t="s">
        <v>1250</v>
      </c>
      <c r="BN10" s="560" t="s">
        <v>1251</v>
      </c>
      <c r="BO10" s="193">
        <v>42241</v>
      </c>
      <c r="BP10" s="193">
        <v>42241</v>
      </c>
      <c r="BQ10" s="561" t="s">
        <v>195</v>
      </c>
      <c r="BR10" s="562"/>
      <c r="BS10" s="563"/>
      <c r="BT10" s="562">
        <v>2308</v>
      </c>
      <c r="BV10" s="560">
        <v>34</v>
      </c>
      <c r="BW10" s="193">
        <v>42192</v>
      </c>
      <c r="BX10" s="561" t="s">
        <v>195</v>
      </c>
      <c r="BY10" s="562">
        <v>1908</v>
      </c>
    </row>
    <row r="11" spans="1:77" ht="16.25" customHeight="1">
      <c r="A11" s="1567"/>
      <c r="B11" s="730" t="s">
        <v>227</v>
      </c>
      <c r="C11" s="727" t="s">
        <v>243</v>
      </c>
      <c r="D11" s="1238">
        <f t="shared" si="1"/>
        <v>402.66666666666669</v>
      </c>
      <c r="E11" s="1238">
        <f t="shared" si="0"/>
        <v>190.66666666666666</v>
      </c>
      <c r="F11" s="1238">
        <f t="shared" si="0"/>
        <v>41.833333333333336</v>
      </c>
      <c r="G11" s="1238">
        <f t="shared" si="0"/>
        <v>41.5</v>
      </c>
      <c r="H11" s="1059">
        <v>511</v>
      </c>
      <c r="I11" s="1059">
        <v>268</v>
      </c>
      <c r="J11" s="1059">
        <v>38</v>
      </c>
      <c r="K11" s="1059">
        <v>62</v>
      </c>
      <c r="L11" s="638">
        <v>403</v>
      </c>
      <c r="M11" s="638">
        <v>105</v>
      </c>
      <c r="N11" s="638">
        <v>48</v>
      </c>
      <c r="O11" s="638">
        <v>61</v>
      </c>
      <c r="P11" s="1059">
        <v>292</v>
      </c>
      <c r="Q11" s="1059">
        <v>93</v>
      </c>
      <c r="R11" s="1059">
        <v>20</v>
      </c>
      <c r="S11" s="1059">
        <v>43</v>
      </c>
      <c r="T11" s="638">
        <v>411</v>
      </c>
      <c r="U11" s="638">
        <v>189</v>
      </c>
      <c r="V11" s="638">
        <v>71</v>
      </c>
      <c r="W11" s="638">
        <v>45</v>
      </c>
      <c r="X11" s="621">
        <v>358</v>
      </c>
      <c r="Y11" s="621">
        <v>201</v>
      </c>
      <c r="Z11" s="621">
        <v>30</v>
      </c>
      <c r="AA11" s="621">
        <v>18</v>
      </c>
      <c r="AB11" s="638">
        <v>441</v>
      </c>
      <c r="AC11" s="638">
        <v>288</v>
      </c>
      <c r="AD11" s="638">
        <v>44</v>
      </c>
      <c r="AE11" s="638">
        <v>20</v>
      </c>
      <c r="AF11" s="730" t="s">
        <v>227</v>
      </c>
      <c r="AG11" s="1280"/>
      <c r="AH11" s="1280"/>
      <c r="AI11" s="1280"/>
      <c r="AK11" s="1588"/>
      <c r="AL11" s="481"/>
      <c r="AM11" s="879">
        <v>4</v>
      </c>
      <c r="AN11" s="872">
        <f>AM11*1.983*30</f>
        <v>237.96</v>
      </c>
      <c r="AO11" s="880"/>
      <c r="AP11" s="880"/>
      <c r="AQ11" s="247">
        <f t="shared" si="2"/>
        <v>0</v>
      </c>
      <c r="AR11" s="247">
        <f t="shared" si="3"/>
        <v>0</v>
      </c>
      <c r="AZ11" s="896" t="s">
        <v>1179</v>
      </c>
      <c r="BA11" s="886">
        <f>BA9+BA10</f>
        <v>18.7</v>
      </c>
      <c r="BB11" s="884">
        <f t="shared" si="4"/>
        <v>1112.463</v>
      </c>
      <c r="BC11" s="886"/>
      <c r="BD11" s="1219"/>
      <c r="BE11" s="886">
        <f>BE9+BE10</f>
        <v>384.63207148800001</v>
      </c>
      <c r="BF11" s="886">
        <f>BF9+BF10</f>
        <v>9.9300648510000009</v>
      </c>
      <c r="BI11" s="1226">
        <f>1465/BE22</f>
        <v>9.9666048394737194E-2</v>
      </c>
      <c r="BJ11" s="1226">
        <f>372/BF22</f>
        <v>0.15228249653986045</v>
      </c>
      <c r="BK11" s="1226">
        <f>330/BK22</f>
        <v>0.91779907038001796</v>
      </c>
      <c r="BL11" s="1226">
        <f>1/BL22</f>
        <v>0.17243497685927608</v>
      </c>
      <c r="BM11" s="559" t="s">
        <v>1250</v>
      </c>
      <c r="BN11" s="560" t="s">
        <v>1251</v>
      </c>
      <c r="BO11" s="193">
        <v>42241</v>
      </c>
      <c r="BP11" s="193">
        <v>42241</v>
      </c>
      <c r="BQ11" s="562" t="s">
        <v>177</v>
      </c>
      <c r="BR11" s="562"/>
      <c r="BS11" s="562"/>
      <c r="BT11" s="562">
        <v>2015</v>
      </c>
      <c r="BV11" s="560">
        <v>34</v>
      </c>
      <c r="BW11" s="193">
        <v>42192</v>
      </c>
      <c r="BX11" s="562" t="s">
        <v>177</v>
      </c>
      <c r="BY11" s="562">
        <v>1335</v>
      </c>
    </row>
    <row r="12" spans="1:77" ht="15" customHeight="1">
      <c r="A12" s="1567"/>
      <c r="B12" s="730" t="s">
        <v>228</v>
      </c>
      <c r="C12" s="727" t="s">
        <v>244</v>
      </c>
      <c r="D12" s="1238">
        <f t="shared" si="1"/>
        <v>481.33333333333331</v>
      </c>
      <c r="E12" s="1238">
        <f t="shared" si="0"/>
        <v>285.33333333333331</v>
      </c>
      <c r="F12" s="1238">
        <f t="shared" si="0"/>
        <v>31.166666666666668</v>
      </c>
      <c r="G12" s="1238">
        <f t="shared" si="0"/>
        <v>50</v>
      </c>
      <c r="H12" s="1059">
        <v>557</v>
      </c>
      <c r="I12" s="1059">
        <v>315</v>
      </c>
      <c r="J12" s="1059">
        <v>41</v>
      </c>
      <c r="K12" s="1059">
        <v>93</v>
      </c>
      <c r="L12" s="638">
        <v>380</v>
      </c>
      <c r="M12" s="638">
        <v>132</v>
      </c>
      <c r="N12" s="638">
        <v>44</v>
      </c>
      <c r="O12" s="638">
        <v>57</v>
      </c>
      <c r="P12" s="1059">
        <v>374</v>
      </c>
      <c r="Q12" s="1059">
        <v>143</v>
      </c>
      <c r="R12" s="1059">
        <v>18</v>
      </c>
      <c r="S12" s="1059">
        <v>48</v>
      </c>
      <c r="T12" s="638">
        <v>463</v>
      </c>
      <c r="U12" s="638">
        <v>273</v>
      </c>
      <c r="V12" s="638">
        <v>45</v>
      </c>
      <c r="W12" s="638">
        <v>44</v>
      </c>
      <c r="X12" s="621">
        <v>547</v>
      </c>
      <c r="Y12" s="621">
        <v>395</v>
      </c>
      <c r="Z12" s="621">
        <v>14</v>
      </c>
      <c r="AA12" s="621">
        <v>19</v>
      </c>
      <c r="AB12" s="638">
        <v>567</v>
      </c>
      <c r="AC12" s="638">
        <v>454</v>
      </c>
      <c r="AD12" s="638">
        <v>25</v>
      </c>
      <c r="AE12" s="638">
        <v>39</v>
      </c>
      <c r="AF12" s="730" t="s">
        <v>228</v>
      </c>
      <c r="AG12" s="1280"/>
      <c r="AH12" s="1280"/>
      <c r="AI12" s="1280"/>
      <c r="AK12" s="1588"/>
      <c r="AL12" s="481"/>
      <c r="AM12" s="879">
        <v>3.1</v>
      </c>
      <c r="AN12" s="872">
        <f t="shared" si="6"/>
        <v>190.56630000000001</v>
      </c>
      <c r="AO12" s="881"/>
      <c r="AP12" s="881"/>
      <c r="AQ12" s="247">
        <f t="shared" si="2"/>
        <v>0</v>
      </c>
      <c r="AR12" s="247">
        <f t="shared" si="3"/>
        <v>0</v>
      </c>
      <c r="AZ12" s="897" t="s">
        <v>1177</v>
      </c>
      <c r="BA12" s="885">
        <v>26</v>
      </c>
      <c r="BB12" s="884">
        <f t="shared" si="4"/>
        <v>1546.74</v>
      </c>
      <c r="BC12" s="885">
        <v>172</v>
      </c>
      <c r="BD12" s="1219">
        <v>20</v>
      </c>
      <c r="BE12" s="885">
        <f>BB12*BC12*0.002723</f>
        <v>724.42495944000007</v>
      </c>
      <c r="BF12" s="885">
        <f>BB12*BD12*0.002723</f>
        <v>84.235460400000008</v>
      </c>
      <c r="BM12" s="559" t="s">
        <v>1250</v>
      </c>
      <c r="BN12" s="560" t="s">
        <v>1251</v>
      </c>
      <c r="BO12" s="193">
        <v>42241</v>
      </c>
      <c r="BP12" s="193">
        <v>42241</v>
      </c>
      <c r="BQ12" s="562" t="s">
        <v>223</v>
      </c>
      <c r="BR12" s="562"/>
      <c r="BS12" s="562"/>
      <c r="BT12" s="562">
        <v>21</v>
      </c>
      <c r="BV12" s="560">
        <v>34</v>
      </c>
      <c r="BW12" s="193">
        <v>42192</v>
      </c>
      <c r="BX12" s="562" t="s">
        <v>223</v>
      </c>
      <c r="BY12" s="562">
        <v>30</v>
      </c>
    </row>
    <row r="13" spans="1:77">
      <c r="A13" s="1567"/>
      <c r="B13" s="730" t="s">
        <v>229</v>
      </c>
      <c r="C13" s="727" t="s">
        <v>245</v>
      </c>
      <c r="D13" s="1238">
        <f t="shared" si="1"/>
        <v>501.33333333333331</v>
      </c>
      <c r="E13" s="1238">
        <f t="shared" si="0"/>
        <v>286.16666666666669</v>
      </c>
      <c r="F13" s="1238">
        <f t="shared" si="0"/>
        <v>26.666666666666668</v>
      </c>
      <c r="G13" s="1238">
        <f t="shared" si="0"/>
        <v>68.5</v>
      </c>
      <c r="H13" s="1059">
        <v>647</v>
      </c>
      <c r="I13" s="1059">
        <v>308</v>
      </c>
      <c r="J13" s="1059">
        <v>42</v>
      </c>
      <c r="K13" s="1059">
        <v>70</v>
      </c>
      <c r="L13" s="638">
        <v>434</v>
      </c>
      <c r="M13" s="638">
        <v>138</v>
      </c>
      <c r="N13" s="638">
        <v>39</v>
      </c>
      <c r="O13" s="638">
        <v>211</v>
      </c>
      <c r="P13" s="1059">
        <v>354</v>
      </c>
      <c r="Q13" s="1059">
        <v>152</v>
      </c>
      <c r="R13" s="1059">
        <v>16</v>
      </c>
      <c r="S13" s="1059">
        <v>50</v>
      </c>
      <c r="T13" s="638">
        <v>432</v>
      </c>
      <c r="U13" s="638">
        <v>244</v>
      </c>
      <c r="V13" s="638">
        <v>35</v>
      </c>
      <c r="W13" s="638">
        <v>48</v>
      </c>
      <c r="X13" s="621">
        <v>593</v>
      </c>
      <c r="Y13" s="621">
        <v>411</v>
      </c>
      <c r="Z13" s="621">
        <v>15</v>
      </c>
      <c r="AA13" s="621">
        <v>18</v>
      </c>
      <c r="AB13" s="638">
        <v>548</v>
      </c>
      <c r="AC13" s="638">
        <v>464</v>
      </c>
      <c r="AD13" s="638">
        <v>13</v>
      </c>
      <c r="AE13" s="638">
        <v>14</v>
      </c>
      <c r="AF13" s="730" t="s">
        <v>229</v>
      </c>
      <c r="AG13" s="1280"/>
      <c r="AH13" s="1280"/>
      <c r="AI13" s="1280"/>
      <c r="AK13" s="1588"/>
      <c r="AL13" s="481"/>
      <c r="AM13" s="879">
        <v>2.1</v>
      </c>
      <c r="AN13" s="872">
        <f t="shared" si="6"/>
        <v>129.09330000000003</v>
      </c>
      <c r="AO13" s="881"/>
      <c r="AP13" s="881"/>
      <c r="AQ13" s="247">
        <f t="shared" si="2"/>
        <v>0</v>
      </c>
      <c r="AR13" s="247">
        <f t="shared" si="3"/>
        <v>0</v>
      </c>
      <c r="BI13" s="710">
        <f>BE22-BE19-BE20</f>
        <v>1464.8870546100015</v>
      </c>
      <c r="BJ13" s="710">
        <f>BF22-BF21</f>
        <v>372.25593845999992</v>
      </c>
      <c r="BK13" s="710">
        <f>360-27</f>
        <v>333</v>
      </c>
      <c r="BM13" s="559" t="s">
        <v>1250</v>
      </c>
      <c r="BN13" s="560" t="s">
        <v>1251</v>
      </c>
      <c r="BO13" s="193">
        <v>42241</v>
      </c>
      <c r="BP13" s="193">
        <v>42241</v>
      </c>
      <c r="BQ13" s="562" t="s">
        <v>171</v>
      </c>
      <c r="BR13" s="562"/>
      <c r="BS13" s="563"/>
      <c r="BT13" s="562">
        <v>13</v>
      </c>
      <c r="BV13" s="560">
        <v>34</v>
      </c>
      <c r="BW13" s="193">
        <v>42192</v>
      </c>
      <c r="BX13" s="562" t="s">
        <v>171</v>
      </c>
      <c r="BY13" s="562">
        <v>85</v>
      </c>
    </row>
    <row r="14" spans="1:77" ht="15" customHeight="1">
      <c r="A14" s="1568"/>
      <c r="B14" s="730" t="s">
        <v>230</v>
      </c>
      <c r="C14" s="727" t="s">
        <v>261</v>
      </c>
      <c r="D14" s="1238">
        <f t="shared" si="1"/>
        <v>475.16666666666669</v>
      </c>
      <c r="E14" s="1238">
        <f t="shared" si="0"/>
        <v>273.5</v>
      </c>
      <c r="F14" s="1238">
        <f t="shared" si="0"/>
        <v>25.833333333333332</v>
      </c>
      <c r="G14" s="1238">
        <f t="shared" si="0"/>
        <v>46.166666666666664</v>
      </c>
      <c r="H14" s="1059">
        <v>539</v>
      </c>
      <c r="I14" s="1059">
        <v>319</v>
      </c>
      <c r="J14" s="1059">
        <v>45</v>
      </c>
      <c r="K14" s="1059">
        <v>71</v>
      </c>
      <c r="L14" s="638">
        <v>462</v>
      </c>
      <c r="M14" s="638">
        <v>148</v>
      </c>
      <c r="N14" s="638">
        <v>37</v>
      </c>
      <c r="O14" s="638">
        <v>79</v>
      </c>
      <c r="P14" s="1059">
        <v>367</v>
      </c>
      <c r="Q14" s="1059">
        <v>154</v>
      </c>
      <c r="R14" s="1059">
        <v>17</v>
      </c>
      <c r="S14" s="1059">
        <v>54</v>
      </c>
      <c r="T14" s="638">
        <v>448</v>
      </c>
      <c r="U14" s="638">
        <v>261</v>
      </c>
      <c r="V14" s="638">
        <v>31</v>
      </c>
      <c r="W14" s="638">
        <v>45</v>
      </c>
      <c r="X14" s="621">
        <v>454</v>
      </c>
      <c r="Y14" s="621">
        <v>273</v>
      </c>
      <c r="Z14" s="621">
        <v>15</v>
      </c>
      <c r="AA14" s="621">
        <v>15</v>
      </c>
      <c r="AB14" s="638">
        <v>581</v>
      </c>
      <c r="AC14" s="638">
        <v>486</v>
      </c>
      <c r="AD14" s="638">
        <v>10</v>
      </c>
      <c r="AE14" s="638">
        <v>13</v>
      </c>
      <c r="AF14" s="730" t="s">
        <v>230</v>
      </c>
      <c r="AG14" s="1280"/>
      <c r="AH14" s="1280"/>
      <c r="AI14" s="1280"/>
      <c r="AK14" s="1588"/>
      <c r="AL14" s="481"/>
      <c r="AM14" s="879">
        <v>1</v>
      </c>
      <c r="AN14" s="872">
        <f>AM14*1.983*30</f>
        <v>59.49</v>
      </c>
      <c r="AO14" s="881"/>
      <c r="AP14" s="881"/>
      <c r="AQ14" s="247">
        <f t="shared" si="2"/>
        <v>0</v>
      </c>
      <c r="AR14" s="247">
        <f t="shared" si="3"/>
        <v>0</v>
      </c>
      <c r="BM14" s="562" t="s">
        <v>1252</v>
      </c>
      <c r="BN14" s="560" t="s">
        <v>1253</v>
      </c>
      <c r="BO14" s="193">
        <v>42241</v>
      </c>
      <c r="BP14" s="193">
        <v>42241</v>
      </c>
      <c r="BQ14" s="561" t="s">
        <v>195</v>
      </c>
      <c r="BR14" s="562"/>
      <c r="BS14" s="563"/>
      <c r="BT14" s="562">
        <v>2467</v>
      </c>
      <c r="BV14" s="560">
        <v>34</v>
      </c>
      <c r="BW14" s="193">
        <v>42234</v>
      </c>
      <c r="BX14" s="561" t="s">
        <v>195</v>
      </c>
      <c r="BY14" s="562">
        <v>1755</v>
      </c>
    </row>
    <row r="15" spans="1:77">
      <c r="A15" s="732" t="s">
        <v>686</v>
      </c>
      <c r="B15" s="729" t="s">
        <v>456</v>
      </c>
      <c r="C15" s="726" t="s">
        <v>457</v>
      </c>
      <c r="D15" s="1238">
        <f t="shared" si="1"/>
        <v>1703.1666666666667</v>
      </c>
      <c r="E15" s="1238">
        <f t="shared" si="0"/>
        <v>1364.3333333333333</v>
      </c>
      <c r="F15" s="1238">
        <f t="shared" si="0"/>
        <v>28.333333333333332</v>
      </c>
      <c r="G15" s="1238">
        <f t="shared" si="0"/>
        <v>55.666666666666664</v>
      </c>
      <c r="H15" s="1059">
        <v>2381</v>
      </c>
      <c r="I15" s="1059">
        <v>1977</v>
      </c>
      <c r="J15" s="1059">
        <v>41</v>
      </c>
      <c r="K15" s="1059">
        <v>69</v>
      </c>
      <c r="L15" s="638">
        <v>1889</v>
      </c>
      <c r="M15" s="638">
        <v>1655</v>
      </c>
      <c r="N15" s="638">
        <v>44</v>
      </c>
      <c r="O15" s="638">
        <v>70</v>
      </c>
      <c r="P15" s="1059">
        <v>1908</v>
      </c>
      <c r="Q15" s="1059">
        <v>1335</v>
      </c>
      <c r="R15" s="1059">
        <v>30</v>
      </c>
      <c r="S15" s="1059">
        <v>85</v>
      </c>
      <c r="T15" s="638">
        <v>1755</v>
      </c>
      <c r="U15" s="638">
        <v>1327</v>
      </c>
      <c r="V15" s="638">
        <v>29</v>
      </c>
      <c r="W15" s="638">
        <v>92</v>
      </c>
      <c r="X15" s="621">
        <v>1107</v>
      </c>
      <c r="Y15" s="621">
        <v>853</v>
      </c>
      <c r="Z15" s="621">
        <v>17</v>
      </c>
      <c r="AA15" s="621">
        <v>13</v>
      </c>
      <c r="AB15" s="638">
        <v>1179</v>
      </c>
      <c r="AC15" s="638">
        <v>1039</v>
      </c>
      <c r="AD15" s="638">
        <v>9</v>
      </c>
      <c r="AE15" s="638">
        <v>5</v>
      </c>
      <c r="AF15" s="729" t="s">
        <v>456</v>
      </c>
      <c r="AG15" s="1279"/>
      <c r="AH15" s="1279"/>
      <c r="AI15" s="1279"/>
      <c r="AK15" s="1589"/>
      <c r="AL15" s="481"/>
      <c r="AM15" s="879">
        <v>2.5</v>
      </c>
      <c r="AN15" s="872">
        <f t="shared" si="6"/>
        <v>153.6825</v>
      </c>
      <c r="AO15" s="881"/>
      <c r="AP15" s="881"/>
      <c r="AQ15" s="247">
        <f t="shared" si="2"/>
        <v>0</v>
      </c>
      <c r="AR15" s="247">
        <f t="shared" si="3"/>
        <v>0</v>
      </c>
      <c r="BM15" s="562" t="s">
        <v>1252</v>
      </c>
      <c r="BN15" s="560" t="s">
        <v>1253</v>
      </c>
      <c r="BO15" s="193">
        <v>42241</v>
      </c>
      <c r="BP15" s="193">
        <v>42241</v>
      </c>
      <c r="BQ15" s="562" t="s">
        <v>177</v>
      </c>
      <c r="BR15" s="562"/>
      <c r="BS15" s="562"/>
      <c r="BT15" s="562">
        <v>2200</v>
      </c>
      <c r="BV15" s="560">
        <v>34</v>
      </c>
      <c r="BW15" s="193">
        <v>42234</v>
      </c>
      <c r="BX15" s="562" t="s">
        <v>177</v>
      </c>
      <c r="BY15" s="562">
        <v>1327</v>
      </c>
    </row>
    <row r="16" spans="1:77">
      <c r="A16" s="1566" t="s">
        <v>248</v>
      </c>
      <c r="B16" s="730" t="s">
        <v>234</v>
      </c>
      <c r="C16" s="727" t="s">
        <v>250</v>
      </c>
      <c r="D16" s="1238">
        <f t="shared" si="1"/>
        <v>325</v>
      </c>
      <c r="E16" s="1238">
        <f t="shared" si="0"/>
        <v>220.33333333333334</v>
      </c>
      <c r="F16" s="1238">
        <f t="shared" si="0"/>
        <v>18.666666666666668</v>
      </c>
      <c r="G16" s="1238">
        <f t="shared" si="0"/>
        <v>33.833333333333336</v>
      </c>
      <c r="H16" s="1059">
        <v>499</v>
      </c>
      <c r="I16" s="1059">
        <v>412</v>
      </c>
      <c r="J16" s="1059">
        <v>27</v>
      </c>
      <c r="K16" s="1059">
        <v>41</v>
      </c>
      <c r="L16" s="638">
        <v>327</v>
      </c>
      <c r="M16" s="638">
        <v>148</v>
      </c>
      <c r="N16" s="638">
        <v>18</v>
      </c>
      <c r="O16" s="638">
        <v>28</v>
      </c>
      <c r="P16" s="1059">
        <v>219</v>
      </c>
      <c r="Q16" s="1059">
        <v>110</v>
      </c>
      <c r="R16" s="1059">
        <v>14</v>
      </c>
      <c r="S16" s="1059">
        <v>29</v>
      </c>
      <c r="T16" s="638">
        <v>235</v>
      </c>
      <c r="U16" s="638">
        <v>148</v>
      </c>
      <c r="V16" s="638">
        <v>18</v>
      </c>
      <c r="W16" s="638">
        <v>22</v>
      </c>
      <c r="X16" s="621">
        <v>271</v>
      </c>
      <c r="Y16" s="621">
        <v>127</v>
      </c>
      <c r="Z16" s="621">
        <v>22</v>
      </c>
      <c r="AA16" s="621">
        <v>75</v>
      </c>
      <c r="AB16" s="638">
        <v>399</v>
      </c>
      <c r="AC16" s="638">
        <v>377</v>
      </c>
      <c r="AD16" s="638">
        <v>13</v>
      </c>
      <c r="AE16" s="638">
        <v>8</v>
      </c>
      <c r="AF16" s="730" t="s">
        <v>234</v>
      </c>
      <c r="AG16" s="1280"/>
      <c r="AH16" s="1280"/>
      <c r="AI16" s="1280"/>
      <c r="AM16" s="710"/>
      <c r="AN16" s="875"/>
      <c r="AO16" s="1579" t="s">
        <v>1172</v>
      </c>
      <c r="AP16" s="1579"/>
      <c r="AQ16" s="1579" t="s">
        <v>1168</v>
      </c>
      <c r="AR16" s="1579"/>
      <c r="AS16" s="75">
        <v>42303</v>
      </c>
      <c r="AU16" s="1579" t="s">
        <v>1172</v>
      </c>
      <c r="AV16" s="1579"/>
      <c r="AW16" s="1579" t="s">
        <v>1168</v>
      </c>
      <c r="AX16" s="1579"/>
      <c r="BM16" s="562" t="s">
        <v>1252</v>
      </c>
      <c r="BN16" s="560" t="s">
        <v>1253</v>
      </c>
      <c r="BO16" s="193">
        <v>42241</v>
      </c>
      <c r="BP16" s="193">
        <v>42241</v>
      </c>
      <c r="BQ16" s="562" t="s">
        <v>223</v>
      </c>
      <c r="BR16" s="562"/>
      <c r="BS16" s="562"/>
      <c r="BT16" s="562">
        <v>18</v>
      </c>
      <c r="BV16" s="560">
        <v>34</v>
      </c>
      <c r="BW16" s="193">
        <v>42234</v>
      </c>
      <c r="BX16" s="562" t="s">
        <v>223</v>
      </c>
      <c r="BY16" s="562">
        <v>29</v>
      </c>
    </row>
    <row r="17" spans="1:79" ht="22.75" customHeight="1">
      <c r="A17" s="1567"/>
      <c r="B17" s="730" t="s">
        <v>235</v>
      </c>
      <c r="C17" s="727" t="s">
        <v>249</v>
      </c>
      <c r="D17" s="1238">
        <f t="shared" si="1"/>
        <v>429.33333333333331</v>
      </c>
      <c r="E17" s="1238">
        <f t="shared" si="0"/>
        <v>177.16666666666666</v>
      </c>
      <c r="F17" s="1238">
        <f t="shared" si="0"/>
        <v>35.5</v>
      </c>
      <c r="G17" s="1238">
        <f t="shared" si="0"/>
        <v>85.833333333333329</v>
      </c>
      <c r="H17" s="1059">
        <v>629</v>
      </c>
      <c r="I17" s="1059">
        <v>387</v>
      </c>
      <c r="J17" s="1059">
        <v>35</v>
      </c>
      <c r="K17" s="1059">
        <v>93</v>
      </c>
      <c r="L17" s="638">
        <v>558</v>
      </c>
      <c r="M17" s="638">
        <v>224</v>
      </c>
      <c r="N17" s="638">
        <v>98</v>
      </c>
      <c r="O17" s="638">
        <v>256</v>
      </c>
      <c r="P17" s="1059">
        <v>297</v>
      </c>
      <c r="Q17" s="1059">
        <v>124</v>
      </c>
      <c r="R17" s="1059">
        <v>16</v>
      </c>
      <c r="S17" s="1059">
        <v>55</v>
      </c>
      <c r="T17" s="638">
        <v>435</v>
      </c>
      <c r="U17" s="638">
        <v>246</v>
      </c>
      <c r="V17" s="638">
        <v>40</v>
      </c>
      <c r="W17" s="638">
        <v>78</v>
      </c>
      <c r="X17" s="621">
        <v>218</v>
      </c>
      <c r="Y17" s="621">
        <v>43</v>
      </c>
      <c r="Z17" s="621">
        <v>11</v>
      </c>
      <c r="AA17" s="621">
        <v>20</v>
      </c>
      <c r="AB17" s="638">
        <v>439</v>
      </c>
      <c r="AC17" s="638">
        <v>39</v>
      </c>
      <c r="AD17" s="638">
        <v>13</v>
      </c>
      <c r="AE17" s="638">
        <v>13</v>
      </c>
      <c r="AF17" s="730" t="s">
        <v>235</v>
      </c>
      <c r="AG17" s="1280"/>
      <c r="AH17" s="1280"/>
      <c r="AI17" s="1280"/>
      <c r="AK17" s="894">
        <v>42156</v>
      </c>
      <c r="AL17" s="126" t="s">
        <v>1201</v>
      </c>
      <c r="AM17" s="126" t="s">
        <v>1169</v>
      </c>
      <c r="AN17" s="126" t="s">
        <v>1741</v>
      </c>
      <c r="AO17" s="126" t="s">
        <v>29</v>
      </c>
      <c r="AP17" s="126" t="s">
        <v>28</v>
      </c>
      <c r="AQ17" s="126" t="s">
        <v>1742</v>
      </c>
      <c r="AR17" s="126" t="s">
        <v>1738</v>
      </c>
      <c r="AS17" s="126" t="s">
        <v>1169</v>
      </c>
      <c r="AT17" s="126" t="s">
        <v>1740</v>
      </c>
      <c r="AU17" s="126" t="s">
        <v>29</v>
      </c>
      <c r="AV17" s="126" t="s">
        <v>28</v>
      </c>
      <c r="AW17" s="126" t="s">
        <v>1743</v>
      </c>
      <c r="AX17" s="126" t="s">
        <v>1739</v>
      </c>
      <c r="BA17" s="710"/>
      <c r="BB17" s="875"/>
      <c r="BC17" s="1576" t="s">
        <v>1202</v>
      </c>
      <c r="BD17" s="1576"/>
      <c r="BE17" s="1576" t="s">
        <v>1168</v>
      </c>
      <c r="BF17" s="1576"/>
      <c r="BH17" s="875"/>
      <c r="BI17" s="1576" t="s">
        <v>1202</v>
      </c>
      <c r="BJ17" s="1576"/>
      <c r="BK17" s="1576" t="s">
        <v>1168</v>
      </c>
      <c r="BL17" s="1576"/>
      <c r="BM17" s="562" t="s">
        <v>1252</v>
      </c>
      <c r="BN17" s="560" t="s">
        <v>1253</v>
      </c>
      <c r="BO17" s="193">
        <v>42241</v>
      </c>
      <c r="BP17" s="193">
        <v>42241</v>
      </c>
      <c r="BQ17" s="562" t="s">
        <v>171</v>
      </c>
      <c r="BR17" s="562"/>
      <c r="BS17" s="563"/>
      <c r="BT17" s="562">
        <v>25</v>
      </c>
      <c r="BV17" s="560">
        <v>34</v>
      </c>
      <c r="BW17" s="193">
        <v>42234</v>
      </c>
      <c r="BX17" s="562" t="s">
        <v>171</v>
      </c>
      <c r="BY17" s="562">
        <v>92</v>
      </c>
    </row>
    <row r="18" spans="1:79" ht="13.25" customHeight="1">
      <c r="A18" s="1567"/>
      <c r="B18" s="731" t="s">
        <v>453</v>
      </c>
      <c r="C18" s="728" t="s">
        <v>455</v>
      </c>
      <c r="D18" s="1238">
        <f t="shared" si="1"/>
        <v>640.33333333333337</v>
      </c>
      <c r="E18" s="1238">
        <f t="shared" si="0"/>
        <v>283.33333333333331</v>
      </c>
      <c r="F18" s="1238">
        <f t="shared" si="0"/>
        <v>26.166666666666668</v>
      </c>
      <c r="G18" s="1238">
        <f t="shared" si="0"/>
        <v>57.666666666666664</v>
      </c>
      <c r="H18" s="1059">
        <v>547</v>
      </c>
      <c r="I18" s="1059">
        <v>284</v>
      </c>
      <c r="J18" s="1059">
        <v>28</v>
      </c>
      <c r="K18" s="1059">
        <v>52</v>
      </c>
      <c r="L18" s="638">
        <v>664</v>
      </c>
      <c r="M18" s="638">
        <v>147</v>
      </c>
      <c r="N18" s="638">
        <v>27</v>
      </c>
      <c r="O18" s="638">
        <v>48</v>
      </c>
      <c r="P18" s="1059">
        <v>618</v>
      </c>
      <c r="Q18" s="1059">
        <v>139</v>
      </c>
      <c r="R18" s="1059">
        <v>35</v>
      </c>
      <c r="S18" s="1059">
        <v>103</v>
      </c>
      <c r="T18" s="638">
        <v>644</v>
      </c>
      <c r="U18" s="638">
        <v>221</v>
      </c>
      <c r="V18" s="638">
        <v>32</v>
      </c>
      <c r="W18" s="638">
        <v>72</v>
      </c>
      <c r="X18" s="621">
        <v>669</v>
      </c>
      <c r="Y18" s="621">
        <v>492</v>
      </c>
      <c r="Z18" s="621">
        <v>16</v>
      </c>
      <c r="AA18" s="621">
        <v>33</v>
      </c>
      <c r="AB18" s="638">
        <v>700</v>
      </c>
      <c r="AC18" s="638">
        <v>417</v>
      </c>
      <c r="AD18" s="638">
        <v>19</v>
      </c>
      <c r="AE18" s="638">
        <v>38</v>
      </c>
      <c r="AF18" s="731" t="s">
        <v>453</v>
      </c>
      <c r="AG18" s="1282"/>
      <c r="AH18" s="1282"/>
      <c r="AI18" s="1282"/>
      <c r="AK18" s="546" t="s">
        <v>1194</v>
      </c>
      <c r="AL18" s="895">
        <v>0.51700000000000002</v>
      </c>
      <c r="AM18" s="882">
        <v>4.7</v>
      </c>
      <c r="AN18" s="873">
        <f>AM18*1.983*30</f>
        <v>279.60300000000001</v>
      </c>
      <c r="AO18" s="873">
        <v>664</v>
      </c>
      <c r="AP18" s="873">
        <v>48</v>
      </c>
      <c r="AQ18" s="880">
        <f>AN18*AO18*0.002723</f>
        <v>505.54235541600002</v>
      </c>
      <c r="AR18" s="880">
        <f>AN18*AP18*0.002723</f>
        <v>36.545230512000003</v>
      </c>
      <c r="AS18" s="612">
        <v>0.4</v>
      </c>
      <c r="AT18" s="1211">
        <f>AS18*1.983*30</f>
        <v>23.796000000000003</v>
      </c>
      <c r="AU18" s="1211">
        <v>700</v>
      </c>
      <c r="AV18" s="1211">
        <v>38</v>
      </c>
      <c r="AW18" s="880">
        <f>AT18*AU18*0.002723</f>
        <v>45.357555600000005</v>
      </c>
      <c r="AX18" s="880">
        <f>AT18*AV18*0.002723</f>
        <v>2.4622673040000005</v>
      </c>
      <c r="AZ18" s="898">
        <v>42145</v>
      </c>
      <c r="BA18" s="883" t="s">
        <v>1169</v>
      </c>
      <c r="BB18" s="883" t="s">
        <v>1746</v>
      </c>
      <c r="BC18" s="883" t="s">
        <v>29</v>
      </c>
      <c r="BD18" s="883" t="s">
        <v>28</v>
      </c>
      <c r="BE18" s="883" t="s">
        <v>1744</v>
      </c>
      <c r="BF18" s="883" t="s">
        <v>1745</v>
      </c>
      <c r="BG18" s="883" t="s">
        <v>1169</v>
      </c>
      <c r="BH18" s="883" t="s">
        <v>1740</v>
      </c>
      <c r="BI18" s="883" t="s">
        <v>29</v>
      </c>
      <c r="BJ18" s="883" t="s">
        <v>28</v>
      </c>
      <c r="BK18" s="883" t="s">
        <v>1743</v>
      </c>
      <c r="BL18" s="883" t="s">
        <v>1781</v>
      </c>
      <c r="BM18" s="559" t="s">
        <v>1254</v>
      </c>
      <c r="BN18" s="560" t="s">
        <v>1255</v>
      </c>
      <c r="BO18" s="193">
        <v>42241</v>
      </c>
      <c r="BP18" s="193">
        <v>42241</v>
      </c>
      <c r="BQ18" s="561" t="s">
        <v>195</v>
      </c>
      <c r="BR18" s="562"/>
      <c r="BS18" s="563"/>
      <c r="BT18" s="562">
        <v>2344</v>
      </c>
      <c r="BV18" s="560">
        <v>34</v>
      </c>
      <c r="BW18" s="193">
        <v>42262</v>
      </c>
      <c r="BX18" s="561" t="s">
        <v>195</v>
      </c>
      <c r="BY18" s="562">
        <v>1107</v>
      </c>
    </row>
    <row r="19" spans="1:79" s="710" customFormat="1" ht="15" customHeight="1">
      <c r="A19" s="1567"/>
      <c r="B19" s="731" t="s">
        <v>1163</v>
      </c>
      <c r="C19" s="728" t="s">
        <v>1164</v>
      </c>
      <c r="D19" s="1238">
        <f t="shared" si="1"/>
        <v>1370</v>
      </c>
      <c r="E19" s="1238"/>
      <c r="F19" s="1238"/>
      <c r="G19" s="1238">
        <f t="shared" ref="G19:G23" si="7">AVERAGE(K19,O19,S19,W19,AA19,AE19)</f>
        <v>24</v>
      </c>
      <c r="H19" s="497"/>
      <c r="I19" s="497"/>
      <c r="J19" s="497"/>
      <c r="K19" s="497"/>
      <c r="L19" s="638">
        <v>1374</v>
      </c>
      <c r="M19" s="638"/>
      <c r="N19" s="638"/>
      <c r="O19" s="638">
        <v>46</v>
      </c>
      <c r="P19" s="1059"/>
      <c r="Q19" s="1059"/>
      <c r="R19" s="1059"/>
      <c r="S19" s="1059"/>
      <c r="T19" s="638"/>
      <c r="U19" s="638"/>
      <c r="V19" s="638"/>
      <c r="W19" s="638"/>
      <c r="X19" s="725"/>
      <c r="Y19" s="725"/>
      <c r="Z19" s="725"/>
      <c r="AA19" s="725"/>
      <c r="AB19" s="638">
        <v>1366</v>
      </c>
      <c r="AC19" s="638"/>
      <c r="AD19" s="638"/>
      <c r="AE19" s="638">
        <v>2</v>
      </c>
      <c r="AF19" s="731" t="s">
        <v>1163</v>
      </c>
      <c r="AG19" s="1282"/>
      <c r="AH19" s="1282"/>
      <c r="AI19" s="1282"/>
      <c r="AK19" s="546" t="s">
        <v>1195</v>
      </c>
      <c r="AL19" s="895">
        <v>0.54500000000000004</v>
      </c>
      <c r="AM19" s="640">
        <v>1.8</v>
      </c>
      <c r="AN19" s="873">
        <f>AM19*1.983*30</f>
        <v>107.08200000000001</v>
      </c>
      <c r="AO19" s="873">
        <v>1374</v>
      </c>
      <c r="AP19" s="873">
        <v>46</v>
      </c>
      <c r="AQ19" s="880">
        <f>AN19*AO19*0.002723</f>
        <v>400.63680896400001</v>
      </c>
      <c r="AR19" s="880">
        <f>AN19*AP19*0.002723</f>
        <v>13.412877156</v>
      </c>
      <c r="AS19" s="612">
        <v>0.3</v>
      </c>
      <c r="AT19" s="1211">
        <f>AS19*1.983*30</f>
        <v>17.847000000000001</v>
      </c>
      <c r="AU19" s="1211">
        <v>1366</v>
      </c>
      <c r="AV19" s="1211">
        <v>2</v>
      </c>
      <c r="AW19" s="880">
        <f>AT19*AU19*0.002723</f>
        <v>66.384022446000003</v>
      </c>
      <c r="AX19" s="425">
        <f>AT19*AV19*0.002723</f>
        <v>9.7194762000000018E-2</v>
      </c>
      <c r="AZ19" s="896" t="s">
        <v>1175</v>
      </c>
      <c r="BA19" s="884">
        <v>140</v>
      </c>
      <c r="BB19" s="884">
        <f>BA19*1.983*30</f>
        <v>8328.6</v>
      </c>
      <c r="BC19" s="884">
        <v>360</v>
      </c>
      <c r="BD19" s="884">
        <v>42</v>
      </c>
      <c r="BE19" s="885">
        <f>BB19*BC19*0.002723</f>
        <v>8164.3600080000006</v>
      </c>
      <c r="BF19" s="885">
        <f>BB19*BD19*0.002723</f>
        <v>952.50866760000008</v>
      </c>
      <c r="BG19" s="885">
        <v>17.8</v>
      </c>
      <c r="BH19" s="884">
        <f>BG19*1.983*30</f>
        <v>1058.922</v>
      </c>
      <c r="BI19" s="885">
        <v>32</v>
      </c>
      <c r="BJ19" s="1211">
        <v>2</v>
      </c>
      <c r="BK19" s="885">
        <f>BH19*BI19*0.002723</f>
        <v>92.27022739200001</v>
      </c>
      <c r="BL19" s="885">
        <f>BH19*BJ19*0.002723</f>
        <v>5.7668892120000006</v>
      </c>
      <c r="BM19" s="559" t="s">
        <v>1254</v>
      </c>
      <c r="BN19" s="560" t="s">
        <v>1255</v>
      </c>
      <c r="BO19" s="193">
        <v>42241</v>
      </c>
      <c r="BP19" s="193">
        <v>42241</v>
      </c>
      <c r="BQ19" s="562" t="s">
        <v>177</v>
      </c>
      <c r="BR19" s="562"/>
      <c r="BS19" s="562"/>
      <c r="BT19" s="562">
        <v>2085</v>
      </c>
      <c r="BV19" s="560">
        <v>34</v>
      </c>
      <c r="BW19" s="193">
        <v>42262</v>
      </c>
      <c r="BX19" s="562" t="s">
        <v>177</v>
      </c>
      <c r="BY19" s="562">
        <v>853</v>
      </c>
    </row>
    <row r="20" spans="1:79" s="710" customFormat="1" ht="15" customHeight="1">
      <c r="A20" s="1567"/>
      <c r="B20" s="731" t="s">
        <v>1165</v>
      </c>
      <c r="C20" s="728" t="s">
        <v>1166</v>
      </c>
      <c r="D20" s="1238">
        <f t="shared" si="1"/>
        <v>1951.5</v>
      </c>
      <c r="E20" s="1238"/>
      <c r="F20" s="1238"/>
      <c r="G20" s="1238">
        <f t="shared" si="7"/>
        <v>80.5</v>
      </c>
      <c r="H20" s="497"/>
      <c r="I20" s="497"/>
      <c r="J20" s="497"/>
      <c r="K20" s="497"/>
      <c r="L20" s="638">
        <v>1654</v>
      </c>
      <c r="M20" s="638"/>
      <c r="N20" s="638"/>
      <c r="O20" s="638">
        <v>75</v>
      </c>
      <c r="P20" s="1059"/>
      <c r="Q20" s="1059"/>
      <c r="R20" s="1059"/>
      <c r="S20" s="1059"/>
      <c r="T20" s="638"/>
      <c r="U20" s="638"/>
      <c r="V20" s="638"/>
      <c r="W20" s="638"/>
      <c r="X20" s="725"/>
      <c r="Y20" s="725"/>
      <c r="Z20" s="725"/>
      <c r="AA20" s="725"/>
      <c r="AB20" s="638">
        <v>2249</v>
      </c>
      <c r="AC20" s="638"/>
      <c r="AD20" s="638"/>
      <c r="AE20" s="638">
        <v>86</v>
      </c>
      <c r="AF20" s="731" t="s">
        <v>1165</v>
      </c>
      <c r="AG20" s="1282"/>
      <c r="AH20" s="1282"/>
      <c r="AI20" s="1282"/>
      <c r="AK20" s="546" t="s">
        <v>1171</v>
      </c>
      <c r="AL20" s="895"/>
      <c r="AM20" s="873"/>
      <c r="AN20" s="873">
        <f>SUM(AN18:AN19)</f>
        <v>386.685</v>
      </c>
      <c r="AO20" s="873"/>
      <c r="AP20" s="873"/>
      <c r="AQ20" s="873">
        <f>SUM(AQ18:AQ19)</f>
        <v>906.17916437999997</v>
      </c>
      <c r="AR20" s="873">
        <f>SUM(AR18:AR19)</f>
        <v>49.958107668000004</v>
      </c>
      <c r="AS20" s="1211"/>
      <c r="AT20" s="1211">
        <f>SUM(AT18:AT19)</f>
        <v>41.643000000000001</v>
      </c>
      <c r="AU20" s="1211"/>
      <c r="AV20" s="1211"/>
      <c r="AW20" s="1211">
        <f>SUM(AW18:AW19)</f>
        <v>111.741578046</v>
      </c>
      <c r="AX20" s="1211">
        <f>SUM(AX18:AX19)</f>
        <v>2.5594620660000005</v>
      </c>
      <c r="AZ20" s="897" t="s">
        <v>1180</v>
      </c>
      <c r="BA20" s="873">
        <v>119</v>
      </c>
      <c r="BB20" s="884">
        <f>BA20*1.983*30</f>
        <v>7079.31</v>
      </c>
      <c r="BC20" s="873">
        <v>263</v>
      </c>
      <c r="BD20" s="873">
        <v>58</v>
      </c>
      <c r="BE20" s="885">
        <f>BB20*BC20*0.002723</f>
        <v>5069.8407771900002</v>
      </c>
      <c r="BF20" s="885">
        <f>BB20*BD20*0.002723</f>
        <v>1118.0637455400001</v>
      </c>
      <c r="BG20" s="885">
        <v>4.0999999999999996</v>
      </c>
      <c r="BH20" s="884">
        <f t="shared" ref="BH20:BH27" si="8">BG20*1.983*30</f>
        <v>243.90899999999999</v>
      </c>
      <c r="BI20" s="885">
        <v>40</v>
      </c>
      <c r="BJ20" s="1211">
        <v>2</v>
      </c>
      <c r="BK20" s="885">
        <f>BH20*BI20*0.002723</f>
        <v>26.566568280000002</v>
      </c>
      <c r="BL20" s="885">
        <f>BH20*BJ20*0.002723</f>
        <v>1.328328414</v>
      </c>
      <c r="BM20" s="559" t="s">
        <v>1254</v>
      </c>
      <c r="BN20" s="560" t="s">
        <v>1255</v>
      </c>
      <c r="BO20" s="193">
        <v>42241</v>
      </c>
      <c r="BP20" s="193">
        <v>42241</v>
      </c>
      <c r="BQ20" s="562" t="s">
        <v>223</v>
      </c>
      <c r="BR20" s="562"/>
      <c r="BS20" s="562"/>
      <c r="BT20" s="562">
        <v>19</v>
      </c>
      <c r="BV20" s="560">
        <v>34</v>
      </c>
      <c r="BW20" s="193">
        <v>42262</v>
      </c>
      <c r="BX20" s="562" t="s">
        <v>223</v>
      </c>
      <c r="BY20" s="562">
        <v>17</v>
      </c>
    </row>
    <row r="21" spans="1:79" ht="18.649999999999999" customHeight="1">
      <c r="A21" s="1568"/>
      <c r="B21" s="729" t="s">
        <v>452</v>
      </c>
      <c r="C21" s="726" t="s">
        <v>454</v>
      </c>
      <c r="D21" s="1238">
        <f t="shared" si="1"/>
        <v>1439.8333333333333</v>
      </c>
      <c r="E21" s="1238">
        <f t="shared" ref="E21:E23" si="9">AVERAGE(I21,M21,Q21,U21,Y21,AC21)</f>
        <v>825</v>
      </c>
      <c r="F21" s="1238">
        <f t="shared" ref="F21:F23" si="10">AVERAGE(J21,N21,R21,V21,Z21,AD21)</f>
        <v>209.83333333333334</v>
      </c>
      <c r="G21" s="1238">
        <f t="shared" si="7"/>
        <v>125.33333333333333</v>
      </c>
      <c r="H21" s="1059">
        <v>1178</v>
      </c>
      <c r="I21" s="1059">
        <v>710</v>
      </c>
      <c r="J21" s="1059">
        <v>55</v>
      </c>
      <c r="K21" s="1059">
        <v>91</v>
      </c>
      <c r="L21" s="638">
        <v>1663</v>
      </c>
      <c r="M21" s="638">
        <v>674</v>
      </c>
      <c r="N21" s="638">
        <v>621</v>
      </c>
      <c r="O21" s="638">
        <v>194</v>
      </c>
      <c r="P21" s="1059">
        <v>1017</v>
      </c>
      <c r="Q21" s="1059">
        <v>434</v>
      </c>
      <c r="R21" s="1059">
        <v>66</v>
      </c>
      <c r="S21" s="1059">
        <v>114</v>
      </c>
      <c r="T21" s="638">
        <v>1883</v>
      </c>
      <c r="U21" s="638">
        <v>1167</v>
      </c>
      <c r="V21" s="638">
        <v>181</v>
      </c>
      <c r="W21" s="638">
        <v>174</v>
      </c>
      <c r="X21" s="621">
        <v>1121</v>
      </c>
      <c r="Y21" s="621">
        <v>788</v>
      </c>
      <c r="Z21" s="621">
        <v>9</v>
      </c>
      <c r="AA21" s="621">
        <v>97</v>
      </c>
      <c r="AB21" s="638">
        <v>1777</v>
      </c>
      <c r="AC21" s="638">
        <v>1177</v>
      </c>
      <c r="AD21" s="638">
        <v>327</v>
      </c>
      <c r="AE21" s="638">
        <v>82</v>
      </c>
      <c r="AF21" s="729" t="s">
        <v>452</v>
      </c>
      <c r="AG21" s="1279"/>
      <c r="AH21" s="1279"/>
      <c r="AI21" s="1279"/>
      <c r="AK21" s="546" t="s">
        <v>1196</v>
      </c>
      <c r="AL21" s="895"/>
      <c r="AM21" s="605">
        <v>0.78590000000000004</v>
      </c>
      <c r="AN21" s="873">
        <f>AM21*1.983*30</f>
        <v>46.753191000000001</v>
      </c>
      <c r="AO21" s="873">
        <v>5000</v>
      </c>
      <c r="AP21" s="873">
        <v>200</v>
      </c>
      <c r="AQ21" s="880">
        <f>AN21*AO21*0.002723</f>
        <v>636.54469546500013</v>
      </c>
      <c r="AR21" s="880">
        <v>47.69</v>
      </c>
      <c r="AS21" s="939">
        <v>0.75</v>
      </c>
      <c r="AT21" s="1211">
        <f>AS21*1.983*30</f>
        <v>44.6175</v>
      </c>
      <c r="AU21" s="1211">
        <v>4206</v>
      </c>
      <c r="AV21" s="1211">
        <v>121</v>
      </c>
      <c r="AW21" s="880">
        <f>AT21*AU21*0.002723</f>
        <v>511.00146121500001</v>
      </c>
      <c r="AX21" s="880">
        <f>AT21*AV21*0.002723</f>
        <v>14.7007077525</v>
      </c>
      <c r="AZ21" s="303" t="s">
        <v>1181</v>
      </c>
      <c r="BA21" s="50"/>
      <c r="BB21" s="873">
        <f>SUM(BB19:BB20)</f>
        <v>15407.91</v>
      </c>
      <c r="BC21" s="873"/>
      <c r="BD21" s="873"/>
      <c r="BE21" s="873">
        <f>SUM(BE19:BE20)</f>
        <v>13234.200785190002</v>
      </c>
      <c r="BF21" s="873">
        <f>SUM(BF19:BF20)</f>
        <v>2070.5724131400002</v>
      </c>
      <c r="BG21" s="1211">
        <f>SUM(BG19:BG20)</f>
        <v>21.9</v>
      </c>
      <c r="BH21" s="884">
        <f t="shared" si="8"/>
        <v>1302.8310000000001</v>
      </c>
      <c r="BI21" s="1211"/>
      <c r="BJ21" s="1211"/>
      <c r="BK21" s="1211">
        <f>SUM(BK19:BK20)</f>
        <v>118.83679567200001</v>
      </c>
      <c r="BL21" s="1211">
        <f>SUM(BL19:BL20)</f>
        <v>7.0952176260000002</v>
      </c>
      <c r="BM21" s="559" t="s">
        <v>1254</v>
      </c>
      <c r="BN21" s="560" t="s">
        <v>1255</v>
      </c>
      <c r="BO21" s="193">
        <v>42241</v>
      </c>
      <c r="BP21" s="193">
        <v>42241</v>
      </c>
      <c r="BQ21" s="562" t="s">
        <v>171</v>
      </c>
      <c r="BR21" s="562"/>
      <c r="BS21" s="563"/>
      <c r="BT21" s="562">
        <v>24</v>
      </c>
      <c r="BV21" s="560">
        <v>34</v>
      </c>
      <c r="BW21" s="193">
        <v>42262</v>
      </c>
      <c r="BX21" s="562" t="s">
        <v>171</v>
      </c>
      <c r="BY21" s="562">
        <v>13</v>
      </c>
    </row>
    <row r="22" spans="1:79" ht="15" customHeight="1">
      <c r="A22" s="732" t="s">
        <v>251</v>
      </c>
      <c r="B22" s="730" t="s">
        <v>231</v>
      </c>
      <c r="C22" s="727" t="s">
        <v>1078</v>
      </c>
      <c r="D22" s="1238">
        <f t="shared" si="1"/>
        <v>665.16666666666663</v>
      </c>
      <c r="E22" s="1238">
        <f t="shared" si="9"/>
        <v>132.33333333333334</v>
      </c>
      <c r="F22" s="1238">
        <f t="shared" si="10"/>
        <v>39.833333333333336</v>
      </c>
      <c r="G22" s="1238">
        <f t="shared" si="7"/>
        <v>68.833333333333329</v>
      </c>
      <c r="H22" s="1059">
        <v>549</v>
      </c>
      <c r="I22" s="1059">
        <v>145</v>
      </c>
      <c r="J22" s="1059">
        <v>26</v>
      </c>
      <c r="K22" s="1059">
        <v>33</v>
      </c>
      <c r="L22" s="638">
        <v>793</v>
      </c>
      <c r="M22" s="638">
        <v>66</v>
      </c>
      <c r="N22" s="638">
        <v>37</v>
      </c>
      <c r="O22" s="638">
        <v>59</v>
      </c>
      <c r="P22" s="1059">
        <v>824</v>
      </c>
      <c r="Q22" s="1059">
        <v>79</v>
      </c>
      <c r="R22" s="1059">
        <v>41</v>
      </c>
      <c r="S22" s="1059">
        <v>144</v>
      </c>
      <c r="T22" s="638">
        <v>615</v>
      </c>
      <c r="U22" s="638">
        <v>82</v>
      </c>
      <c r="V22" s="638">
        <v>47</v>
      </c>
      <c r="W22" s="638">
        <v>104</v>
      </c>
      <c r="X22" s="621">
        <v>780</v>
      </c>
      <c r="Y22" s="621">
        <v>307</v>
      </c>
      <c r="Z22" s="621">
        <v>68</v>
      </c>
      <c r="AA22" s="621">
        <v>57</v>
      </c>
      <c r="AB22" s="638">
        <v>430</v>
      </c>
      <c r="AC22" s="638">
        <v>115</v>
      </c>
      <c r="AD22" s="638">
        <v>20</v>
      </c>
      <c r="AE22" s="638">
        <v>16</v>
      </c>
      <c r="AF22" s="730" t="s">
        <v>231</v>
      </c>
      <c r="AG22" s="1280"/>
      <c r="AH22" s="1280"/>
      <c r="AI22" s="1280"/>
      <c r="AK22" s="546" t="s">
        <v>1197</v>
      </c>
      <c r="AL22" s="895"/>
      <c r="AM22" s="873"/>
      <c r="AN22" s="873">
        <f>AN20+AN21</f>
        <v>433.43819100000002</v>
      </c>
      <c r="AO22" s="873"/>
      <c r="AP22" s="873"/>
      <c r="AQ22" s="873">
        <f>AQ20+AQ21</f>
        <v>1542.7238598450001</v>
      </c>
      <c r="AR22" s="873">
        <f>AR20+AR21</f>
        <v>97.648107667999994</v>
      </c>
      <c r="AS22" s="1211"/>
      <c r="AT22" s="1211">
        <f>AT20+AT21</f>
        <v>86.260500000000008</v>
      </c>
      <c r="AU22" s="1211"/>
      <c r="AV22" s="1211"/>
      <c r="AW22" s="1211">
        <f>AW20+AW21</f>
        <v>622.74303926100004</v>
      </c>
      <c r="AX22" s="1211">
        <f>AX20+AX21</f>
        <v>17.2601698185</v>
      </c>
      <c r="AZ22" s="897" t="s">
        <v>1176</v>
      </c>
      <c r="BA22" s="884">
        <v>260</v>
      </c>
      <c r="BB22" s="884">
        <f>BA22*1.983*30</f>
        <v>15467.400000000001</v>
      </c>
      <c r="BC22" s="884">
        <v>349</v>
      </c>
      <c r="BD22" s="884">
        <v>58</v>
      </c>
      <c r="BE22" s="885">
        <f>BB22*BC22*0.002723</f>
        <v>14699.087839800002</v>
      </c>
      <c r="BF22" s="885">
        <f>BB22*BD22*0.002723</f>
        <v>2442.8283516000001</v>
      </c>
      <c r="BG22" s="885">
        <v>17.899999999999999</v>
      </c>
      <c r="BH22" s="884">
        <f t="shared" si="8"/>
        <v>1064.8710000000001</v>
      </c>
      <c r="BI22" s="885">
        <v>124</v>
      </c>
      <c r="BJ22" s="1211">
        <v>2</v>
      </c>
      <c r="BK22" s="885">
        <f t="shared" ref="BK22:BK23" si="11">BH22*BI22*0.002723</f>
        <v>359.55582289200004</v>
      </c>
      <c r="BL22" s="885">
        <f>BH22*BJ22*0.002723</f>
        <v>5.7992874660000009</v>
      </c>
      <c r="BM22" s="559" t="s">
        <v>1256</v>
      </c>
      <c r="BN22" s="560" t="s">
        <v>1257</v>
      </c>
      <c r="BO22" s="193">
        <v>42241</v>
      </c>
      <c r="BP22" s="193">
        <v>42241</v>
      </c>
      <c r="BQ22" s="561" t="s">
        <v>195</v>
      </c>
      <c r="BR22" s="562"/>
      <c r="BS22" s="563"/>
      <c r="BT22" s="562">
        <v>1527</v>
      </c>
    </row>
    <row r="23" spans="1:79" ht="15" customHeight="1">
      <c r="A23" s="732" t="s">
        <v>253</v>
      </c>
      <c r="B23" s="730" t="s">
        <v>232</v>
      </c>
      <c r="C23" s="727" t="s">
        <v>254</v>
      </c>
      <c r="D23" s="1238">
        <f t="shared" si="1"/>
        <v>445.33333333333331</v>
      </c>
      <c r="E23" s="1238">
        <f t="shared" si="9"/>
        <v>211</v>
      </c>
      <c r="F23" s="1238">
        <f t="shared" si="10"/>
        <v>19.166666666666668</v>
      </c>
      <c r="G23" s="1238">
        <f t="shared" si="7"/>
        <v>35.666666666666664</v>
      </c>
      <c r="H23" s="621">
        <v>673</v>
      </c>
      <c r="I23" s="621">
        <v>361</v>
      </c>
      <c r="J23" s="621">
        <v>31</v>
      </c>
      <c r="K23" s="621">
        <v>69</v>
      </c>
      <c r="L23" s="580">
        <v>528</v>
      </c>
      <c r="M23" s="580">
        <v>237</v>
      </c>
      <c r="N23" s="580">
        <v>22</v>
      </c>
      <c r="O23" s="580">
        <v>43</v>
      </c>
      <c r="P23" s="1059">
        <v>401</v>
      </c>
      <c r="Q23" s="1059">
        <v>173</v>
      </c>
      <c r="R23" s="1059">
        <v>23</v>
      </c>
      <c r="S23" s="1059">
        <v>54</v>
      </c>
      <c r="T23" s="638">
        <v>483</v>
      </c>
      <c r="U23" s="638">
        <v>217</v>
      </c>
      <c r="V23" s="638">
        <v>23</v>
      </c>
      <c r="W23" s="638">
        <v>33</v>
      </c>
      <c r="X23" s="621">
        <v>274</v>
      </c>
      <c r="Y23" s="621">
        <v>75</v>
      </c>
      <c r="Z23" s="621">
        <v>7</v>
      </c>
      <c r="AA23" s="621">
        <v>11</v>
      </c>
      <c r="AB23" s="638">
        <v>313</v>
      </c>
      <c r="AC23" s="638">
        <v>203</v>
      </c>
      <c r="AD23" s="638">
        <v>9</v>
      </c>
      <c r="AE23" s="638">
        <v>4</v>
      </c>
      <c r="AF23" s="730" t="s">
        <v>232</v>
      </c>
      <c r="AG23" s="1280"/>
      <c r="AH23" s="1280"/>
      <c r="AI23" s="1280"/>
      <c r="AK23" s="546" t="s">
        <v>1198</v>
      </c>
      <c r="AL23" s="895"/>
      <c r="AM23" s="873"/>
      <c r="AN23" s="873">
        <f>AN24-AN22</f>
        <v>232.84980899999988</v>
      </c>
      <c r="AO23" s="873"/>
      <c r="AP23" s="873"/>
      <c r="AQ23" s="873">
        <f>AQ24-AQ22</f>
        <v>1458.1320186509995</v>
      </c>
      <c r="AR23" s="873">
        <f>AR24-AR22</f>
        <v>38.424559131999985</v>
      </c>
      <c r="AS23" s="1211"/>
      <c r="AT23" s="1211">
        <f>AT24-AT22</f>
        <v>234.98550000000003</v>
      </c>
      <c r="AU23" s="1211"/>
      <c r="AV23" s="1211"/>
      <c r="AW23" s="1211">
        <f>AW24-AW22</f>
        <v>1344.5761383810004</v>
      </c>
      <c r="AX23" s="1211">
        <f>AX24-AX22</f>
        <v>57.968575969500009</v>
      </c>
      <c r="AZ23" s="897" t="s">
        <v>1173</v>
      </c>
      <c r="BA23" s="884">
        <v>14.9</v>
      </c>
      <c r="BB23" s="884">
        <f>BA23*1.983*30</f>
        <v>886.40100000000007</v>
      </c>
      <c r="BC23" s="884">
        <v>677</v>
      </c>
      <c r="BD23" s="884">
        <v>81</v>
      </c>
      <c r="BE23" s="885">
        <f>BB23*BC23*0.002723</f>
        <v>1634.0545378710003</v>
      </c>
      <c r="BF23" s="885">
        <f>BB23*BD23*0.002723</f>
        <v>195.507263763</v>
      </c>
      <c r="BG23" s="1215">
        <v>0.7</v>
      </c>
      <c r="BH23" s="884">
        <f t="shared" si="8"/>
        <v>41.642999999999994</v>
      </c>
      <c r="BI23" s="885">
        <v>180</v>
      </c>
      <c r="BJ23" s="1211">
        <v>32</v>
      </c>
      <c r="BK23" s="885">
        <f t="shared" si="11"/>
        <v>20.41090002</v>
      </c>
      <c r="BL23" s="885">
        <f>BH23*BJ23*0.002723</f>
        <v>3.6286044479999995</v>
      </c>
      <c r="BM23" s="559" t="s">
        <v>1256</v>
      </c>
      <c r="BN23" s="560" t="s">
        <v>1257</v>
      </c>
      <c r="BO23" s="193">
        <v>42241</v>
      </c>
      <c r="BP23" s="193">
        <v>42241</v>
      </c>
      <c r="BQ23" s="562" t="s">
        <v>177</v>
      </c>
      <c r="BR23" s="562"/>
      <c r="BS23" s="562"/>
      <c r="BT23" s="562">
        <v>1305</v>
      </c>
    </row>
    <row r="24" spans="1:79" ht="15" customHeight="1">
      <c r="I24" s="562"/>
      <c r="J24" s="562"/>
      <c r="K24" s="562"/>
      <c r="L24" s="562"/>
      <c r="M24" s="562"/>
      <c r="N24" s="562"/>
      <c r="O24" s="562"/>
      <c r="P24" s="562"/>
      <c r="AK24" s="546" t="s">
        <v>1199</v>
      </c>
      <c r="AL24" s="895">
        <v>0.61799999999999999</v>
      </c>
      <c r="AM24" s="640">
        <v>11.2</v>
      </c>
      <c r="AN24" s="873">
        <f>AM24*1.983*30</f>
        <v>666.2879999999999</v>
      </c>
      <c r="AO24" s="873">
        <v>1654</v>
      </c>
      <c r="AP24" s="873">
        <v>75</v>
      </c>
      <c r="AQ24" s="880">
        <f>AN24*AO24*0.002723</f>
        <v>3000.8558784959996</v>
      </c>
      <c r="AR24" s="880">
        <f>AN24*AP24*0.002723</f>
        <v>136.07266679999998</v>
      </c>
      <c r="AS24" s="612">
        <v>5.4</v>
      </c>
      <c r="AT24" s="1211">
        <f t="shared" ref="AT24:AT25" si="12">AS24*1.983*30</f>
        <v>321.24600000000004</v>
      </c>
      <c r="AU24" s="1211">
        <v>2249</v>
      </c>
      <c r="AV24" s="1211">
        <v>86</v>
      </c>
      <c r="AW24" s="880">
        <f>AT24*AU24*0.002723</f>
        <v>1967.3191776420003</v>
      </c>
      <c r="AX24" s="880">
        <f>AT24*AV24*0.002723</f>
        <v>75.228745788000012</v>
      </c>
      <c r="AZ24" s="896" t="s">
        <v>1178</v>
      </c>
      <c r="BA24" s="884"/>
      <c r="BB24" s="884">
        <f>BB22+BB23</f>
        <v>16353.801000000001</v>
      </c>
      <c r="BC24" s="884"/>
      <c r="BD24" s="884"/>
      <c r="BE24" s="884">
        <f>BE22+BE23</f>
        <v>16333.142377671003</v>
      </c>
      <c r="BF24" s="884">
        <f>BF22+BF23</f>
        <v>2638.3356153630002</v>
      </c>
      <c r="BG24" s="884">
        <f>BG22+BG23</f>
        <v>18.599999999999998</v>
      </c>
      <c r="BH24" s="884">
        <f t="shared" si="8"/>
        <v>1106.5140000000001</v>
      </c>
      <c r="BI24" s="884"/>
      <c r="BJ24" s="1211"/>
      <c r="BK24" s="884">
        <f>BK22+BK23</f>
        <v>379.96672291200002</v>
      </c>
      <c r="BL24" s="884">
        <f>BL22+BL23</f>
        <v>9.4278919139999999</v>
      </c>
      <c r="BM24" s="559" t="s">
        <v>1256</v>
      </c>
      <c r="BN24" s="560" t="s">
        <v>1257</v>
      </c>
      <c r="BO24" s="193">
        <v>42241</v>
      </c>
      <c r="BP24" s="193">
        <v>42241</v>
      </c>
      <c r="BQ24" s="562" t="s">
        <v>223</v>
      </c>
      <c r="BR24" s="562"/>
      <c r="BS24" s="562"/>
      <c r="BT24" s="562">
        <v>11</v>
      </c>
    </row>
    <row r="25" spans="1:79">
      <c r="B25" s="195"/>
      <c r="C25" s="193"/>
      <c r="D25" s="193"/>
      <c r="E25" s="193"/>
      <c r="F25" s="193"/>
      <c r="G25" s="193"/>
      <c r="H25" s="193"/>
      <c r="I25" s="193"/>
      <c r="J25" s="1599" t="s">
        <v>1792</v>
      </c>
      <c r="K25" s="1599"/>
      <c r="L25" s="1599"/>
      <c r="M25" s="1599"/>
      <c r="N25" s="1599"/>
      <c r="O25" s="1599"/>
      <c r="P25" s="1599"/>
      <c r="Q25" s="1599"/>
      <c r="R25" s="1599"/>
      <c r="S25" s="1599"/>
      <c r="T25" s="1599"/>
      <c r="U25" s="1599"/>
      <c r="V25" s="17"/>
      <c r="W25" s="79"/>
      <c r="X25" s="80"/>
      <c r="AK25" s="546" t="s">
        <v>1200</v>
      </c>
      <c r="AL25" s="895">
        <v>0.57799999999999996</v>
      </c>
      <c r="AM25" s="640">
        <v>14.4</v>
      </c>
      <c r="AN25" s="873">
        <f>AM25*1.983*30</f>
        <v>856.65600000000006</v>
      </c>
      <c r="AO25" s="873">
        <v>1163</v>
      </c>
      <c r="AP25" s="873">
        <v>194</v>
      </c>
      <c r="AQ25" s="880">
        <f>AN25*AO25*0.002723</f>
        <v>2712.9001969440005</v>
      </c>
      <c r="AR25" s="880">
        <f>AN25*AP25*0.002723</f>
        <v>452.53881187200011</v>
      </c>
      <c r="AS25" s="612">
        <v>7.6</v>
      </c>
      <c r="AT25" s="1211">
        <f t="shared" si="12"/>
        <v>452.12400000000002</v>
      </c>
      <c r="AU25" s="1211">
        <v>1777</v>
      </c>
      <c r="AV25" s="1211">
        <v>82</v>
      </c>
      <c r="AW25" s="880">
        <f>AT25*AU25*0.002723</f>
        <v>2187.7244996039999</v>
      </c>
      <c r="AX25" s="880">
        <f>AT25*AV25*0.002723</f>
        <v>100.95295946400002</v>
      </c>
      <c r="AZ25" s="897" t="s">
        <v>1174</v>
      </c>
      <c r="BA25" s="884">
        <v>39</v>
      </c>
      <c r="BB25" s="884">
        <f>BA25*1.983*30</f>
        <v>2320.11</v>
      </c>
      <c r="BC25" s="884">
        <v>736</v>
      </c>
      <c r="BD25" s="884">
        <v>69</v>
      </c>
      <c r="BE25" s="885">
        <f>BB25*BC25*0.002723</f>
        <v>4649.7974140800006</v>
      </c>
      <c r="BF25" s="885">
        <f>BB25*BD25*0.002723</f>
        <v>435.91850757000003</v>
      </c>
      <c r="BG25" s="1215">
        <v>0.1</v>
      </c>
      <c r="BH25" s="884">
        <f t="shared" si="8"/>
        <v>5.9490000000000007</v>
      </c>
      <c r="BI25" s="885">
        <v>288</v>
      </c>
      <c r="BJ25" s="1211">
        <v>31</v>
      </c>
      <c r="BK25" s="885">
        <f>BH25*BI25*0.002723</f>
        <v>4.6653485760000004</v>
      </c>
      <c r="BL25" s="885">
        <f>BH25*BJ25*0.002723</f>
        <v>0.5021729370000001</v>
      </c>
      <c r="BM25" s="559" t="s">
        <v>1256</v>
      </c>
      <c r="BN25" s="560" t="s">
        <v>1257</v>
      </c>
      <c r="BO25" s="193">
        <v>42241</v>
      </c>
      <c r="BP25" s="193">
        <v>42241</v>
      </c>
      <c r="BQ25" s="562" t="s">
        <v>171</v>
      </c>
      <c r="BR25" s="562"/>
      <c r="BS25" s="563"/>
      <c r="BT25" s="562">
        <v>16</v>
      </c>
    </row>
    <row r="26" spans="1:79" ht="18" customHeight="1">
      <c r="A26" s="710"/>
      <c r="B26" s="1569" t="s">
        <v>236</v>
      </c>
      <c r="C26" s="1571" t="s">
        <v>237</v>
      </c>
      <c r="D26" s="1596" t="s">
        <v>426</v>
      </c>
      <c r="E26" s="1597"/>
      <c r="F26" s="1597"/>
      <c r="G26" s="1597"/>
      <c r="H26" s="1597"/>
      <c r="I26" s="1598"/>
      <c r="J26" s="1564" t="s">
        <v>72</v>
      </c>
      <c r="K26" s="1564"/>
      <c r="L26" s="1564" t="s">
        <v>309</v>
      </c>
      <c r="M26" s="1564"/>
      <c r="N26" s="1564" t="s">
        <v>304</v>
      </c>
      <c r="O26" s="1564"/>
      <c r="P26" s="1564" t="s">
        <v>75</v>
      </c>
      <c r="Q26" s="1564"/>
      <c r="R26" s="1564" t="s">
        <v>76</v>
      </c>
      <c r="S26" s="1564"/>
      <c r="T26" s="1565" t="s">
        <v>77</v>
      </c>
      <c r="U26" s="1565"/>
      <c r="V26" s="17"/>
      <c r="W26" s="17"/>
      <c r="X26" s="77"/>
      <c r="Y26" s="79"/>
      <c r="Z26" s="197"/>
      <c r="AU26" s="710" t="s">
        <v>1776</v>
      </c>
      <c r="AZ26" s="896" t="s">
        <v>1179</v>
      </c>
      <c r="BA26" s="884"/>
      <c r="BB26" s="886">
        <f>BB24+BB25</f>
        <v>18673.911</v>
      </c>
      <c r="BC26" s="884"/>
      <c r="BD26" s="884"/>
      <c r="BE26" s="886">
        <f>BE24+BE25</f>
        <v>20982.939791751003</v>
      </c>
      <c r="BF26" s="886">
        <f>BF24+BF25</f>
        <v>3074.2541229330004</v>
      </c>
      <c r="BG26" s="886">
        <f>BG24+BG25</f>
        <v>18.7</v>
      </c>
      <c r="BH26" s="884">
        <f t="shared" si="8"/>
        <v>1112.463</v>
      </c>
      <c r="BI26" s="886"/>
      <c r="BJ26" s="1211"/>
      <c r="BK26" s="886">
        <f>BK24+BK25</f>
        <v>384.63207148800001</v>
      </c>
      <c r="BL26" s="886">
        <f>BL24+BL25</f>
        <v>9.9300648510000009</v>
      </c>
      <c r="BM26" s="562" t="s">
        <v>1258</v>
      </c>
      <c r="BN26" s="560" t="s">
        <v>1259</v>
      </c>
      <c r="BO26" s="193">
        <v>42241</v>
      </c>
      <c r="BP26" s="193">
        <v>42241</v>
      </c>
      <c r="BQ26" s="561" t="s">
        <v>195</v>
      </c>
      <c r="BR26" s="562"/>
      <c r="BS26" s="563"/>
      <c r="BT26" s="562">
        <v>1517</v>
      </c>
    </row>
    <row r="27" spans="1:79">
      <c r="A27" s="710"/>
      <c r="B27" s="1570"/>
      <c r="C27" s="1572"/>
      <c r="D27" s="1278" t="s">
        <v>72</v>
      </c>
      <c r="E27" s="1278" t="s">
        <v>73</v>
      </c>
      <c r="F27" s="1278" t="s">
        <v>74</v>
      </c>
      <c r="G27" s="1278" t="s">
        <v>75</v>
      </c>
      <c r="H27" s="1278" t="s">
        <v>76</v>
      </c>
      <c r="I27" s="1278" t="s">
        <v>77</v>
      </c>
      <c r="J27" s="1283" t="s">
        <v>29</v>
      </c>
      <c r="K27" s="1283" t="s">
        <v>28</v>
      </c>
      <c r="L27" s="1283" t="s">
        <v>29</v>
      </c>
      <c r="M27" s="1283" t="s">
        <v>28</v>
      </c>
      <c r="N27" s="1283" t="s">
        <v>29</v>
      </c>
      <c r="O27" s="1283" t="s">
        <v>28</v>
      </c>
      <c r="P27" s="1283" t="s">
        <v>29</v>
      </c>
      <c r="Q27" s="1283" t="s">
        <v>28</v>
      </c>
      <c r="R27" s="1283" t="s">
        <v>29</v>
      </c>
      <c r="S27" s="1283" t="s">
        <v>28</v>
      </c>
      <c r="T27" s="1283" t="s">
        <v>29</v>
      </c>
      <c r="U27" s="1283" t="s">
        <v>28</v>
      </c>
      <c r="V27" s="17"/>
      <c r="W27" s="79"/>
      <c r="X27" s="77"/>
      <c r="Y27" s="17"/>
      <c r="Z27" s="197"/>
      <c r="AU27" s="1222">
        <f>AT21/AT25</f>
        <v>9.8684210526315777E-2</v>
      </c>
      <c r="AV27" s="710" t="s">
        <v>1773</v>
      </c>
      <c r="AW27" s="1222">
        <f>AW21/AW25</f>
        <v>0.23357669638361522</v>
      </c>
      <c r="AX27" s="710" t="s">
        <v>1773</v>
      </c>
      <c r="AZ27" s="897" t="s">
        <v>1177</v>
      </c>
      <c r="BA27" s="884">
        <v>316</v>
      </c>
      <c r="BB27" s="884">
        <f>BA27*1.983*30</f>
        <v>18798.84</v>
      </c>
      <c r="BC27" s="884">
        <v>354</v>
      </c>
      <c r="BD27" s="884">
        <v>67</v>
      </c>
      <c r="BE27" s="885">
        <f>BB27*BC27*0.002723</f>
        <v>18120.991427280002</v>
      </c>
      <c r="BF27" s="885">
        <f>BB27*BD27*0.002723</f>
        <v>3429.6791684400005</v>
      </c>
      <c r="BG27" s="885">
        <v>26</v>
      </c>
      <c r="BH27" s="884">
        <f t="shared" si="8"/>
        <v>1546.74</v>
      </c>
      <c r="BI27" s="885">
        <v>172</v>
      </c>
      <c r="BJ27" s="1211">
        <v>20</v>
      </c>
      <c r="BK27" s="885">
        <f>BH27*BI27*0.002723</f>
        <v>724.42495944000007</v>
      </c>
      <c r="BL27" s="885">
        <f>BH27*BJ27*0.002723</f>
        <v>84.235460400000008</v>
      </c>
      <c r="BM27" s="562" t="s">
        <v>1258</v>
      </c>
      <c r="BN27" s="560" t="s">
        <v>1259</v>
      </c>
      <c r="BO27" s="193">
        <v>42241</v>
      </c>
      <c r="BP27" s="193">
        <v>42241</v>
      </c>
      <c r="BQ27" s="562" t="s">
        <v>177</v>
      </c>
      <c r="BR27" s="562"/>
      <c r="BS27" s="562"/>
      <c r="BT27" s="562">
        <v>1246</v>
      </c>
    </row>
    <row r="28" spans="1:79">
      <c r="A28" s="1566" t="s">
        <v>1826</v>
      </c>
      <c r="B28" s="729" t="s">
        <v>346</v>
      </c>
      <c r="C28" s="726" t="s">
        <v>1794</v>
      </c>
      <c r="D28" s="1239">
        <v>110</v>
      </c>
      <c r="E28" s="1239">
        <v>212</v>
      </c>
      <c r="F28" s="1240">
        <v>51</v>
      </c>
      <c r="G28" s="1240">
        <v>32</v>
      </c>
      <c r="H28" s="1240">
        <v>15.1</v>
      </c>
      <c r="I28" s="1241">
        <v>17.8</v>
      </c>
      <c r="J28" s="1284">
        <f>D28*H3*0.002723</f>
        <v>78.177329999999998</v>
      </c>
      <c r="K28" s="1284">
        <f t="shared" ref="K28:L30" si="13">D28*K3*0.002723</f>
        <v>19.169920000000001</v>
      </c>
      <c r="L28" s="1284">
        <f t="shared" si="13"/>
        <v>207.81936000000002</v>
      </c>
      <c r="M28" s="1284">
        <f t="shared" ref="M28:N30" si="14">E28*O3*0.002723</f>
        <v>24.245592000000002</v>
      </c>
      <c r="N28" s="1284">
        <f t="shared" si="14"/>
        <v>33.885012000000003</v>
      </c>
      <c r="O28" s="1284">
        <f t="shared" ref="O28:P30" si="15">F28*S3*0.002723</f>
        <v>2.6385870000000002</v>
      </c>
      <c r="P28" s="1284">
        <f t="shared" si="15"/>
        <v>18.385695999999999</v>
      </c>
      <c r="Q28" s="1284">
        <f t="shared" ref="Q28:R30" si="16">G28*W3*0.002723</f>
        <v>0.60995200000000005</v>
      </c>
      <c r="R28" s="1284">
        <f t="shared" si="16"/>
        <v>5.9620085000000005</v>
      </c>
      <c r="S28" s="1284">
        <f t="shared" ref="S28:T30" si="17">H28*AA3*0.002723</f>
        <v>8.2234600000000005E-2</v>
      </c>
      <c r="T28" s="1284">
        <f t="shared" si="17"/>
        <v>8.8214307999999999</v>
      </c>
      <c r="U28" s="1284">
        <f>I28*AE3*0.002723</f>
        <v>9.6938800000000006E-2</v>
      </c>
      <c r="V28" s="17"/>
      <c r="W28" s="17"/>
      <c r="X28" s="77"/>
      <c r="Y28" s="79"/>
      <c r="Z28" s="197"/>
      <c r="AU28" s="1222">
        <f>AN21/AN25</f>
        <v>5.457638888888889E-2</v>
      </c>
      <c r="AV28" s="710" t="s">
        <v>1774</v>
      </c>
      <c r="AW28" s="1222">
        <f>AQ21/AQ25</f>
        <v>0.23463623769943634</v>
      </c>
      <c r="AX28" s="710" t="s">
        <v>1774</v>
      </c>
      <c r="BM28" s="562" t="s">
        <v>1258</v>
      </c>
      <c r="BN28" s="560" t="s">
        <v>1259</v>
      </c>
      <c r="BO28" s="193">
        <v>42241</v>
      </c>
      <c r="BP28" s="193">
        <v>42241</v>
      </c>
      <c r="BQ28" s="562" t="s">
        <v>223</v>
      </c>
      <c r="BR28" s="562"/>
      <c r="BS28" s="562"/>
      <c r="BT28" s="562">
        <v>16</v>
      </c>
    </row>
    <row r="29" spans="1:79">
      <c r="A29" s="1567"/>
      <c r="B29" s="730" t="s">
        <v>345</v>
      </c>
      <c r="C29" s="726" t="s">
        <v>1796</v>
      </c>
      <c r="D29" s="1242">
        <v>293</v>
      </c>
      <c r="E29" s="1239">
        <v>380</v>
      </c>
      <c r="F29" s="1240">
        <v>140</v>
      </c>
      <c r="G29" s="1240">
        <v>34.200000000000003</v>
      </c>
      <c r="H29" s="1240">
        <v>23</v>
      </c>
      <c r="I29" s="1240">
        <v>17.899999999999999</v>
      </c>
      <c r="J29" s="1284">
        <f>D29*H4*0.002723</f>
        <v>201.85326700000002</v>
      </c>
      <c r="K29" s="1284">
        <f t="shared" si="13"/>
        <v>31.115721000000001</v>
      </c>
      <c r="L29" s="1284">
        <f t="shared" si="13"/>
        <v>361.12426000000005</v>
      </c>
      <c r="M29" s="1284">
        <f t="shared" si="14"/>
        <v>60.014920000000004</v>
      </c>
      <c r="N29" s="1284">
        <f t="shared" si="14"/>
        <v>89.586700000000008</v>
      </c>
      <c r="O29" s="1284">
        <f t="shared" si="15"/>
        <v>12.580260000000001</v>
      </c>
      <c r="P29" s="1284">
        <f t="shared" si="15"/>
        <v>15.365889000000003</v>
      </c>
      <c r="Q29" s="1284">
        <f t="shared" si="16"/>
        <v>1.3037724000000002</v>
      </c>
      <c r="R29" s="1284">
        <f t="shared" si="16"/>
        <v>7.8286250000000006</v>
      </c>
      <c r="S29" s="1284">
        <f t="shared" si="17"/>
        <v>0.68891900000000006</v>
      </c>
      <c r="T29" s="1284">
        <f t="shared" si="17"/>
        <v>6.0439708000000003</v>
      </c>
      <c r="U29" s="1284">
        <f>I29*AE4*0.002723</f>
        <v>9.7483399999999998E-2</v>
      </c>
      <c r="V29" s="17"/>
      <c r="W29" s="17"/>
      <c r="X29" s="77"/>
      <c r="Z29" s="197"/>
      <c r="AU29" s="1222">
        <f>AR21/AR25</f>
        <v>0.10538322625350649</v>
      </c>
      <c r="AV29" s="710" t="s">
        <v>1775</v>
      </c>
      <c r="BM29" s="562" t="s">
        <v>1258</v>
      </c>
      <c r="BN29" s="560" t="s">
        <v>1259</v>
      </c>
      <c r="BO29" s="193">
        <v>42241</v>
      </c>
      <c r="BP29" s="193">
        <v>42241</v>
      </c>
      <c r="BQ29" s="562" t="s">
        <v>171</v>
      </c>
      <c r="BR29" s="562"/>
      <c r="BS29" s="563"/>
      <c r="BT29" s="562">
        <v>18</v>
      </c>
    </row>
    <row r="30" spans="1:79">
      <c r="A30" s="1568"/>
      <c r="B30" s="730" t="s">
        <v>239</v>
      </c>
      <c r="C30" s="727" t="s">
        <v>1795</v>
      </c>
      <c r="D30" s="1239">
        <v>322</v>
      </c>
      <c r="E30" s="1239">
        <v>435</v>
      </c>
      <c r="F30" s="1240">
        <v>196</v>
      </c>
      <c r="G30" s="1240">
        <v>50</v>
      </c>
      <c r="H30" s="1240">
        <v>24</v>
      </c>
      <c r="I30" s="1240">
        <v>26</v>
      </c>
      <c r="J30" s="1284">
        <f>D30*H5*0.002723</f>
        <v>272.686666</v>
      </c>
      <c r="K30" s="1284">
        <f t="shared" si="13"/>
        <v>50.854748000000001</v>
      </c>
      <c r="L30" s="1284">
        <f t="shared" si="13"/>
        <v>419.31477000000001</v>
      </c>
      <c r="M30" s="1284">
        <f t="shared" si="14"/>
        <v>79.361834999999999</v>
      </c>
      <c r="N30" s="1284">
        <f t="shared" si="14"/>
        <v>128.08992000000001</v>
      </c>
      <c r="O30" s="1284">
        <f t="shared" si="15"/>
        <v>22.415736000000003</v>
      </c>
      <c r="P30" s="1284">
        <f t="shared" si="15"/>
        <v>23.145500000000002</v>
      </c>
      <c r="Q30" s="1284">
        <f t="shared" si="16"/>
        <v>2.7230000000000003</v>
      </c>
      <c r="R30" s="1284">
        <f t="shared" si="16"/>
        <v>9.2799840000000007</v>
      </c>
      <c r="S30" s="1284">
        <f t="shared" si="17"/>
        <v>0.71887200000000007</v>
      </c>
      <c r="T30" s="1284">
        <f t="shared" si="17"/>
        <v>12.177256</v>
      </c>
      <c r="U30" s="1284">
        <f>I30*AE5*0.002723</f>
        <v>1.4159600000000001</v>
      </c>
      <c r="V30" s="17"/>
      <c r="W30" s="79"/>
      <c r="X30" s="77"/>
      <c r="Y30" s="79"/>
      <c r="Z30" s="77"/>
      <c r="AU30" s="1222">
        <f>AX21/AX25</f>
        <v>0.14561938382541717</v>
      </c>
      <c r="AV30" s="51" t="s">
        <v>1773</v>
      </c>
      <c r="BI30" s="1222"/>
      <c r="BY30" s="1040" t="s">
        <v>1333</v>
      </c>
      <c r="BZ30" s="710" t="s">
        <v>28</v>
      </c>
      <c r="CA30" s="710" t="s">
        <v>29</v>
      </c>
    </row>
    <row r="31" spans="1:79">
      <c r="A31" s="1573" t="s">
        <v>1827</v>
      </c>
      <c r="B31" s="730" t="s">
        <v>233</v>
      </c>
      <c r="C31" s="727" t="s">
        <v>631</v>
      </c>
      <c r="D31" s="1239">
        <v>119</v>
      </c>
      <c r="E31" s="1239">
        <v>87.8</v>
      </c>
      <c r="F31" s="1239">
        <v>27.3</v>
      </c>
      <c r="G31" s="1240">
        <v>4.0999999999999996</v>
      </c>
      <c r="H31" s="1240">
        <v>1.7</v>
      </c>
      <c r="I31" s="1240">
        <v>4.0999999999999996</v>
      </c>
      <c r="J31" s="1284">
        <f t="shared" ref="J31:J48" si="18">D31*H6*0.002723</f>
        <v>85.221731000000005</v>
      </c>
      <c r="K31" s="1284">
        <f t="shared" ref="K31:K48" si="19">D31*K6*0.002723</f>
        <v>18.794146000000001</v>
      </c>
      <c r="L31" s="1284">
        <f t="shared" ref="L31:L48" si="20">E31*L6*0.002723</f>
        <v>87.024901600000007</v>
      </c>
      <c r="M31" s="1284">
        <f t="shared" ref="M31:M48" si="21">E31*O6*0.002723</f>
        <v>14.344764000000001</v>
      </c>
      <c r="N31" s="1284">
        <f t="shared" ref="N31:N48" si="22">F31*P6*0.002723</f>
        <v>11.4480366</v>
      </c>
      <c r="O31" s="1284">
        <f t="shared" ref="O31:O48" si="23">F31*S6*0.002723</f>
        <v>1.7841096000000003</v>
      </c>
      <c r="P31" s="1284">
        <f t="shared" ref="P31:P48" si="24">G31*T6*0.002723</f>
        <v>3.0031966999999997</v>
      </c>
      <c r="Q31" s="1284">
        <f t="shared" ref="Q31:Q48" si="25">G31*W6*0.002723</f>
        <v>0.11164300000000001</v>
      </c>
      <c r="R31" s="1284">
        <f t="shared" ref="R31:R48" si="26">H31*X6*0.002723</f>
        <v>0.48142639999999998</v>
      </c>
      <c r="S31" s="1291">
        <f t="shared" ref="S31:S48" si="27">H31*AA6*0.002723</f>
        <v>1.38873E-2</v>
      </c>
      <c r="T31" s="1284">
        <f t="shared" ref="T31:T48" si="28">I31*AB6*0.002723</f>
        <v>1.0941014</v>
      </c>
      <c r="U31" s="1291">
        <f t="shared" ref="U31:U48" si="29">I31*AE6*0.002723</f>
        <v>2.2328600000000001E-2</v>
      </c>
      <c r="V31" s="17"/>
      <c r="W31" s="17"/>
      <c r="X31" s="77"/>
      <c r="Y31" s="79"/>
      <c r="Z31" s="77"/>
      <c r="BI31" s="1222"/>
      <c r="BX31" s="50" t="s">
        <v>1267</v>
      </c>
      <c r="BY31" s="1041">
        <v>75</v>
      </c>
      <c r="BZ31" s="1043">
        <f>BY31*BP37*0.002723</f>
        <v>2.654925</v>
      </c>
      <c r="CA31" s="1043">
        <f>BY31*BO37*0.002723</f>
        <v>471.35130000000004</v>
      </c>
    </row>
    <row r="32" spans="1:79" ht="20.399999999999999" customHeight="1">
      <c r="A32" s="1574"/>
      <c r="B32" s="730" t="s">
        <v>1159</v>
      </c>
      <c r="C32" s="727" t="s">
        <v>1160</v>
      </c>
      <c r="D32" s="1285">
        <v>14.9</v>
      </c>
      <c r="E32" s="1286"/>
      <c r="F32" s="1286"/>
      <c r="G32" s="1286"/>
      <c r="H32" s="1286"/>
      <c r="I32" s="1285">
        <v>0.7</v>
      </c>
      <c r="J32" s="1284">
        <f t="shared" si="18"/>
        <v>27.467717900000004</v>
      </c>
      <c r="K32" s="1284">
        <f t="shared" si="19"/>
        <v>3.2863887000000003</v>
      </c>
      <c r="L32" s="1284"/>
      <c r="M32" s="1284"/>
      <c r="N32" s="1284"/>
      <c r="O32" s="1284"/>
      <c r="P32" s="1284"/>
      <c r="Q32" s="1284"/>
      <c r="R32" s="1284"/>
      <c r="S32" s="1284"/>
      <c r="T32" s="1284">
        <f t="shared" si="28"/>
        <v>0.34309799999999996</v>
      </c>
      <c r="U32" s="1284">
        <f t="shared" si="29"/>
        <v>6.0995199999999999E-2</v>
      </c>
      <c r="V32" s="17"/>
      <c r="W32" s="79"/>
      <c r="X32" s="77"/>
      <c r="Y32" s="17"/>
      <c r="Z32" s="77"/>
      <c r="AU32" s="710" t="s">
        <v>1777</v>
      </c>
      <c r="AV32" s="1222">
        <f>AX18/AX25</f>
        <v>2.4390243902439025E-2</v>
      </c>
      <c r="AW32" s="710" t="s">
        <v>1773</v>
      </c>
      <c r="BX32" s="50" t="s">
        <v>1265</v>
      </c>
      <c r="BY32" s="1041">
        <v>4.5999999999999996</v>
      </c>
      <c r="BZ32" s="1043">
        <f>BY32*BP38*0.002723</f>
        <v>5.6366100000000001</v>
      </c>
      <c r="CA32" s="1043">
        <f>BY32*BO38*0.002723</f>
        <v>472.22266000000002</v>
      </c>
    </row>
    <row r="33" spans="1:84">
      <c r="A33" s="1575"/>
      <c r="B33" s="874" t="s">
        <v>1161</v>
      </c>
      <c r="C33" s="1060" t="s">
        <v>1162</v>
      </c>
      <c r="D33" s="1285">
        <v>39</v>
      </c>
      <c r="E33" s="1286"/>
      <c r="F33" s="1286"/>
      <c r="G33" s="1286"/>
      <c r="H33" s="1286"/>
      <c r="I33" s="1285">
        <v>0.1</v>
      </c>
      <c r="J33" s="1284">
        <f t="shared" si="18"/>
        <v>78.160992000000007</v>
      </c>
      <c r="K33" s="1284">
        <f t="shared" si="19"/>
        <v>7.3275930000000002</v>
      </c>
      <c r="L33" s="1284"/>
      <c r="M33" s="1284"/>
      <c r="N33" s="1284"/>
      <c r="O33" s="1284"/>
      <c r="P33" s="1284"/>
      <c r="Q33" s="1284"/>
      <c r="R33" s="1284"/>
      <c r="S33" s="1284"/>
      <c r="T33" s="1284">
        <f t="shared" si="28"/>
        <v>7.8422400000000003E-2</v>
      </c>
      <c r="U33" s="1291">
        <f t="shared" si="29"/>
        <v>8.4413000000000005E-3</v>
      </c>
      <c r="V33" s="17"/>
      <c r="W33" s="17"/>
      <c r="X33" s="77"/>
      <c r="Y33" s="79"/>
      <c r="Z33" s="77"/>
      <c r="AV33" s="1222">
        <f>AR18/AR25</f>
        <v>8.0756013745704458E-2</v>
      </c>
      <c r="AW33" s="710" t="s">
        <v>1775</v>
      </c>
      <c r="BI33" s="1222"/>
      <c r="BX33" s="581" t="s">
        <v>1260</v>
      </c>
      <c r="BY33" s="1041">
        <v>5</v>
      </c>
      <c r="BZ33" s="1043">
        <f>BY33*BP39*0.002723</f>
        <v>0.42206500000000002</v>
      </c>
      <c r="CA33" s="1043">
        <f>BY33*BO39*0.002723</f>
        <v>8.5502200000000013</v>
      </c>
    </row>
    <row r="34" spans="1:84" ht="21" customHeight="1">
      <c r="A34" s="1566" t="s">
        <v>1828</v>
      </c>
      <c r="B34" s="730" t="s">
        <v>178</v>
      </c>
      <c r="C34" s="727" t="s">
        <v>1641</v>
      </c>
      <c r="D34" s="1240">
        <v>491</v>
      </c>
      <c r="E34" s="1240">
        <v>400</v>
      </c>
      <c r="F34" s="1240">
        <v>170</v>
      </c>
      <c r="G34" s="1240">
        <v>75</v>
      </c>
      <c r="H34" s="1240">
        <v>25</v>
      </c>
      <c r="I34" s="1240">
        <v>23</v>
      </c>
      <c r="J34" s="1284">
        <f t="shared" si="18"/>
        <v>590.95090600000003</v>
      </c>
      <c r="K34" s="1284">
        <f t="shared" si="19"/>
        <v>77.545594000000008</v>
      </c>
      <c r="L34" s="1284">
        <f t="shared" si="20"/>
        <v>398.6472</v>
      </c>
      <c r="M34" s="1284">
        <f t="shared" si="21"/>
        <v>64.262799999999999</v>
      </c>
      <c r="N34" s="1284">
        <f t="shared" si="22"/>
        <v>73.139780000000002</v>
      </c>
      <c r="O34" s="1284">
        <f t="shared" si="23"/>
        <v>12.498570000000001</v>
      </c>
      <c r="P34" s="1284">
        <f t="shared" si="24"/>
        <v>55.140750000000004</v>
      </c>
      <c r="Q34" s="1284">
        <f t="shared" si="25"/>
        <v>6.1267500000000004</v>
      </c>
      <c r="R34" s="1284">
        <f t="shared" si="26"/>
        <v>12.185425</v>
      </c>
      <c r="S34" s="1284">
        <f t="shared" si="27"/>
        <v>0.74882500000000007</v>
      </c>
      <c r="T34" s="1284">
        <f t="shared" si="28"/>
        <v>13.77838</v>
      </c>
      <c r="U34" s="1284">
        <f t="shared" si="29"/>
        <v>0.62629000000000001</v>
      </c>
      <c r="V34" s="17"/>
      <c r="W34" s="17"/>
      <c r="X34" s="77"/>
      <c r="Z34" s="77"/>
      <c r="BI34" s="1222"/>
      <c r="BX34" s="510" t="s">
        <v>1334</v>
      </c>
      <c r="BY34" s="1042"/>
      <c r="BZ34" s="656">
        <f>SUM(BZ31:BZ33)</f>
        <v>8.7135999999999996</v>
      </c>
      <c r="CA34" s="656">
        <f>SUM(CA31:CA33)</f>
        <v>952.12418000000002</v>
      </c>
    </row>
    <row r="35" spans="1:84">
      <c r="A35" s="1567"/>
      <c r="B35" s="730" t="s">
        <v>226</v>
      </c>
      <c r="C35" s="727" t="s">
        <v>1797</v>
      </c>
      <c r="D35" s="1240">
        <v>500</v>
      </c>
      <c r="E35" s="1240">
        <v>420</v>
      </c>
      <c r="F35" s="1240">
        <v>170</v>
      </c>
      <c r="G35" s="1240">
        <v>70</v>
      </c>
      <c r="H35" s="1240">
        <v>22</v>
      </c>
      <c r="I35" s="1240">
        <v>24</v>
      </c>
      <c r="J35" s="1284">
        <f t="shared" si="18"/>
        <v>846.85300000000007</v>
      </c>
      <c r="K35" s="1284">
        <f t="shared" si="19"/>
        <v>91.220500000000001</v>
      </c>
      <c r="L35" s="1284">
        <f t="shared" si="20"/>
        <v>450.60204000000004</v>
      </c>
      <c r="M35" s="1284">
        <f t="shared" si="21"/>
        <v>77.76888000000001</v>
      </c>
      <c r="N35" s="1284">
        <f t="shared" si="22"/>
        <v>119.43078000000001</v>
      </c>
      <c r="O35" s="1284">
        <f t="shared" si="23"/>
        <v>16.664760000000001</v>
      </c>
      <c r="P35" s="1284">
        <f t="shared" si="24"/>
        <v>55.658120000000004</v>
      </c>
      <c r="Q35" s="1284">
        <f t="shared" si="25"/>
        <v>5.9089100000000006</v>
      </c>
      <c r="R35" s="1284">
        <f t="shared" si="26"/>
        <v>18.57086</v>
      </c>
      <c r="S35" s="1284">
        <f t="shared" si="27"/>
        <v>0.8386840000000001</v>
      </c>
      <c r="T35" s="1284">
        <f t="shared" si="28"/>
        <v>22.285032000000001</v>
      </c>
      <c r="U35" s="1284">
        <f t="shared" si="29"/>
        <v>1.7645040000000001</v>
      </c>
      <c r="V35" s="17"/>
      <c r="W35" s="79"/>
      <c r="X35" s="77"/>
      <c r="Z35" s="77"/>
      <c r="AU35" s="710" t="s">
        <v>1778</v>
      </c>
      <c r="AV35" s="1222">
        <f>AR24/AR25</f>
        <v>0.30068728522336757</v>
      </c>
      <c r="AW35" s="710" t="s">
        <v>1775</v>
      </c>
      <c r="AX35" s="710" t="s">
        <v>1779</v>
      </c>
      <c r="BO35" s="1501" t="s">
        <v>1202</v>
      </c>
      <c r="BP35" s="1578"/>
      <c r="BQ35" s="1578"/>
      <c r="BR35" s="1502"/>
      <c r="BX35" s="581" t="s">
        <v>1262</v>
      </c>
      <c r="BY35" s="1041">
        <v>128</v>
      </c>
      <c r="BZ35" s="1043">
        <f>BY35*BP40*0.002723</f>
        <v>8.7136000000000013</v>
      </c>
      <c r="CA35" s="1043">
        <f>BY35*BO40*0.002723</f>
        <v>859.85804800000005</v>
      </c>
    </row>
    <row r="36" spans="1:84">
      <c r="A36" s="1567"/>
      <c r="B36" s="730" t="s">
        <v>227</v>
      </c>
      <c r="C36" s="727" t="s">
        <v>886</v>
      </c>
      <c r="D36" s="1240">
        <v>525</v>
      </c>
      <c r="E36" s="1240">
        <v>435</v>
      </c>
      <c r="F36" s="1240">
        <v>172</v>
      </c>
      <c r="G36" s="1240">
        <v>82</v>
      </c>
      <c r="H36" s="1240">
        <v>21</v>
      </c>
      <c r="I36" s="1240">
        <v>24</v>
      </c>
      <c r="J36" s="1284">
        <f t="shared" si="18"/>
        <v>730.51282500000002</v>
      </c>
      <c r="K36" s="1284">
        <f t="shared" si="19"/>
        <v>88.633650000000003</v>
      </c>
      <c r="L36" s="1284">
        <f t="shared" si="20"/>
        <v>477.35551500000003</v>
      </c>
      <c r="M36" s="1284">
        <f t="shared" si="21"/>
        <v>72.254805000000005</v>
      </c>
      <c r="N36" s="1284">
        <f t="shared" si="22"/>
        <v>136.759952</v>
      </c>
      <c r="O36" s="1284">
        <f t="shared" si="23"/>
        <v>20.139308</v>
      </c>
      <c r="P36" s="1284">
        <f t="shared" si="24"/>
        <v>91.77054600000001</v>
      </c>
      <c r="Q36" s="1284">
        <f t="shared" si="25"/>
        <v>10.047870000000001</v>
      </c>
      <c r="R36" s="1284">
        <f t="shared" si="26"/>
        <v>20.471514000000003</v>
      </c>
      <c r="S36" s="1284">
        <f t="shared" si="27"/>
        <v>1.0292940000000002</v>
      </c>
      <c r="T36" s="1284">
        <f t="shared" si="28"/>
        <v>28.820232000000001</v>
      </c>
      <c r="U36" s="1284">
        <f t="shared" si="29"/>
        <v>1.30704</v>
      </c>
      <c r="V36" s="17"/>
      <c r="W36" s="17"/>
      <c r="X36" s="77"/>
      <c r="Y36" s="79"/>
      <c r="Z36" s="77"/>
      <c r="AV36" s="1222">
        <f>AX24/AX25</f>
        <v>0.745186136071887</v>
      </c>
      <c r="AW36" s="710" t="s">
        <v>1773</v>
      </c>
      <c r="AX36" s="710" t="s">
        <v>1779</v>
      </c>
      <c r="BM36" s="75">
        <v>42241</v>
      </c>
      <c r="BN36" s="959" t="s">
        <v>10</v>
      </c>
      <c r="BO36" s="725" t="s">
        <v>29</v>
      </c>
      <c r="BP36" s="725" t="s">
        <v>28</v>
      </c>
      <c r="BQ36" s="957" t="s">
        <v>908</v>
      </c>
      <c r="BR36" s="957" t="s">
        <v>624</v>
      </c>
      <c r="BX36" s="50" t="s">
        <v>1336</v>
      </c>
      <c r="BY36" s="1041">
        <v>130</v>
      </c>
      <c r="BZ36" s="1043">
        <f>BY36*BP41*0.002723</f>
        <v>8.4957600000000006</v>
      </c>
      <c r="CA36" s="1043">
        <f>BY36*BO41*0.002723</f>
        <v>829.75256000000002</v>
      </c>
    </row>
    <row r="37" spans="1:84">
      <c r="A37" s="1567"/>
      <c r="B37" s="730" t="s">
        <v>228</v>
      </c>
      <c r="C37" s="727" t="s">
        <v>1798</v>
      </c>
      <c r="D37" s="1240">
        <v>550</v>
      </c>
      <c r="E37" s="1240">
        <v>445</v>
      </c>
      <c r="F37" s="1240">
        <v>175</v>
      </c>
      <c r="G37" s="1240">
        <v>80</v>
      </c>
      <c r="H37" s="1240">
        <v>24</v>
      </c>
      <c r="I37" s="1240">
        <v>27</v>
      </c>
      <c r="J37" s="1284">
        <f t="shared" si="18"/>
        <v>834.19105000000002</v>
      </c>
      <c r="K37" s="1284">
        <f t="shared" si="19"/>
        <v>139.28145000000001</v>
      </c>
      <c r="L37" s="1284">
        <f t="shared" si="20"/>
        <v>460.45930000000004</v>
      </c>
      <c r="M37" s="1284">
        <f t="shared" si="21"/>
        <v>69.068894999999998</v>
      </c>
      <c r="N37" s="1284">
        <f t="shared" si="22"/>
        <v>178.22035</v>
      </c>
      <c r="O37" s="1284">
        <f t="shared" si="23"/>
        <v>22.873200000000001</v>
      </c>
      <c r="P37" s="1284">
        <f t="shared" si="24"/>
        <v>100.85992</v>
      </c>
      <c r="Q37" s="1284">
        <f t="shared" si="25"/>
        <v>9.5849600000000006</v>
      </c>
      <c r="R37" s="1284">
        <f t="shared" si="26"/>
        <v>35.747544000000005</v>
      </c>
      <c r="S37" s="1284">
        <f t="shared" si="27"/>
        <v>1.2416880000000001</v>
      </c>
      <c r="T37" s="1284">
        <f t="shared" si="28"/>
        <v>41.686407000000003</v>
      </c>
      <c r="U37" s="1284">
        <f t="shared" si="29"/>
        <v>2.8673190000000002</v>
      </c>
      <c r="V37" s="17"/>
      <c r="W37" s="17"/>
      <c r="X37" s="77"/>
      <c r="Y37" s="17"/>
      <c r="Z37" s="77"/>
      <c r="AV37" s="1222">
        <f>AW24/AW25</f>
        <v>0.89925362082753324</v>
      </c>
      <c r="AW37" s="710" t="s">
        <v>1773</v>
      </c>
      <c r="AX37" s="710" t="s">
        <v>1780</v>
      </c>
      <c r="BM37" s="50" t="s">
        <v>1267</v>
      </c>
      <c r="BN37" s="958">
        <v>89</v>
      </c>
      <c r="BO37" s="958">
        <v>2308</v>
      </c>
      <c r="BP37" s="958">
        <v>13</v>
      </c>
      <c r="BQ37" s="958">
        <v>2015</v>
      </c>
      <c r="BR37" s="958">
        <v>21</v>
      </c>
      <c r="BX37" s="581" t="s">
        <v>1337</v>
      </c>
      <c r="BY37" s="1041">
        <v>137</v>
      </c>
      <c r="BZ37" s="1043">
        <f>BY37*BP42*0.002723</f>
        <v>5.9688160000000003</v>
      </c>
      <c r="CA37" s="1043">
        <f>BY37*BO42*0.002723</f>
        <v>569.64887700000008</v>
      </c>
    </row>
    <row r="38" spans="1:84">
      <c r="A38" s="1567"/>
      <c r="B38" s="730" t="s">
        <v>229</v>
      </c>
      <c r="C38" s="727" t="s">
        <v>1799</v>
      </c>
      <c r="D38" s="1240">
        <v>560</v>
      </c>
      <c r="E38" s="1240">
        <v>450</v>
      </c>
      <c r="F38" s="1240">
        <v>180</v>
      </c>
      <c r="G38" s="1240">
        <v>80</v>
      </c>
      <c r="H38" s="1240">
        <v>23</v>
      </c>
      <c r="I38" s="1240">
        <v>30</v>
      </c>
      <c r="J38" s="1284">
        <f t="shared" si="18"/>
        <v>986.59736000000009</v>
      </c>
      <c r="K38" s="1284">
        <f t="shared" si="19"/>
        <v>106.74160000000001</v>
      </c>
      <c r="L38" s="1284">
        <f t="shared" si="20"/>
        <v>531.80190000000005</v>
      </c>
      <c r="M38" s="1284">
        <f t="shared" si="21"/>
        <v>258.54885000000002</v>
      </c>
      <c r="N38" s="1284">
        <f t="shared" si="22"/>
        <v>173.50956000000002</v>
      </c>
      <c r="O38" s="1284">
        <f t="shared" si="23"/>
        <v>24.507000000000001</v>
      </c>
      <c r="P38" s="1284">
        <f t="shared" si="24"/>
        <v>94.106880000000004</v>
      </c>
      <c r="Q38" s="1284">
        <f t="shared" si="25"/>
        <v>10.45632</v>
      </c>
      <c r="R38" s="1284">
        <f t="shared" si="26"/>
        <v>37.138997000000003</v>
      </c>
      <c r="S38" s="1284">
        <f t="shared" si="27"/>
        <v>1.1273220000000002</v>
      </c>
      <c r="T38" s="1284">
        <f t="shared" si="28"/>
        <v>44.766120000000001</v>
      </c>
      <c r="U38" s="1284">
        <f t="shared" si="29"/>
        <v>1.1436600000000001</v>
      </c>
      <c r="V38" s="17"/>
      <c r="W38" s="79"/>
      <c r="X38" s="77"/>
      <c r="Y38" s="79"/>
      <c r="Z38" s="77"/>
      <c r="AV38" s="1222">
        <f>AQ24/AQ25</f>
        <v>1.1061431164612587</v>
      </c>
      <c r="AW38" s="710" t="s">
        <v>1775</v>
      </c>
      <c r="AX38" s="710" t="s">
        <v>1780</v>
      </c>
      <c r="BM38" s="50" t="s">
        <v>1265</v>
      </c>
      <c r="BN38" s="958" t="s">
        <v>1266</v>
      </c>
      <c r="BO38" s="958">
        <v>37700</v>
      </c>
      <c r="BP38" s="962">
        <v>450</v>
      </c>
      <c r="BQ38" s="958">
        <v>31216</v>
      </c>
      <c r="BR38" s="958">
        <v>86</v>
      </c>
      <c r="BX38" s="581" t="s">
        <v>1335</v>
      </c>
      <c r="BY38" s="1042">
        <v>145</v>
      </c>
      <c r="BZ38" s="1043">
        <f>BY38*BP43*0.002723</f>
        <v>7.1070300000000008</v>
      </c>
      <c r="CA38" s="1043">
        <f>BY38*BO43*0.002723</f>
        <v>598.96469500000001</v>
      </c>
    </row>
    <row r="39" spans="1:84">
      <c r="A39" s="1568"/>
      <c r="B39" s="730" t="s">
        <v>230</v>
      </c>
      <c r="C39" s="727" t="s">
        <v>889</v>
      </c>
      <c r="D39" s="1240">
        <v>630</v>
      </c>
      <c r="E39" s="1240">
        <v>573</v>
      </c>
      <c r="F39" s="1240">
        <v>187</v>
      </c>
      <c r="G39" s="1240">
        <v>67</v>
      </c>
      <c r="H39" s="1240">
        <v>22</v>
      </c>
      <c r="I39" s="1240">
        <v>34</v>
      </c>
      <c r="J39" s="1284">
        <f t="shared" si="18"/>
        <v>924.64911000000006</v>
      </c>
      <c r="K39" s="1284">
        <f t="shared" si="19"/>
        <v>121.79979</v>
      </c>
      <c r="L39" s="1284">
        <f t="shared" si="20"/>
        <v>720.84889800000008</v>
      </c>
      <c r="M39" s="1284">
        <f t="shared" si="21"/>
        <v>123.26204100000001</v>
      </c>
      <c r="N39" s="1284">
        <f t="shared" si="22"/>
        <v>186.876767</v>
      </c>
      <c r="O39" s="1284">
        <f t="shared" si="23"/>
        <v>27.496854000000003</v>
      </c>
      <c r="P39" s="1284">
        <f t="shared" si="24"/>
        <v>81.733568000000005</v>
      </c>
      <c r="Q39" s="1284">
        <f t="shared" si="25"/>
        <v>8.2098449999999996</v>
      </c>
      <c r="R39" s="1284">
        <f t="shared" si="26"/>
        <v>27.197324000000002</v>
      </c>
      <c r="S39" s="1284">
        <f t="shared" si="27"/>
        <v>0.89859</v>
      </c>
      <c r="T39" s="1284">
        <f t="shared" si="28"/>
        <v>53.790142000000003</v>
      </c>
      <c r="U39" s="1284">
        <f t="shared" si="29"/>
        <v>1.2035660000000001</v>
      </c>
      <c r="V39" s="17"/>
      <c r="W39" s="17"/>
      <c r="X39" s="77"/>
      <c r="BM39" s="581" t="s">
        <v>1260</v>
      </c>
      <c r="BN39" s="620">
        <v>83</v>
      </c>
      <c r="BO39" s="958">
        <v>628</v>
      </c>
      <c r="BP39" s="958">
        <v>31</v>
      </c>
      <c r="BQ39" s="958">
        <v>411</v>
      </c>
      <c r="BR39" s="958">
        <v>20</v>
      </c>
    </row>
    <row r="40" spans="1:84">
      <c r="A40" s="732" t="s">
        <v>1829</v>
      </c>
      <c r="B40" s="729" t="s">
        <v>456</v>
      </c>
      <c r="C40" s="726" t="s">
        <v>1800</v>
      </c>
      <c r="D40" s="1240">
        <v>78</v>
      </c>
      <c r="E40" s="1240">
        <v>7.5</v>
      </c>
      <c r="F40" s="1240">
        <v>5.9</v>
      </c>
      <c r="G40" s="1240">
        <v>3.4</v>
      </c>
      <c r="H40" s="1240">
        <v>0.3</v>
      </c>
      <c r="I40" s="1240">
        <v>2.2999999999999998</v>
      </c>
      <c r="J40" s="1284">
        <f t="shared" si="18"/>
        <v>505.71011400000003</v>
      </c>
      <c r="K40" s="1284">
        <f t="shared" si="19"/>
        <v>14.655186</v>
      </c>
      <c r="L40" s="1284">
        <f t="shared" si="20"/>
        <v>38.5781025</v>
      </c>
      <c r="M40" s="1284">
        <f t="shared" si="21"/>
        <v>1.429575</v>
      </c>
      <c r="N40" s="1284">
        <f t="shared" si="22"/>
        <v>30.653355600000005</v>
      </c>
      <c r="O40" s="1284">
        <f t="shared" si="23"/>
        <v>1.3655845000000002</v>
      </c>
      <c r="P40" s="1284">
        <f t="shared" si="24"/>
        <v>16.248141</v>
      </c>
      <c r="Q40" s="1284">
        <f t="shared" si="25"/>
        <v>0.85175440000000013</v>
      </c>
      <c r="R40" s="1284">
        <f t="shared" si="26"/>
        <v>0.90430829999999995</v>
      </c>
      <c r="S40" s="1291">
        <f t="shared" si="27"/>
        <v>1.0619700000000001E-2</v>
      </c>
      <c r="T40" s="1284">
        <f t="shared" si="28"/>
        <v>7.3839591000000002</v>
      </c>
      <c r="U40" s="1284">
        <f t="shared" si="29"/>
        <v>3.1314500000000002E-2</v>
      </c>
      <c r="V40" s="17"/>
      <c r="W40" s="17"/>
      <c r="X40" s="77"/>
      <c r="AU40" s="710">
        <f>AR25-AR24</f>
        <v>316.46614507200013</v>
      </c>
      <c r="AV40" s="1222">
        <f>316/453</f>
        <v>0.69757174392935983</v>
      </c>
      <c r="BM40" s="581" t="s">
        <v>1262</v>
      </c>
      <c r="BN40" s="620">
        <v>84</v>
      </c>
      <c r="BO40" s="958">
        <v>2467</v>
      </c>
      <c r="BP40" s="958">
        <v>25</v>
      </c>
      <c r="BQ40" s="958">
        <v>2200</v>
      </c>
      <c r="BR40" s="958">
        <v>18</v>
      </c>
    </row>
    <row r="41" spans="1:84">
      <c r="A41" s="1566" t="s">
        <v>1830</v>
      </c>
      <c r="B41" s="730" t="s">
        <v>234</v>
      </c>
      <c r="C41" s="727" t="s">
        <v>406</v>
      </c>
      <c r="D41" s="1239">
        <v>12.2</v>
      </c>
      <c r="E41" s="1239">
        <v>4.9000000000000004</v>
      </c>
      <c r="F41" s="1239">
        <v>2.9</v>
      </c>
      <c r="G41" s="1240">
        <v>1.2</v>
      </c>
      <c r="H41" s="1240">
        <v>0.2</v>
      </c>
      <c r="I41" s="1240">
        <v>1.6</v>
      </c>
      <c r="J41" s="1284">
        <f t="shared" si="18"/>
        <v>16.577079399999999</v>
      </c>
      <c r="K41" s="1284">
        <f t="shared" si="19"/>
        <v>1.3620445999999999</v>
      </c>
      <c r="L41" s="1284">
        <f t="shared" si="20"/>
        <v>4.363062900000001</v>
      </c>
      <c r="M41" s="1284">
        <f t="shared" si="21"/>
        <v>0.37359560000000008</v>
      </c>
      <c r="N41" s="1284">
        <f t="shared" si="22"/>
        <v>1.7293773000000001</v>
      </c>
      <c r="O41" s="1284">
        <f t="shared" si="23"/>
        <v>0.22900429999999999</v>
      </c>
      <c r="P41" s="1284">
        <f t="shared" si="24"/>
        <v>0.76788600000000007</v>
      </c>
      <c r="Q41" s="1284">
        <f t="shared" si="25"/>
        <v>7.1887199999999998E-2</v>
      </c>
      <c r="R41" s="1284">
        <f t="shared" si="26"/>
        <v>0.14758660000000001</v>
      </c>
      <c r="S41" s="1291">
        <f t="shared" si="27"/>
        <v>4.0844999999999999E-2</v>
      </c>
      <c r="T41" s="1284">
        <f t="shared" si="28"/>
        <v>1.7383632000000004</v>
      </c>
      <c r="U41" s="1284">
        <f t="shared" si="29"/>
        <v>3.4854400000000001E-2</v>
      </c>
      <c r="V41" s="17"/>
      <c r="W41" s="79"/>
      <c r="X41" s="77"/>
      <c r="BM41" s="50" t="s">
        <v>1263</v>
      </c>
      <c r="BN41" s="620">
        <v>86</v>
      </c>
      <c r="BO41" s="958">
        <v>2344</v>
      </c>
      <c r="BP41" s="958">
        <v>24</v>
      </c>
      <c r="BQ41" s="958">
        <v>2085</v>
      </c>
      <c r="BR41" s="958">
        <v>19</v>
      </c>
    </row>
    <row r="42" spans="1:84">
      <c r="A42" s="1567"/>
      <c r="B42" s="730" t="s">
        <v>235</v>
      </c>
      <c r="C42" s="727" t="s">
        <v>1793</v>
      </c>
      <c r="D42" s="1239">
        <v>216</v>
      </c>
      <c r="E42" s="1239">
        <v>29.7</v>
      </c>
      <c r="F42" s="1239">
        <v>11.1</v>
      </c>
      <c r="G42" s="1240">
        <v>14.6</v>
      </c>
      <c r="H42" s="1240">
        <v>0.3</v>
      </c>
      <c r="I42" s="1240">
        <v>1</v>
      </c>
      <c r="J42" s="1284">
        <f t="shared" si="18"/>
        <v>369.957672</v>
      </c>
      <c r="K42" s="1284">
        <f t="shared" si="19"/>
        <v>54.699624</v>
      </c>
      <c r="L42" s="1284">
        <f t="shared" si="20"/>
        <v>45.127189799999996</v>
      </c>
      <c r="M42" s="1284">
        <f t="shared" si="21"/>
        <v>20.703513600000001</v>
      </c>
      <c r="N42" s="1284">
        <f t="shared" si="22"/>
        <v>8.9769141000000001</v>
      </c>
      <c r="O42" s="1284">
        <f t="shared" si="23"/>
        <v>1.6623915</v>
      </c>
      <c r="P42" s="1284">
        <f t="shared" si="24"/>
        <v>17.293773000000002</v>
      </c>
      <c r="Q42" s="1284">
        <f t="shared" si="25"/>
        <v>3.1009524000000002</v>
      </c>
      <c r="R42" s="1284">
        <f t="shared" si="26"/>
        <v>0.1780842</v>
      </c>
      <c r="S42" s="1291">
        <f t="shared" si="27"/>
        <v>1.6338000000000002E-2</v>
      </c>
      <c r="T42" s="1284">
        <f t="shared" si="28"/>
        <v>1.195397</v>
      </c>
      <c r="U42" s="1284">
        <f t="shared" si="29"/>
        <v>3.5399E-2</v>
      </c>
      <c r="V42" s="17"/>
      <c r="W42" s="17"/>
      <c r="X42" s="77"/>
      <c r="BM42" s="581" t="s">
        <v>1264</v>
      </c>
      <c r="BN42" s="620">
        <v>87</v>
      </c>
      <c r="BO42" s="958">
        <v>1527</v>
      </c>
      <c r="BP42" s="958">
        <v>16</v>
      </c>
      <c r="BQ42" s="958">
        <v>1246</v>
      </c>
      <c r="BR42" s="958">
        <v>16</v>
      </c>
    </row>
    <row r="43" spans="1:84">
      <c r="A43" s="1567"/>
      <c r="B43" s="731" t="s">
        <v>453</v>
      </c>
      <c r="C43" s="728" t="s">
        <v>1801</v>
      </c>
      <c r="D43" s="1240">
        <v>7.7</v>
      </c>
      <c r="E43" s="1240">
        <v>4.7</v>
      </c>
      <c r="F43" s="1240">
        <v>2.8</v>
      </c>
      <c r="G43" s="1240">
        <v>0.8</v>
      </c>
      <c r="H43" s="1240">
        <v>0.3</v>
      </c>
      <c r="I43" s="1240">
        <v>0.4</v>
      </c>
      <c r="J43" s="1284">
        <f t="shared" si="18"/>
        <v>11.469003700000002</v>
      </c>
      <c r="K43" s="1284">
        <f t="shared" si="19"/>
        <v>1.0902892000000002</v>
      </c>
      <c r="L43" s="1284">
        <f t="shared" si="20"/>
        <v>8.4979384000000007</v>
      </c>
      <c r="M43" s="1284">
        <f t="shared" si="21"/>
        <v>0.6143088000000001</v>
      </c>
      <c r="N43" s="1284">
        <f t="shared" si="22"/>
        <v>4.7118792000000003</v>
      </c>
      <c r="O43" s="1284">
        <f t="shared" si="23"/>
        <v>0.78531319999999993</v>
      </c>
      <c r="P43" s="1284">
        <f t="shared" si="24"/>
        <v>1.4028896000000002</v>
      </c>
      <c r="Q43" s="1284">
        <f t="shared" si="25"/>
        <v>0.15684480000000001</v>
      </c>
      <c r="R43" s="1284">
        <f t="shared" si="26"/>
        <v>0.54650609999999999</v>
      </c>
      <c r="S43" s="1291">
        <f t="shared" si="27"/>
        <v>2.6957700000000001E-2</v>
      </c>
      <c r="T43" s="1284">
        <f t="shared" si="28"/>
        <v>0.76244000000000001</v>
      </c>
      <c r="U43" s="1284">
        <f t="shared" si="29"/>
        <v>4.1389600000000006E-2</v>
      </c>
      <c r="V43" s="17"/>
      <c r="W43" s="17"/>
      <c r="X43" s="77"/>
      <c r="BM43" s="581" t="s">
        <v>1261</v>
      </c>
      <c r="BN43" s="620">
        <v>88</v>
      </c>
      <c r="BO43" s="958">
        <v>1517</v>
      </c>
      <c r="BP43" s="958">
        <v>18</v>
      </c>
      <c r="BQ43" s="885">
        <v>2015</v>
      </c>
      <c r="BR43" s="885">
        <v>21</v>
      </c>
    </row>
    <row r="44" spans="1:84">
      <c r="A44" s="1567"/>
      <c r="B44" s="731" t="s">
        <v>1163</v>
      </c>
      <c r="C44" s="728" t="s">
        <v>1802</v>
      </c>
      <c r="D44" s="1287"/>
      <c r="E44" s="1288">
        <v>2.7</v>
      </c>
      <c r="F44" s="1287"/>
      <c r="G44" s="1287"/>
      <c r="H44" s="1287"/>
      <c r="I44" s="1289">
        <v>0.3</v>
      </c>
      <c r="J44" s="1284"/>
      <c r="K44" s="1284"/>
      <c r="L44" s="1284">
        <f>E44*L19*0.002723</f>
        <v>10.101785400000001</v>
      </c>
      <c r="M44" s="1284">
        <f>E44*O19*0.002723</f>
        <v>0.33819660000000001</v>
      </c>
      <c r="N44" s="1284"/>
      <c r="O44" s="1284"/>
      <c r="P44" s="1284"/>
      <c r="Q44" s="1284"/>
      <c r="R44" s="1284"/>
      <c r="S44" s="1284"/>
      <c r="T44" s="1284">
        <f t="shared" si="28"/>
        <v>1.1158854</v>
      </c>
      <c r="U44" s="1284">
        <f t="shared" si="29"/>
        <v>1.6338000000000001E-3</v>
      </c>
      <c r="V44" s="17"/>
      <c r="W44" s="79"/>
      <c r="X44" s="77"/>
      <c r="BO44" s="710"/>
      <c r="BP44" s="875"/>
      <c r="BQ44" s="1576" t="s">
        <v>1202</v>
      </c>
      <c r="BR44" s="1576"/>
      <c r="BS44" s="1576" t="s">
        <v>1168</v>
      </c>
      <c r="BT44" s="1576"/>
      <c r="BW44" s="1031" t="s">
        <v>1327</v>
      </c>
      <c r="BX44" s="1032">
        <v>41361</v>
      </c>
      <c r="BY44" s="1033">
        <v>41389</v>
      </c>
      <c r="BZ44" s="1033">
        <v>41415</v>
      </c>
      <c r="CA44" s="1033">
        <v>41443</v>
      </c>
      <c r="CB44" s="1033">
        <v>41478</v>
      </c>
      <c r="CC44" s="1033">
        <v>41513</v>
      </c>
      <c r="CD44" s="1033">
        <v>41542</v>
      </c>
      <c r="CE44" s="1033">
        <v>41570</v>
      </c>
      <c r="CF44" s="1033">
        <v>41603</v>
      </c>
    </row>
    <row r="45" spans="1:84">
      <c r="A45" s="1567"/>
      <c r="B45" s="731" t="s">
        <v>1165</v>
      </c>
      <c r="C45" s="728" t="s">
        <v>1166</v>
      </c>
      <c r="D45" s="1287"/>
      <c r="E45" s="1285">
        <v>10.5</v>
      </c>
      <c r="F45" s="1290"/>
      <c r="G45" s="1290"/>
      <c r="H45" s="1290"/>
      <c r="I45" s="1285">
        <v>5.4</v>
      </c>
      <c r="J45" s="1284"/>
      <c r="K45" s="1284"/>
      <c r="L45" s="1284">
        <f>E45*L20*0.002723</f>
        <v>47.290341000000005</v>
      </c>
      <c r="M45" s="1284">
        <f>E45*O20*0.002723</f>
        <v>2.1443625000000002</v>
      </c>
      <c r="N45" s="1284"/>
      <c r="O45" s="1284"/>
      <c r="P45" s="1284"/>
      <c r="Q45" s="1284"/>
      <c r="R45" s="1284"/>
      <c r="S45" s="1284"/>
      <c r="T45" s="1284">
        <f t="shared" si="28"/>
        <v>33.0697458</v>
      </c>
      <c r="U45" s="1284">
        <f t="shared" si="29"/>
        <v>1.2645612000000002</v>
      </c>
      <c r="V45" s="17"/>
      <c r="W45" s="17"/>
      <c r="X45" s="77"/>
      <c r="BO45" s="883" t="s">
        <v>1169</v>
      </c>
      <c r="BP45" s="883" t="s">
        <v>1170</v>
      </c>
      <c r="BQ45" s="883" t="s">
        <v>29</v>
      </c>
      <c r="BR45" s="883" t="s">
        <v>28</v>
      </c>
      <c r="BS45" s="883" t="s">
        <v>29</v>
      </c>
      <c r="BT45" s="883" t="s">
        <v>28</v>
      </c>
      <c r="BW45" s="1034" t="s">
        <v>259</v>
      </c>
      <c r="BX45" s="1035">
        <v>1134</v>
      </c>
      <c r="BY45" s="479">
        <v>1522</v>
      </c>
      <c r="BZ45" s="1035">
        <v>791</v>
      </c>
      <c r="CA45" s="479">
        <v>1117</v>
      </c>
      <c r="CB45" s="1035">
        <v>820</v>
      </c>
      <c r="CC45" s="479">
        <v>786</v>
      </c>
      <c r="CD45" s="1035">
        <v>1938</v>
      </c>
      <c r="CE45" s="479">
        <v>1077</v>
      </c>
      <c r="CF45" s="97">
        <v>1091</v>
      </c>
    </row>
    <row r="46" spans="1:84" ht="30" customHeight="1">
      <c r="A46" s="1568"/>
      <c r="B46" s="729" t="s">
        <v>452</v>
      </c>
      <c r="C46" s="726" t="s">
        <v>454</v>
      </c>
      <c r="D46" s="1240">
        <v>15.7</v>
      </c>
      <c r="E46" s="1240">
        <v>8.6</v>
      </c>
      <c r="F46" s="1240">
        <v>7.5</v>
      </c>
      <c r="G46" s="1240">
        <v>5.5</v>
      </c>
      <c r="H46" s="1240">
        <v>1.7</v>
      </c>
      <c r="I46" s="1240">
        <v>7.6</v>
      </c>
      <c r="J46" s="1284">
        <f t="shared" si="18"/>
        <v>50.360795799999998</v>
      </c>
      <c r="K46" s="1284">
        <f t="shared" si="19"/>
        <v>3.8903501000000005</v>
      </c>
      <c r="L46" s="1284">
        <f t="shared" si="20"/>
        <v>38.943801399999998</v>
      </c>
      <c r="M46" s="1284">
        <f t="shared" si="21"/>
        <v>4.5430532000000001</v>
      </c>
      <c r="N46" s="1284">
        <f t="shared" si="22"/>
        <v>20.769682500000002</v>
      </c>
      <c r="O46" s="1284">
        <f t="shared" si="23"/>
        <v>2.3281650000000003</v>
      </c>
      <c r="P46" s="1284">
        <f t="shared" si="24"/>
        <v>28.200749500000001</v>
      </c>
      <c r="Q46" s="1284">
        <f t="shared" si="25"/>
        <v>2.6059110000000003</v>
      </c>
      <c r="R46" s="1284">
        <f t="shared" si="26"/>
        <v>5.1892211000000001</v>
      </c>
      <c r="S46" s="1284">
        <f t="shared" si="27"/>
        <v>0.44902270000000005</v>
      </c>
      <c r="T46" s="1284">
        <f t="shared" si="28"/>
        <v>36.7746596</v>
      </c>
      <c r="U46" s="1284">
        <f t="shared" si="29"/>
        <v>1.6969736</v>
      </c>
      <c r="V46" s="17"/>
      <c r="W46" s="17"/>
      <c r="X46" s="77"/>
      <c r="BM46" s="1577" t="s">
        <v>1326</v>
      </c>
      <c r="BN46" s="1029">
        <v>42145</v>
      </c>
      <c r="BO46" s="612">
        <v>26.5</v>
      </c>
      <c r="BP46" s="884">
        <f t="shared" ref="BP46:BP51" si="30">BO46*1.983*30</f>
        <v>1576.4850000000001</v>
      </c>
      <c r="BQ46" s="958">
        <v>2381</v>
      </c>
      <c r="BR46" s="958">
        <v>69</v>
      </c>
      <c r="BS46" s="885">
        <f>BP46*BQ46*0.002723</f>
        <v>10221.082167555001</v>
      </c>
      <c r="BT46" s="885">
        <f>BP46*BR46*0.002723</f>
        <v>296.20103719500003</v>
      </c>
      <c r="BW46" s="1034" t="s">
        <v>255</v>
      </c>
      <c r="BX46" s="1035">
        <v>889</v>
      </c>
      <c r="BY46" s="479">
        <v>1251</v>
      </c>
      <c r="BZ46" s="1035">
        <v>530</v>
      </c>
      <c r="CA46" s="479">
        <v>461</v>
      </c>
      <c r="CB46" s="1035">
        <v>399</v>
      </c>
      <c r="CC46" s="479">
        <v>270</v>
      </c>
      <c r="CD46" s="1035">
        <v>1415</v>
      </c>
      <c r="CE46" s="479">
        <v>723</v>
      </c>
      <c r="CF46" s="97">
        <v>766</v>
      </c>
    </row>
    <row r="47" spans="1:84">
      <c r="A47" s="732" t="s">
        <v>1831</v>
      </c>
      <c r="B47" s="730" t="s">
        <v>231</v>
      </c>
      <c r="C47" s="727" t="s">
        <v>1078</v>
      </c>
      <c r="D47" s="1240">
        <v>2</v>
      </c>
      <c r="E47" s="1240">
        <v>1.9</v>
      </c>
      <c r="F47" s="1240">
        <v>1.4</v>
      </c>
      <c r="G47" s="1240">
        <v>1.3</v>
      </c>
      <c r="H47" s="1240">
        <v>0.05</v>
      </c>
      <c r="I47" s="1240">
        <v>0.3</v>
      </c>
      <c r="J47" s="1284">
        <f t="shared" si="18"/>
        <v>2.9898540000000002</v>
      </c>
      <c r="K47" s="1284">
        <f t="shared" si="19"/>
        <v>0.17971800000000002</v>
      </c>
      <c r="L47" s="1284">
        <f t="shared" si="20"/>
        <v>4.1027440999999998</v>
      </c>
      <c r="M47" s="1284">
        <f t="shared" si="21"/>
        <v>0.30524830000000003</v>
      </c>
      <c r="N47" s="1284">
        <f t="shared" si="22"/>
        <v>3.1412527999999997</v>
      </c>
      <c r="O47" s="1284">
        <f t="shared" si="23"/>
        <v>0.54895680000000002</v>
      </c>
      <c r="P47" s="1284">
        <f t="shared" si="24"/>
        <v>2.1770385000000001</v>
      </c>
      <c r="Q47" s="1284">
        <f t="shared" si="25"/>
        <v>0.36814960000000008</v>
      </c>
      <c r="R47" s="1284">
        <f t="shared" si="26"/>
        <v>0.106197</v>
      </c>
      <c r="S47" s="1291">
        <f t="shared" si="27"/>
        <v>7.7605500000000006E-3</v>
      </c>
      <c r="T47" s="1284">
        <f t="shared" si="28"/>
        <v>0.351267</v>
      </c>
      <c r="U47" s="1291">
        <f t="shared" si="29"/>
        <v>1.3070400000000001E-2</v>
      </c>
      <c r="V47" s="17"/>
      <c r="W47" s="79"/>
      <c r="X47" s="77"/>
      <c r="BM47" s="1577"/>
      <c r="BN47" s="1029">
        <v>42171</v>
      </c>
      <c r="BO47" s="612">
        <v>7.6</v>
      </c>
      <c r="BP47" s="884">
        <f t="shared" si="30"/>
        <v>452.12400000000002</v>
      </c>
      <c r="BQ47" s="958">
        <v>1889</v>
      </c>
      <c r="BR47" s="958">
        <v>70</v>
      </c>
      <c r="BS47" s="885">
        <f>BP47*BQ47*0.002723</f>
        <v>2325.6114686280002</v>
      </c>
      <c r="BT47" s="885">
        <f>BP47*BR47*0.002723</f>
        <v>86.179355640000011</v>
      </c>
      <c r="BW47" s="1034" t="s">
        <v>256</v>
      </c>
      <c r="BX47" s="1035">
        <v>28</v>
      </c>
      <c r="BY47" s="479">
        <v>25</v>
      </c>
      <c r="BZ47" s="1035">
        <v>28</v>
      </c>
      <c r="CA47" s="479">
        <v>80</v>
      </c>
      <c r="CB47" s="1035">
        <v>31</v>
      </c>
      <c r="CC47" s="479">
        <v>50</v>
      </c>
      <c r="CD47" s="1035">
        <v>13</v>
      </c>
      <c r="CE47" s="479">
        <v>14</v>
      </c>
      <c r="CF47" s="97">
        <v>65</v>
      </c>
    </row>
    <row r="48" spans="1:84">
      <c r="A48" s="732" t="s">
        <v>1832</v>
      </c>
      <c r="B48" s="730" t="s">
        <v>232</v>
      </c>
      <c r="C48" s="727" t="s">
        <v>1803</v>
      </c>
      <c r="D48" s="1240">
        <v>19.7</v>
      </c>
      <c r="E48" s="1240">
        <v>6.3</v>
      </c>
      <c r="F48" s="1240">
        <v>3.8</v>
      </c>
      <c r="G48" s="1240">
        <v>2</v>
      </c>
      <c r="H48" s="1240">
        <v>1</v>
      </c>
      <c r="I48" s="1240">
        <v>0.8</v>
      </c>
      <c r="J48" s="1284">
        <f t="shared" si="18"/>
        <v>36.1018063</v>
      </c>
      <c r="K48" s="1284">
        <f t="shared" si="19"/>
        <v>3.7013739000000001</v>
      </c>
      <c r="L48" s="1284">
        <f t="shared" si="20"/>
        <v>9.0577871999999999</v>
      </c>
      <c r="M48" s="1284">
        <f t="shared" si="21"/>
        <v>0.73766069999999995</v>
      </c>
      <c r="N48" s="1284">
        <f t="shared" si="22"/>
        <v>4.1493074000000005</v>
      </c>
      <c r="O48" s="1284">
        <f t="shared" si="23"/>
        <v>0.55875960000000002</v>
      </c>
      <c r="P48" s="1284">
        <f t="shared" si="24"/>
        <v>2.6304180000000001</v>
      </c>
      <c r="Q48" s="1284">
        <f t="shared" si="25"/>
        <v>0.17971800000000002</v>
      </c>
      <c r="R48" s="1284">
        <f t="shared" si="26"/>
        <v>0.74610200000000004</v>
      </c>
      <c r="S48" s="1291">
        <f t="shared" si="27"/>
        <v>2.9953E-2</v>
      </c>
      <c r="T48" s="1284">
        <f t="shared" si="28"/>
        <v>0.68183920000000009</v>
      </c>
      <c r="U48" s="1291">
        <f t="shared" si="29"/>
        <v>8.7136000000000002E-3</v>
      </c>
      <c r="V48" s="17"/>
      <c r="W48" s="17"/>
      <c r="X48" s="77"/>
      <c r="BM48" s="1577"/>
      <c r="BN48" s="1030">
        <v>42192</v>
      </c>
      <c r="BO48" s="612">
        <v>6.2</v>
      </c>
      <c r="BP48" s="884">
        <f t="shared" si="30"/>
        <v>368.83800000000002</v>
      </c>
      <c r="BQ48" s="958">
        <v>1908</v>
      </c>
      <c r="BR48" s="958">
        <v>85</v>
      </c>
      <c r="BS48" s="885">
        <f>BP48*BQ48*0.002723</f>
        <v>1916.2919275920003</v>
      </c>
      <c r="BT48" s="885">
        <f>BP48*BR48*0.002723</f>
        <v>85.369399290000018</v>
      </c>
      <c r="BW48" s="1034" t="s">
        <v>257</v>
      </c>
      <c r="BX48" s="1035">
        <v>5</v>
      </c>
      <c r="BY48" s="479">
        <v>21</v>
      </c>
      <c r="BZ48" s="1035">
        <v>9</v>
      </c>
      <c r="CA48" s="479">
        <v>76</v>
      </c>
      <c r="CB48" s="1035">
        <v>38</v>
      </c>
      <c r="CC48" s="479">
        <v>10</v>
      </c>
      <c r="CD48" s="1035">
        <v>30</v>
      </c>
      <c r="CE48" s="479">
        <v>5</v>
      </c>
      <c r="CF48" s="97">
        <v>11</v>
      </c>
    </row>
    <row r="49" spans="1:78">
      <c r="B49" s="96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7"/>
      <c r="V49" s="17"/>
      <c r="W49" s="17"/>
      <c r="X49" s="77"/>
      <c r="BM49" s="1577"/>
      <c r="BN49" s="1030">
        <v>42234</v>
      </c>
      <c r="BO49" s="612">
        <v>2.2999999999999998</v>
      </c>
      <c r="BP49" s="884">
        <f t="shared" si="30"/>
        <v>136.827</v>
      </c>
      <c r="BQ49" s="958">
        <v>1755</v>
      </c>
      <c r="BR49" s="958">
        <v>92</v>
      </c>
      <c r="BS49" s="885">
        <f>BP49*BQ49*0.002723</f>
        <v>653.87776135500008</v>
      </c>
      <c r="BT49" s="885">
        <f>BP49*BR49*0.002723</f>
        <v>34.277352731999997</v>
      </c>
    </row>
    <row r="50" spans="1:78">
      <c r="A50" s="710"/>
      <c r="B50" s="1569" t="s">
        <v>236</v>
      </c>
      <c r="C50" s="1571" t="s">
        <v>237</v>
      </c>
      <c r="D50" s="193"/>
      <c r="E50" s="193"/>
      <c r="F50" s="193"/>
      <c r="G50" s="193"/>
      <c r="H50" s="193"/>
      <c r="I50" s="193"/>
      <c r="J50" s="1564" t="s">
        <v>72</v>
      </c>
      <c r="K50" s="1564"/>
      <c r="L50" s="1564" t="s">
        <v>309</v>
      </c>
      <c r="M50" s="1564"/>
      <c r="N50" s="1564" t="s">
        <v>304</v>
      </c>
      <c r="O50" s="1564"/>
      <c r="P50" s="1564" t="s">
        <v>75</v>
      </c>
      <c r="Q50" s="1564"/>
      <c r="R50" s="1564" t="s">
        <v>76</v>
      </c>
      <c r="S50" s="1564"/>
      <c r="T50" s="1565" t="s">
        <v>77</v>
      </c>
      <c r="U50" s="1565"/>
      <c r="V50" s="17"/>
      <c r="W50" s="79"/>
      <c r="X50" s="77"/>
      <c r="BM50" s="1577"/>
      <c r="BN50" s="1030">
        <v>42262</v>
      </c>
      <c r="BO50" s="612">
        <v>0.4</v>
      </c>
      <c r="BP50" s="884">
        <f t="shared" si="30"/>
        <v>23.796000000000003</v>
      </c>
      <c r="BQ50" s="958">
        <v>1107</v>
      </c>
      <c r="BR50" s="958">
        <v>13</v>
      </c>
      <c r="BS50" s="885">
        <f>BP50*BQ50*0.002723</f>
        <v>71.729734356000009</v>
      </c>
      <c r="BT50" s="885">
        <f>BP50*BR50*0.002723</f>
        <v>0.84235460400000006</v>
      </c>
    </row>
    <row r="51" spans="1:78">
      <c r="A51" s="710"/>
      <c r="B51" s="1570"/>
      <c r="C51" s="1572"/>
      <c r="D51" s="193"/>
      <c r="E51" s="193"/>
      <c r="F51" s="193"/>
      <c r="G51" s="193"/>
      <c r="H51" s="193"/>
      <c r="I51" s="193"/>
      <c r="J51" s="1283" t="s">
        <v>29</v>
      </c>
      <c r="K51" s="1283" t="s">
        <v>28</v>
      </c>
      <c r="L51" s="1283" t="s">
        <v>29</v>
      </c>
      <c r="M51" s="1283" t="s">
        <v>28</v>
      </c>
      <c r="N51" s="1283" t="s">
        <v>29</v>
      </c>
      <c r="O51" s="1283" t="s">
        <v>28</v>
      </c>
      <c r="P51" s="1283" t="s">
        <v>29</v>
      </c>
      <c r="Q51" s="1283" t="s">
        <v>28</v>
      </c>
      <c r="R51" s="1283" t="s">
        <v>29</v>
      </c>
      <c r="S51" s="1283" t="s">
        <v>28</v>
      </c>
      <c r="T51" s="1283" t="s">
        <v>29</v>
      </c>
      <c r="U51" s="1283" t="s">
        <v>28</v>
      </c>
      <c r="V51" s="17"/>
      <c r="W51" s="17"/>
      <c r="X51" s="77"/>
      <c r="BM51" s="1577"/>
      <c r="BN51" s="1030">
        <v>42303</v>
      </c>
      <c r="BO51" s="612">
        <v>3.2</v>
      </c>
      <c r="BP51" s="884">
        <f t="shared" si="30"/>
        <v>190.36800000000002</v>
      </c>
      <c r="BQ51" s="958"/>
      <c r="BR51" s="958"/>
      <c r="BS51" s="958"/>
      <c r="BT51" s="958"/>
    </row>
    <row r="52" spans="1:78">
      <c r="A52" s="1566" t="s">
        <v>1826</v>
      </c>
      <c r="B52" s="729" t="s">
        <v>346</v>
      </c>
      <c r="C52" s="726" t="s">
        <v>1794</v>
      </c>
      <c r="D52" s="193"/>
      <c r="E52" s="193"/>
      <c r="F52" s="193"/>
      <c r="G52" s="193"/>
      <c r="H52" s="193"/>
      <c r="I52" s="193"/>
      <c r="J52" s="1384">
        <f>J28*31</f>
        <v>2423.4972299999999</v>
      </c>
      <c r="K52" s="1384">
        <f>K28*31</f>
        <v>594.26751999999999</v>
      </c>
      <c r="L52" s="1384">
        <f>L28*30</f>
        <v>6234.5808000000006</v>
      </c>
      <c r="M52" s="1384">
        <f>M28*30</f>
        <v>727.36776000000009</v>
      </c>
      <c r="N52" s="1384">
        <f>N28*31</f>
        <v>1050.4353720000001</v>
      </c>
      <c r="O52" s="1384">
        <f>O28*31</f>
        <v>81.796197000000006</v>
      </c>
      <c r="P52" s="1384">
        <f>P28*31</f>
        <v>569.95657599999993</v>
      </c>
      <c r="Q52" s="1384">
        <f>Q28*31</f>
        <v>18.908512000000002</v>
      </c>
      <c r="R52" s="1384">
        <f>R28*30</f>
        <v>178.86025500000002</v>
      </c>
      <c r="S52" s="1384">
        <f>S28*30</f>
        <v>2.4670380000000001</v>
      </c>
      <c r="T52" s="1384">
        <f>T28*31</f>
        <v>273.46435480000002</v>
      </c>
      <c r="U52" s="1384">
        <f>U28*31</f>
        <v>3.0051028</v>
      </c>
      <c r="V52" s="17"/>
      <c r="W52" s="17"/>
      <c r="X52" s="77"/>
      <c r="BO52" s="962"/>
      <c r="BP52" s="1038">
        <f>SUM(BP46:BP51)</f>
        <v>2748.4380000000001</v>
      </c>
      <c r="BQ52" s="1576" t="s">
        <v>1328</v>
      </c>
      <c r="BR52" s="1576"/>
      <c r="BS52" s="960">
        <f>SUM(BS46:BS51)</f>
        <v>15188.593059486002</v>
      </c>
      <c r="BT52" s="960">
        <f>SUM(BT37:BT51)</f>
        <v>502.86949946100009</v>
      </c>
      <c r="BZ52" s="710" t="s">
        <v>1265</v>
      </c>
    </row>
    <row r="53" spans="1:78">
      <c r="A53" s="1567"/>
      <c r="B53" s="730" t="s">
        <v>345</v>
      </c>
      <c r="C53" s="726" t="s">
        <v>1796</v>
      </c>
      <c r="D53" s="193"/>
      <c r="E53" s="193"/>
      <c r="F53" s="193"/>
      <c r="G53" s="193"/>
      <c r="H53" s="193"/>
      <c r="I53" s="193"/>
      <c r="J53" s="1384">
        <f t="shared" ref="J53:K53" si="31">J29*31</f>
        <v>6257.4512770000001</v>
      </c>
      <c r="K53" s="1384">
        <f t="shared" si="31"/>
        <v>964.58735100000001</v>
      </c>
      <c r="L53" s="1384">
        <f t="shared" ref="L53:M53" si="32">L29*30</f>
        <v>10833.727800000001</v>
      </c>
      <c r="M53" s="1384">
        <f t="shared" si="32"/>
        <v>1800.4476000000002</v>
      </c>
      <c r="N53" s="1384">
        <f t="shared" ref="N53:Q53" si="33">N29*31</f>
        <v>2777.1877000000004</v>
      </c>
      <c r="O53" s="1384">
        <f t="shared" si="33"/>
        <v>389.98806000000002</v>
      </c>
      <c r="P53" s="1384">
        <f t="shared" si="33"/>
        <v>476.34255900000011</v>
      </c>
      <c r="Q53" s="1384">
        <f t="shared" si="33"/>
        <v>40.416944400000006</v>
      </c>
      <c r="R53" s="1384">
        <f t="shared" ref="R53:S53" si="34">R29*30</f>
        <v>234.85875000000001</v>
      </c>
      <c r="S53" s="1384">
        <f t="shared" si="34"/>
        <v>20.667570000000001</v>
      </c>
      <c r="T53" s="1384">
        <f t="shared" ref="T53:U53" si="35">T29*31</f>
        <v>187.3630948</v>
      </c>
      <c r="U53" s="1384">
        <f t="shared" si="35"/>
        <v>3.0219854000000002</v>
      </c>
      <c r="V53" s="17"/>
      <c r="W53" s="79"/>
      <c r="X53" s="77"/>
      <c r="BY53" s="619">
        <f>(0.05*1000000/325850)*30</f>
        <v>4.6033450974374714</v>
      </c>
      <c r="BZ53" s="710" t="s">
        <v>1332</v>
      </c>
    </row>
    <row r="54" spans="1:78">
      <c r="A54" s="1568"/>
      <c r="B54" s="730" t="s">
        <v>239</v>
      </c>
      <c r="C54" s="727" t="s">
        <v>1795</v>
      </c>
      <c r="D54" s="193"/>
      <c r="E54" s="193"/>
      <c r="F54" s="193"/>
      <c r="G54" s="193"/>
      <c r="H54" s="193"/>
      <c r="I54" s="193"/>
      <c r="J54" s="1384">
        <f t="shared" ref="J54:K54" si="36">J30*31</f>
        <v>8453.2866460000005</v>
      </c>
      <c r="K54" s="1384">
        <f t="shared" si="36"/>
        <v>1576.4971880000001</v>
      </c>
      <c r="L54" s="1384">
        <f t="shared" ref="L54:M54" si="37">L30*30</f>
        <v>12579.4431</v>
      </c>
      <c r="M54" s="1384">
        <f t="shared" si="37"/>
        <v>2380.8550500000001</v>
      </c>
      <c r="N54" s="1384">
        <f t="shared" ref="N54:Q54" si="38">N30*31</f>
        <v>3970.7875200000003</v>
      </c>
      <c r="O54" s="1384">
        <f t="shared" si="38"/>
        <v>694.88781600000004</v>
      </c>
      <c r="P54" s="1384">
        <f t="shared" si="38"/>
        <v>717.51050000000009</v>
      </c>
      <c r="Q54" s="1384">
        <f t="shared" si="38"/>
        <v>84.413000000000011</v>
      </c>
      <c r="R54" s="1384">
        <f t="shared" ref="R54:S54" si="39">R30*30</f>
        <v>278.39952</v>
      </c>
      <c r="S54" s="1384">
        <f t="shared" si="39"/>
        <v>21.566160000000004</v>
      </c>
      <c r="T54" s="1384">
        <f t="shared" ref="T54:U54" si="40">T30*31</f>
        <v>377.494936</v>
      </c>
      <c r="U54" s="1384">
        <f t="shared" si="40"/>
        <v>43.894760000000005</v>
      </c>
      <c r="V54" s="17"/>
      <c r="W54" s="17"/>
      <c r="X54" s="77"/>
    </row>
    <row r="55" spans="1:78">
      <c r="A55" s="1573" t="s">
        <v>1827</v>
      </c>
      <c r="B55" s="730" t="s">
        <v>233</v>
      </c>
      <c r="C55" s="727" t="s">
        <v>631</v>
      </c>
      <c r="D55" s="193"/>
      <c r="E55" s="193"/>
      <c r="F55" s="193"/>
      <c r="G55" s="193"/>
      <c r="H55" s="193"/>
      <c r="I55" s="193"/>
      <c r="J55" s="1384">
        <f t="shared" ref="J55:K55" si="41">J31*31</f>
        <v>2641.8736610000001</v>
      </c>
      <c r="K55" s="1384">
        <f t="shared" si="41"/>
        <v>582.61852600000009</v>
      </c>
      <c r="L55" s="1384">
        <f t="shared" ref="L55:M55" si="42">L31*30</f>
        <v>2610.7470480000002</v>
      </c>
      <c r="M55" s="1384">
        <f t="shared" si="42"/>
        <v>430.34292000000005</v>
      </c>
      <c r="N55" s="1384">
        <f t="shared" ref="N55:Q55" si="43">N31*31</f>
        <v>354.88913459999998</v>
      </c>
      <c r="O55" s="1384">
        <f t="shared" si="43"/>
        <v>55.307397600000009</v>
      </c>
      <c r="P55" s="1384">
        <f t="shared" si="43"/>
        <v>93.099097699999987</v>
      </c>
      <c r="Q55" s="1384">
        <f t="shared" si="43"/>
        <v>3.4609330000000003</v>
      </c>
      <c r="R55" s="1384">
        <f t="shared" ref="R55:S55" si="44">R31*30</f>
        <v>14.442791999999999</v>
      </c>
      <c r="S55" s="1384">
        <f t="shared" si="44"/>
        <v>0.41661900000000002</v>
      </c>
      <c r="T55" s="1384">
        <f t="shared" ref="T55:U55" si="45">T31*31</f>
        <v>33.9171434</v>
      </c>
      <c r="U55" s="1384">
        <f t="shared" si="45"/>
        <v>0.69218659999999999</v>
      </c>
      <c r="V55" s="17"/>
      <c r="W55" s="17"/>
      <c r="X55" s="77"/>
      <c r="BM55" s="710"/>
      <c r="BN55" s="710"/>
      <c r="BO55" s="710"/>
      <c r="BP55" s="875"/>
      <c r="BQ55" s="1576" t="s">
        <v>1202</v>
      </c>
      <c r="BR55" s="1576"/>
      <c r="BS55" s="1576" t="s">
        <v>1168</v>
      </c>
      <c r="BT55" s="1576"/>
    </row>
    <row r="56" spans="1:78">
      <c r="A56" s="1574"/>
      <c r="B56" s="730" t="s">
        <v>1159</v>
      </c>
      <c r="C56" s="727" t="s">
        <v>1160</v>
      </c>
      <c r="D56" s="193"/>
      <c r="E56" s="193"/>
      <c r="F56" s="193"/>
      <c r="G56" s="193"/>
      <c r="H56" s="193"/>
      <c r="I56" s="193"/>
      <c r="J56" s="1384">
        <f t="shared" ref="J56:K56" si="46">J32*31</f>
        <v>851.4992549000001</v>
      </c>
      <c r="K56" s="1384">
        <f t="shared" si="46"/>
        <v>101.87804970000001</v>
      </c>
      <c r="L56" s="1384">
        <f t="shared" ref="L56:M56" si="47">L32*30</f>
        <v>0</v>
      </c>
      <c r="M56" s="1384">
        <f t="shared" si="47"/>
        <v>0</v>
      </c>
      <c r="N56" s="1384">
        <f t="shared" ref="N56:Q56" si="48">N32*31</f>
        <v>0</v>
      </c>
      <c r="O56" s="1384">
        <f t="shared" si="48"/>
        <v>0</v>
      </c>
      <c r="P56" s="1384">
        <f t="shared" si="48"/>
        <v>0</v>
      </c>
      <c r="Q56" s="1384">
        <f t="shared" si="48"/>
        <v>0</v>
      </c>
      <c r="R56" s="1384">
        <f t="shared" ref="R56:S56" si="49">R32*30</f>
        <v>0</v>
      </c>
      <c r="S56" s="1384">
        <f t="shared" si="49"/>
        <v>0</v>
      </c>
      <c r="T56" s="1384">
        <f t="shared" ref="T56:U56" si="50">T32*31</f>
        <v>10.636037999999999</v>
      </c>
      <c r="U56" s="1384">
        <f t="shared" si="50"/>
        <v>1.8908512</v>
      </c>
      <c r="V56" s="17"/>
      <c r="W56" s="79"/>
      <c r="X56" s="77"/>
      <c r="BM56" s="710"/>
      <c r="BN56" s="710"/>
      <c r="BO56" s="126" t="s">
        <v>1169</v>
      </c>
      <c r="BP56" s="126" t="s">
        <v>1170</v>
      </c>
      <c r="BQ56" s="126" t="s">
        <v>29</v>
      </c>
      <c r="BR56" s="126" t="s">
        <v>28</v>
      </c>
      <c r="BS56" s="126" t="s">
        <v>29</v>
      </c>
      <c r="BT56" s="126" t="s">
        <v>28</v>
      </c>
    </row>
    <row r="57" spans="1:78">
      <c r="A57" s="1575"/>
      <c r="B57" s="874" t="s">
        <v>1161</v>
      </c>
      <c r="C57" s="1060" t="s">
        <v>1162</v>
      </c>
      <c r="D57" s="193"/>
      <c r="E57" s="193"/>
      <c r="F57" s="193"/>
      <c r="G57" s="193"/>
      <c r="H57" s="193"/>
      <c r="I57" s="193"/>
      <c r="J57" s="1384">
        <f t="shared" ref="J57:K57" si="51">J33*31</f>
        <v>2422.9907520000002</v>
      </c>
      <c r="K57" s="1384">
        <f t="shared" si="51"/>
        <v>227.155383</v>
      </c>
      <c r="L57" s="1384">
        <f t="shared" ref="L57:M57" si="52">L33*30</f>
        <v>0</v>
      </c>
      <c r="M57" s="1384">
        <f t="shared" si="52"/>
        <v>0</v>
      </c>
      <c r="N57" s="1384">
        <f t="shared" ref="N57:Q57" si="53">N33*31</f>
        <v>0</v>
      </c>
      <c r="O57" s="1384">
        <f t="shared" si="53"/>
        <v>0</v>
      </c>
      <c r="P57" s="1384">
        <f t="shared" si="53"/>
        <v>0</v>
      </c>
      <c r="Q57" s="1384">
        <f t="shared" si="53"/>
        <v>0</v>
      </c>
      <c r="R57" s="1384">
        <f t="shared" ref="R57:S57" si="54">R33*30</f>
        <v>0</v>
      </c>
      <c r="S57" s="1384">
        <f t="shared" si="54"/>
        <v>0</v>
      </c>
      <c r="T57" s="1384">
        <f t="shared" ref="T57:U57" si="55">T33*31</f>
        <v>2.4310944000000001</v>
      </c>
      <c r="U57" s="1384">
        <f t="shared" si="55"/>
        <v>0.26168030000000003</v>
      </c>
      <c r="V57" s="17"/>
      <c r="W57" s="17"/>
      <c r="X57" s="77"/>
      <c r="BM57" s="1577" t="s">
        <v>1326</v>
      </c>
      <c r="BN57" s="1028">
        <v>41774</v>
      </c>
      <c r="BO57" s="485">
        <v>4.5</v>
      </c>
      <c r="BP57" s="877">
        <f>BO57*1.983*31</f>
        <v>276.62850000000003</v>
      </c>
      <c r="BQ57" s="50">
        <v>1327</v>
      </c>
      <c r="BR57" s="50">
        <v>14</v>
      </c>
      <c r="BS57" s="1026">
        <f t="shared" ref="BS57:BS62" si="56">BP57*BQ57*0.002723</f>
        <v>999.57523109850024</v>
      </c>
      <c r="BT57" s="247">
        <f t="shared" ref="BT57:BT62" si="57">BP57*BR57*0.002723</f>
        <v>10.545631677000001</v>
      </c>
    </row>
    <row r="58" spans="1:78" ht="12.75" customHeight="1">
      <c r="A58" s="1566" t="s">
        <v>1828</v>
      </c>
      <c r="B58" s="730" t="s">
        <v>178</v>
      </c>
      <c r="C58" s="727" t="s">
        <v>1641</v>
      </c>
      <c r="D58" s="193"/>
      <c r="E58" s="193"/>
      <c r="F58" s="193"/>
      <c r="G58" s="193"/>
      <c r="H58" s="193"/>
      <c r="I58" s="193"/>
      <c r="J58" s="1384">
        <f t="shared" ref="J58:K58" si="58">J34*31</f>
        <v>18319.478086000003</v>
      </c>
      <c r="K58" s="1384">
        <f t="shared" si="58"/>
        <v>2403.9134140000001</v>
      </c>
      <c r="L58" s="1384">
        <f t="shared" ref="L58:M58" si="59">L34*30</f>
        <v>11959.415999999999</v>
      </c>
      <c r="M58" s="1384">
        <f t="shared" si="59"/>
        <v>1927.884</v>
      </c>
      <c r="N58" s="1384">
        <f t="shared" ref="N58:Q58" si="60">N34*31</f>
        <v>2267.3331800000001</v>
      </c>
      <c r="O58" s="1384">
        <f t="shared" si="60"/>
        <v>387.45567000000005</v>
      </c>
      <c r="P58" s="1384">
        <f t="shared" si="60"/>
        <v>1709.3632500000001</v>
      </c>
      <c r="Q58" s="1384">
        <f t="shared" si="60"/>
        <v>189.92925000000002</v>
      </c>
      <c r="R58" s="1384">
        <f t="shared" ref="R58:S58" si="61">R34*30</f>
        <v>365.56274999999999</v>
      </c>
      <c r="S58" s="1384">
        <f t="shared" si="61"/>
        <v>22.464750000000002</v>
      </c>
      <c r="T58" s="1384">
        <f t="shared" ref="T58:U58" si="62">T34*31</f>
        <v>427.12977999999998</v>
      </c>
      <c r="U58" s="1384">
        <f t="shared" si="62"/>
        <v>19.41499</v>
      </c>
      <c r="V58" s="17"/>
      <c r="W58" s="17"/>
      <c r="X58" s="77"/>
      <c r="BM58" s="1577"/>
      <c r="BN58" s="1028">
        <v>41802</v>
      </c>
      <c r="BO58" s="485">
        <v>15</v>
      </c>
      <c r="BP58" s="997">
        <f>BO58*1.983*30</f>
        <v>892.35</v>
      </c>
      <c r="BQ58" s="50">
        <v>1173</v>
      </c>
      <c r="BR58" s="50">
        <v>24</v>
      </c>
      <c r="BS58" s="1026">
        <f t="shared" si="56"/>
        <v>2850.2363956500003</v>
      </c>
      <c r="BT58" s="247">
        <f t="shared" si="57"/>
        <v>58.316857200000008</v>
      </c>
    </row>
    <row r="59" spans="1:78">
      <c r="A59" s="1567"/>
      <c r="B59" s="730" t="s">
        <v>226</v>
      </c>
      <c r="C59" s="727" t="s">
        <v>1797</v>
      </c>
      <c r="D59" s="193"/>
      <c r="E59" s="193"/>
      <c r="F59" s="193"/>
      <c r="G59" s="193"/>
      <c r="H59" s="193"/>
      <c r="I59" s="193"/>
      <c r="J59" s="1384">
        <f t="shared" ref="J59:K59" si="63">J35*31</f>
        <v>26252.443000000003</v>
      </c>
      <c r="K59" s="1384">
        <f t="shared" si="63"/>
        <v>2827.8355000000001</v>
      </c>
      <c r="L59" s="1384">
        <f t="shared" ref="L59:M59" si="64">L35*30</f>
        <v>13518.061200000002</v>
      </c>
      <c r="M59" s="1384">
        <f t="shared" si="64"/>
        <v>2333.0664000000002</v>
      </c>
      <c r="N59" s="1384">
        <f t="shared" ref="N59:Q59" si="65">N35*31</f>
        <v>3702.3541800000003</v>
      </c>
      <c r="O59" s="1384">
        <f t="shared" si="65"/>
        <v>516.60756000000003</v>
      </c>
      <c r="P59" s="1384">
        <f t="shared" si="65"/>
        <v>1725.4017200000001</v>
      </c>
      <c r="Q59" s="1384">
        <f t="shared" si="65"/>
        <v>183.17621000000003</v>
      </c>
      <c r="R59" s="1384">
        <f t="shared" ref="R59:S59" si="66">R35*30</f>
        <v>557.12580000000003</v>
      </c>
      <c r="S59" s="1384">
        <f t="shared" si="66"/>
        <v>25.160520000000002</v>
      </c>
      <c r="T59" s="1384">
        <f t="shared" ref="T59:U59" si="67">T35*31</f>
        <v>690.83599200000003</v>
      </c>
      <c r="U59" s="1384">
        <f t="shared" si="67"/>
        <v>54.699624</v>
      </c>
      <c r="V59" s="17"/>
      <c r="W59" s="79"/>
      <c r="X59" s="77"/>
      <c r="BM59" s="1577"/>
      <c r="BN59" s="1028">
        <v>41837</v>
      </c>
      <c r="BO59" s="485">
        <v>1.1000000000000001</v>
      </c>
      <c r="BP59" s="997">
        <f>BO59*1.983*31</f>
        <v>67.620300000000015</v>
      </c>
      <c r="BQ59" s="50">
        <v>917</v>
      </c>
      <c r="BR59" s="50">
        <v>30</v>
      </c>
      <c r="BS59" s="247">
        <f t="shared" si="56"/>
        <v>168.84728051730005</v>
      </c>
      <c r="BT59" s="247">
        <f t="shared" si="57"/>
        <v>5.5239023070000011</v>
      </c>
    </row>
    <row r="60" spans="1:78">
      <c r="A60" s="1567"/>
      <c r="B60" s="730" t="s">
        <v>227</v>
      </c>
      <c r="C60" s="727" t="s">
        <v>886</v>
      </c>
      <c r="D60" s="193"/>
      <c r="E60" s="193"/>
      <c r="F60" s="193"/>
      <c r="G60" s="193"/>
      <c r="H60" s="193"/>
      <c r="I60" s="193"/>
      <c r="J60" s="1384">
        <f t="shared" ref="J60:K60" si="68">J36*31</f>
        <v>22645.897574999999</v>
      </c>
      <c r="K60" s="1384">
        <f t="shared" si="68"/>
        <v>2747.6431499999999</v>
      </c>
      <c r="L60" s="1384">
        <f t="shared" ref="L60:M60" si="69">L36*30</f>
        <v>14320.66545</v>
      </c>
      <c r="M60" s="1384">
        <f t="shared" si="69"/>
        <v>2167.6441500000001</v>
      </c>
      <c r="N60" s="1384">
        <f t="shared" ref="N60:Q60" si="70">N36*31</f>
        <v>4239.5585119999996</v>
      </c>
      <c r="O60" s="1384">
        <f t="shared" si="70"/>
        <v>624.31854799999996</v>
      </c>
      <c r="P60" s="1384">
        <f t="shared" si="70"/>
        <v>2844.8869260000001</v>
      </c>
      <c r="Q60" s="1384">
        <f t="shared" si="70"/>
        <v>311.48397000000006</v>
      </c>
      <c r="R60" s="1384">
        <f t="shared" ref="R60:S60" si="71">R36*30</f>
        <v>614.14542000000006</v>
      </c>
      <c r="S60" s="1384">
        <f t="shared" si="71"/>
        <v>30.878820000000005</v>
      </c>
      <c r="T60" s="1384">
        <f t="shared" ref="T60:U60" si="72">T36*31</f>
        <v>893.42719199999999</v>
      </c>
      <c r="U60" s="1384">
        <f t="shared" si="72"/>
        <v>40.518239999999999</v>
      </c>
      <c r="V60" s="17"/>
      <c r="W60" s="79"/>
      <c r="X60" s="77"/>
      <c r="BM60" s="1577"/>
      <c r="BN60" s="1028">
        <v>41865</v>
      </c>
      <c r="BO60" s="485">
        <v>1.3</v>
      </c>
      <c r="BP60" s="997">
        <f>BO60*1.983*31</f>
        <v>79.914900000000003</v>
      </c>
      <c r="BQ60" s="50">
        <v>788</v>
      </c>
      <c r="BR60" s="50">
        <v>31</v>
      </c>
      <c r="BS60" s="247">
        <f t="shared" si="56"/>
        <v>171.47531888760003</v>
      </c>
      <c r="BT60" s="247">
        <f t="shared" si="57"/>
        <v>6.7458564537000001</v>
      </c>
    </row>
    <row r="61" spans="1:78">
      <c r="A61" s="1567"/>
      <c r="B61" s="730" t="s">
        <v>228</v>
      </c>
      <c r="C61" s="727" t="s">
        <v>1798</v>
      </c>
      <c r="D61" s="193"/>
      <c r="E61" s="193"/>
      <c r="F61" s="193"/>
      <c r="G61" s="193"/>
      <c r="H61" s="193"/>
      <c r="I61" s="193"/>
      <c r="J61" s="1384">
        <f t="shared" ref="J61:K61" si="73">J37*31</f>
        <v>25859.922549999999</v>
      </c>
      <c r="K61" s="1384">
        <f t="shared" si="73"/>
        <v>4317.7249499999998</v>
      </c>
      <c r="L61" s="1384">
        <f t="shared" ref="L61:M61" si="74">L37*30</f>
        <v>13813.779</v>
      </c>
      <c r="M61" s="1384">
        <f t="shared" si="74"/>
        <v>2072.0668500000002</v>
      </c>
      <c r="N61" s="1384">
        <f t="shared" ref="N61:Q61" si="75">N37*31</f>
        <v>5524.8308500000003</v>
      </c>
      <c r="O61" s="1384">
        <f t="shared" si="75"/>
        <v>709.06920000000002</v>
      </c>
      <c r="P61" s="1384">
        <f t="shared" si="75"/>
        <v>3126.6575200000002</v>
      </c>
      <c r="Q61" s="1384">
        <f t="shared" si="75"/>
        <v>297.13376</v>
      </c>
      <c r="R61" s="1384">
        <f t="shared" ref="R61:S61" si="76">R37*30</f>
        <v>1072.42632</v>
      </c>
      <c r="S61" s="1384">
        <f t="shared" si="76"/>
        <v>37.250640000000004</v>
      </c>
      <c r="T61" s="1384">
        <f t="shared" ref="T61:U61" si="77">T37*31</f>
        <v>1292.2786170000002</v>
      </c>
      <c r="U61" s="1384">
        <f t="shared" si="77"/>
        <v>88.886889000000011</v>
      </c>
      <c r="V61" s="17"/>
      <c r="W61" s="79"/>
      <c r="X61" s="77"/>
      <c r="BM61" s="1577"/>
      <c r="BN61" s="1028">
        <v>41898</v>
      </c>
      <c r="BO61" s="485">
        <v>0.9</v>
      </c>
      <c r="BP61" s="997">
        <f>BO61*1.983*30</f>
        <v>53.541000000000004</v>
      </c>
      <c r="BQ61" s="50">
        <v>856</v>
      </c>
      <c r="BR61" s="50">
        <v>17</v>
      </c>
      <c r="BS61" s="247">
        <f t="shared" si="56"/>
        <v>124.79807440800002</v>
      </c>
      <c r="BT61" s="247">
        <f t="shared" si="57"/>
        <v>2.4784664310000006</v>
      </c>
    </row>
    <row r="62" spans="1:78">
      <c r="A62" s="1567"/>
      <c r="B62" s="730" t="s">
        <v>229</v>
      </c>
      <c r="C62" s="727" t="s">
        <v>1799</v>
      </c>
      <c r="D62" s="193"/>
      <c r="E62" s="193"/>
      <c r="F62" s="193"/>
      <c r="G62" s="193"/>
      <c r="H62" s="193"/>
      <c r="I62" s="193"/>
      <c r="J62" s="1384">
        <f t="shared" ref="J62:K62" si="78">J38*31</f>
        <v>30584.518160000003</v>
      </c>
      <c r="K62" s="1384">
        <f t="shared" si="78"/>
        <v>3308.9896000000003</v>
      </c>
      <c r="L62" s="1384">
        <f t="shared" ref="L62:M62" si="79">L38*30</f>
        <v>15954.057000000001</v>
      </c>
      <c r="M62" s="1384">
        <f t="shared" si="79"/>
        <v>7756.4655000000002</v>
      </c>
      <c r="N62" s="1384">
        <f t="shared" ref="N62:Q62" si="80">N38*31</f>
        <v>5378.7963600000003</v>
      </c>
      <c r="O62" s="1384">
        <f t="shared" si="80"/>
        <v>759.7170000000001</v>
      </c>
      <c r="P62" s="1384">
        <f t="shared" si="80"/>
        <v>2917.3132800000003</v>
      </c>
      <c r="Q62" s="1384">
        <f t="shared" si="80"/>
        <v>324.14591999999999</v>
      </c>
      <c r="R62" s="1384">
        <f t="shared" ref="R62:S62" si="81">R38*30</f>
        <v>1114.1699100000001</v>
      </c>
      <c r="S62" s="1384">
        <f t="shared" si="81"/>
        <v>33.819660000000006</v>
      </c>
      <c r="T62" s="1384">
        <f t="shared" ref="T62:U62" si="82">T38*31</f>
        <v>1387.74972</v>
      </c>
      <c r="U62" s="1384">
        <f t="shared" si="82"/>
        <v>35.453460000000007</v>
      </c>
      <c r="V62" s="17"/>
      <c r="W62" s="79"/>
      <c r="X62" s="77"/>
      <c r="BM62" s="1577"/>
      <c r="BN62" s="1028">
        <v>41926</v>
      </c>
      <c r="BO62" s="485">
        <v>1.6</v>
      </c>
      <c r="BP62" s="997">
        <f>BO62*1.983*31</f>
        <v>98.356800000000021</v>
      </c>
      <c r="BQ62" s="50">
        <v>961</v>
      </c>
      <c r="BR62" s="50">
        <v>5</v>
      </c>
      <c r="BS62" s="247">
        <f t="shared" si="56"/>
        <v>257.38036931040006</v>
      </c>
      <c r="BT62" s="247">
        <f t="shared" si="57"/>
        <v>1.3391278320000004</v>
      </c>
    </row>
    <row r="63" spans="1:78">
      <c r="A63" s="1568"/>
      <c r="B63" s="730" t="s">
        <v>230</v>
      </c>
      <c r="C63" s="727" t="s">
        <v>889</v>
      </c>
      <c r="D63" s="193"/>
      <c r="E63" s="193"/>
      <c r="F63" s="193"/>
      <c r="G63" s="193"/>
      <c r="H63" s="193"/>
      <c r="I63" s="193"/>
      <c r="J63" s="1384">
        <f t="shared" ref="J63:K63" si="83">J39*31</f>
        <v>28664.122410000004</v>
      </c>
      <c r="K63" s="1384">
        <f t="shared" si="83"/>
        <v>3775.79349</v>
      </c>
      <c r="L63" s="1384">
        <f t="shared" ref="L63:M63" si="84">L39*30</f>
        <v>21625.466940000002</v>
      </c>
      <c r="M63" s="1384">
        <f t="shared" si="84"/>
        <v>3697.8612300000004</v>
      </c>
      <c r="N63" s="1384">
        <f t="shared" ref="N63:Q63" si="85">N39*31</f>
        <v>5793.1797770000003</v>
      </c>
      <c r="O63" s="1384">
        <f t="shared" si="85"/>
        <v>852.4024740000001</v>
      </c>
      <c r="P63" s="1384">
        <f t="shared" si="85"/>
        <v>2533.7406080000001</v>
      </c>
      <c r="Q63" s="1384">
        <f t="shared" si="85"/>
        <v>254.50519499999999</v>
      </c>
      <c r="R63" s="1384">
        <f t="shared" ref="R63:S63" si="86">R39*30</f>
        <v>815.9197200000001</v>
      </c>
      <c r="S63" s="1384">
        <f t="shared" si="86"/>
        <v>26.957699999999999</v>
      </c>
      <c r="T63" s="1384">
        <f t="shared" ref="T63:U63" si="87">T39*31</f>
        <v>1667.494402</v>
      </c>
      <c r="U63" s="1384">
        <f t="shared" si="87"/>
        <v>37.310546000000002</v>
      </c>
      <c r="V63" s="17"/>
      <c r="W63" s="17"/>
      <c r="X63" s="77"/>
      <c r="BM63" s="710"/>
      <c r="BN63" s="710"/>
      <c r="BO63" s="710"/>
      <c r="BP63" s="1039">
        <f>SUM(BP57:BP62)</f>
        <v>1468.4115000000002</v>
      </c>
      <c r="BQ63" s="1576" t="s">
        <v>1328</v>
      </c>
      <c r="BR63" s="1576"/>
      <c r="BS63" s="1027">
        <f>SUM(BS57:BS62)</f>
        <v>4572.3126698718006</v>
      </c>
      <c r="BT63" s="1027">
        <f>SUM(BT57:BT62)</f>
        <v>84.949841900700008</v>
      </c>
    </row>
    <row r="64" spans="1:78">
      <c r="A64" s="732" t="s">
        <v>1829</v>
      </c>
      <c r="B64" s="729" t="s">
        <v>456</v>
      </c>
      <c r="C64" s="726" t="s">
        <v>1800</v>
      </c>
      <c r="D64" s="193"/>
      <c r="E64" s="193"/>
      <c r="F64" s="193"/>
      <c r="G64" s="193"/>
      <c r="H64" s="193"/>
      <c r="I64" s="193"/>
      <c r="J64" s="1384">
        <f t="shared" ref="J64:K64" si="88">J40*31</f>
        <v>15677.013534000002</v>
      </c>
      <c r="K64" s="1384">
        <f t="shared" si="88"/>
        <v>454.310766</v>
      </c>
      <c r="L64" s="1384">
        <f t="shared" ref="L64:M64" si="89">L40*30</f>
        <v>1157.343075</v>
      </c>
      <c r="M64" s="1384">
        <f t="shared" si="89"/>
        <v>42.887250000000002</v>
      </c>
      <c r="N64" s="1384">
        <f t="shared" ref="N64:Q64" si="90">N40*31</f>
        <v>950.2540236000001</v>
      </c>
      <c r="O64" s="1384">
        <f t="shared" si="90"/>
        <v>42.333119500000009</v>
      </c>
      <c r="P64" s="1384">
        <f t="shared" si="90"/>
        <v>503.69237100000004</v>
      </c>
      <c r="Q64" s="1384">
        <f t="shared" si="90"/>
        <v>26.404386400000003</v>
      </c>
      <c r="R64" s="1384">
        <f t="shared" ref="R64:S64" si="91">R40*30</f>
        <v>27.129248999999998</v>
      </c>
      <c r="S64" s="1384">
        <f t="shared" si="91"/>
        <v>0.31859100000000001</v>
      </c>
      <c r="T64" s="1384">
        <f t="shared" ref="T64:U64" si="92">T40*31</f>
        <v>228.90273210000001</v>
      </c>
      <c r="U64" s="1384">
        <f t="shared" si="92"/>
        <v>0.97074950000000004</v>
      </c>
      <c r="V64" s="17"/>
      <c r="W64" s="17"/>
      <c r="X64" s="77"/>
    </row>
    <row r="65" spans="1:72" ht="14.25" customHeight="1">
      <c r="A65" s="1566" t="s">
        <v>1830</v>
      </c>
      <c r="B65" s="730" t="s">
        <v>234</v>
      </c>
      <c r="C65" s="727" t="s">
        <v>406</v>
      </c>
      <c r="D65" s="193"/>
      <c r="E65" s="193"/>
      <c r="F65" s="193"/>
      <c r="G65" s="193"/>
      <c r="H65" s="193"/>
      <c r="I65" s="193"/>
      <c r="J65" s="1384">
        <f t="shared" ref="J65:K65" si="93">J41*31</f>
        <v>513.88946139999996</v>
      </c>
      <c r="K65" s="1384">
        <f t="shared" si="93"/>
        <v>42.223382600000001</v>
      </c>
      <c r="L65" s="1384">
        <f t="shared" ref="L65:M65" si="94">L41*30</f>
        <v>130.89188700000003</v>
      </c>
      <c r="M65" s="1384">
        <f t="shared" si="94"/>
        <v>11.207868000000003</v>
      </c>
      <c r="N65" s="1384">
        <f t="shared" ref="N65:Q65" si="95">N41*31</f>
        <v>53.610696300000001</v>
      </c>
      <c r="O65" s="1384">
        <f t="shared" si="95"/>
        <v>7.0991333000000001</v>
      </c>
      <c r="P65" s="1384">
        <f t="shared" si="95"/>
        <v>23.804466000000001</v>
      </c>
      <c r="Q65" s="1384">
        <f t="shared" si="95"/>
        <v>2.2285032</v>
      </c>
      <c r="R65" s="1384">
        <f t="shared" ref="R65:S65" si="96">R41*30</f>
        <v>4.4275980000000006</v>
      </c>
      <c r="S65" s="1384">
        <f t="shared" si="96"/>
        <v>1.2253499999999999</v>
      </c>
      <c r="T65" s="1384">
        <f t="shared" ref="T65:U65" si="97">T41*31</f>
        <v>53.889259200000012</v>
      </c>
      <c r="U65" s="1384">
        <f t="shared" si="97"/>
        <v>1.0804864000000001</v>
      </c>
      <c r="V65" s="17"/>
      <c r="W65" s="79"/>
      <c r="X65" s="77"/>
    </row>
    <row r="66" spans="1:72">
      <c r="A66" s="1567"/>
      <c r="B66" s="730" t="s">
        <v>235</v>
      </c>
      <c r="C66" s="727" t="s">
        <v>1793</v>
      </c>
      <c r="D66" s="193"/>
      <c r="E66" s="193"/>
      <c r="F66" s="193"/>
      <c r="G66" s="193"/>
      <c r="H66" s="193"/>
      <c r="I66" s="193"/>
      <c r="J66" s="1384">
        <f t="shared" ref="J66:K66" si="98">J42*31</f>
        <v>11468.687832</v>
      </c>
      <c r="K66" s="1384">
        <f t="shared" si="98"/>
        <v>1695.6883439999999</v>
      </c>
      <c r="L66" s="1384">
        <f t="shared" ref="L66:M66" si="99">L42*30</f>
        <v>1353.8156939999999</v>
      </c>
      <c r="M66" s="1384">
        <f t="shared" si="99"/>
        <v>621.10540800000001</v>
      </c>
      <c r="N66" s="1384">
        <f t="shared" ref="N66:Q66" si="100">N42*31</f>
        <v>278.28433710000002</v>
      </c>
      <c r="O66" s="1384">
        <f t="shared" si="100"/>
        <v>51.534136500000002</v>
      </c>
      <c r="P66" s="1384">
        <f t="shared" si="100"/>
        <v>536.10696300000006</v>
      </c>
      <c r="Q66" s="1384">
        <f t="shared" si="100"/>
        <v>96.129524400000008</v>
      </c>
      <c r="R66" s="1384">
        <f t="shared" ref="R66:S66" si="101">R42*30</f>
        <v>5.3425260000000003</v>
      </c>
      <c r="S66" s="1384">
        <f t="shared" si="101"/>
        <v>0.49014000000000008</v>
      </c>
      <c r="T66" s="1384">
        <f t="shared" ref="T66:U66" si="102">T42*31</f>
        <v>37.057307000000002</v>
      </c>
      <c r="U66" s="1384">
        <f t="shared" si="102"/>
        <v>1.097369</v>
      </c>
      <c r="V66" s="17"/>
      <c r="W66" s="17"/>
      <c r="X66" s="77"/>
      <c r="BO66" s="710"/>
      <c r="BP66" s="875"/>
      <c r="BQ66" s="1576" t="s">
        <v>1202</v>
      </c>
      <c r="BR66" s="1576"/>
      <c r="BS66" s="1576" t="s">
        <v>1168</v>
      </c>
      <c r="BT66" s="1576"/>
    </row>
    <row r="67" spans="1:72">
      <c r="A67" s="1567"/>
      <c r="B67" s="731" t="s">
        <v>453</v>
      </c>
      <c r="C67" s="728" t="s">
        <v>1801</v>
      </c>
      <c r="D67" s="193"/>
      <c r="E67" s="193"/>
      <c r="F67" s="193"/>
      <c r="G67" s="193"/>
      <c r="H67" s="193"/>
      <c r="I67" s="193"/>
      <c r="J67" s="1384">
        <f t="shared" ref="J67:K67" si="103">J43*31</f>
        <v>355.53911470000003</v>
      </c>
      <c r="K67" s="1384">
        <f t="shared" si="103"/>
        <v>33.798965200000005</v>
      </c>
      <c r="L67" s="1384">
        <f t="shared" ref="L67:M67" si="104">L43*30</f>
        <v>254.93815200000003</v>
      </c>
      <c r="M67" s="1384">
        <f t="shared" si="104"/>
        <v>18.429264000000003</v>
      </c>
      <c r="N67" s="1384">
        <f t="shared" ref="N67:Q67" si="105">N43*31</f>
        <v>146.06825520000001</v>
      </c>
      <c r="O67" s="1384">
        <f t="shared" si="105"/>
        <v>24.344709199999997</v>
      </c>
      <c r="P67" s="1384">
        <f t="shared" si="105"/>
        <v>43.489577600000004</v>
      </c>
      <c r="Q67" s="1384">
        <f t="shared" si="105"/>
        <v>4.8621888000000002</v>
      </c>
      <c r="R67" s="1384">
        <f t="shared" ref="R67:S67" si="106">R43*30</f>
        <v>16.395182999999999</v>
      </c>
      <c r="S67" s="1384">
        <f t="shared" si="106"/>
        <v>0.80873100000000009</v>
      </c>
      <c r="T67" s="1384">
        <f t="shared" ref="T67:U67" si="107">T43*31</f>
        <v>23.635639999999999</v>
      </c>
      <c r="U67" s="1384">
        <f t="shared" si="107"/>
        <v>1.2830776000000002</v>
      </c>
      <c r="V67" s="17"/>
      <c r="W67" s="17"/>
      <c r="X67" s="77"/>
      <c r="BO67" s="126" t="s">
        <v>1169</v>
      </c>
      <c r="BP67" s="126" t="s">
        <v>1170</v>
      </c>
      <c r="BQ67" s="126" t="s">
        <v>29</v>
      </c>
      <c r="BR67" s="126" t="s">
        <v>28</v>
      </c>
      <c r="BS67" s="126" t="s">
        <v>29</v>
      </c>
      <c r="BT67" s="126" t="s">
        <v>28</v>
      </c>
    </row>
    <row r="68" spans="1:72" ht="13.75" customHeight="1">
      <c r="A68" s="1567"/>
      <c r="B68" s="731" t="s">
        <v>1163</v>
      </c>
      <c r="C68" s="728" t="s">
        <v>1802</v>
      </c>
      <c r="D68" s="193"/>
      <c r="E68" s="193"/>
      <c r="F68" s="193"/>
      <c r="G68" s="193"/>
      <c r="H68" s="193"/>
      <c r="I68" s="193"/>
      <c r="J68" s="1384">
        <f t="shared" ref="J68:K68" si="108">J44*31</f>
        <v>0</v>
      </c>
      <c r="K68" s="1384">
        <f t="shared" si="108"/>
        <v>0</v>
      </c>
      <c r="L68" s="1384">
        <f t="shared" ref="L68:M68" si="109">L44*30</f>
        <v>303.053562</v>
      </c>
      <c r="M68" s="1384">
        <f t="shared" si="109"/>
        <v>10.145898000000001</v>
      </c>
      <c r="N68" s="1384">
        <f t="shared" ref="N68:Q68" si="110">N44*31</f>
        <v>0</v>
      </c>
      <c r="O68" s="1384">
        <f t="shared" si="110"/>
        <v>0</v>
      </c>
      <c r="P68" s="1384">
        <f t="shared" si="110"/>
        <v>0</v>
      </c>
      <c r="Q68" s="1384">
        <f t="shared" si="110"/>
        <v>0</v>
      </c>
      <c r="R68" s="1384">
        <f t="shared" ref="R68:S68" si="111">R44*30</f>
        <v>0</v>
      </c>
      <c r="S68" s="1384">
        <f t="shared" si="111"/>
        <v>0</v>
      </c>
      <c r="T68" s="1384">
        <f t="shared" ref="T68:U68" si="112">T44*31</f>
        <v>34.592447399999998</v>
      </c>
      <c r="U68" s="1384">
        <f t="shared" si="112"/>
        <v>5.0647800000000007E-2</v>
      </c>
      <c r="V68" s="17"/>
      <c r="W68" s="79"/>
      <c r="X68" s="77"/>
      <c r="BM68" s="1577" t="s">
        <v>1326</v>
      </c>
      <c r="BN68" s="1032">
        <v>41361</v>
      </c>
      <c r="BO68" s="485">
        <v>1.4</v>
      </c>
      <c r="BP68" s="877">
        <f>BO68*1.983*31</f>
        <v>86.06219999999999</v>
      </c>
      <c r="BQ68" s="880">
        <v>1134</v>
      </c>
      <c r="BR68" s="880">
        <v>5</v>
      </c>
      <c r="BS68" s="1026">
        <f>BP68*BQ68*0.002723</f>
        <v>265.74991826040002</v>
      </c>
      <c r="BT68" s="247">
        <f>BP68*BR68*0.002723</f>
        <v>1.1717368529999999</v>
      </c>
    </row>
    <row r="69" spans="1:72">
      <c r="A69" s="1567"/>
      <c r="B69" s="731" t="s">
        <v>1165</v>
      </c>
      <c r="C69" s="728" t="s">
        <v>1166</v>
      </c>
      <c r="D69" s="193"/>
      <c r="E69" s="193"/>
      <c r="F69" s="193"/>
      <c r="G69" s="193"/>
      <c r="H69" s="193"/>
      <c r="I69" s="193"/>
      <c r="J69" s="1384">
        <f t="shared" ref="J69:K69" si="113">J45*31</f>
        <v>0</v>
      </c>
      <c r="K69" s="1384">
        <f t="shared" si="113"/>
        <v>0</v>
      </c>
      <c r="L69" s="1384">
        <f t="shared" ref="L69:M69" si="114">L45*30</f>
        <v>1418.7102300000001</v>
      </c>
      <c r="M69" s="1384">
        <f t="shared" si="114"/>
        <v>64.330875000000006</v>
      </c>
      <c r="N69" s="1384">
        <f t="shared" ref="N69:Q69" si="115">N45*31</f>
        <v>0</v>
      </c>
      <c r="O69" s="1384">
        <f t="shared" si="115"/>
        <v>0</v>
      </c>
      <c r="P69" s="1384">
        <f t="shared" si="115"/>
        <v>0</v>
      </c>
      <c r="Q69" s="1384">
        <f t="shared" si="115"/>
        <v>0</v>
      </c>
      <c r="R69" s="1384">
        <f t="shared" ref="R69:S69" si="116">R45*30</f>
        <v>0</v>
      </c>
      <c r="S69" s="1384">
        <f t="shared" si="116"/>
        <v>0</v>
      </c>
      <c r="T69" s="1384">
        <f t="shared" ref="T69:U69" si="117">T45*31</f>
        <v>1025.1621198</v>
      </c>
      <c r="U69" s="1384">
        <f t="shared" si="117"/>
        <v>39.201397200000002</v>
      </c>
      <c r="V69" s="17"/>
      <c r="W69" s="17"/>
      <c r="X69" s="27"/>
      <c r="BM69" s="1577"/>
      <c r="BN69" s="1036">
        <v>41389</v>
      </c>
      <c r="BO69" s="485">
        <v>1.93</v>
      </c>
      <c r="BP69" s="877">
        <f t="shared" ref="BP69:BP76" si="118">BO69*1.983*31</f>
        <v>118.64288999999999</v>
      </c>
      <c r="BQ69" s="880">
        <v>1522</v>
      </c>
      <c r="BR69" s="880">
        <v>21</v>
      </c>
      <c r="BS69" s="1026">
        <f t="shared" ref="BS69:BS76" si="119">BP69*BQ69*0.002723</f>
        <v>491.70430517334</v>
      </c>
      <c r="BT69" s="247">
        <f t="shared" ref="BT69:BT76" si="120">BP69*BR69*0.002723</f>
        <v>6.7843563788700001</v>
      </c>
    </row>
    <row r="70" spans="1:72">
      <c r="A70" s="1568"/>
      <c r="B70" s="729" t="s">
        <v>452</v>
      </c>
      <c r="C70" s="726" t="s">
        <v>454</v>
      </c>
      <c r="D70" s="193"/>
      <c r="E70" s="193"/>
      <c r="F70" s="193"/>
      <c r="G70" s="193"/>
      <c r="H70" s="193"/>
      <c r="I70" s="193"/>
      <c r="J70" s="1384">
        <f t="shared" ref="J70:K70" si="121">J46*31</f>
        <v>1561.1846697999999</v>
      </c>
      <c r="K70" s="1384">
        <f t="shared" si="121"/>
        <v>120.60085310000001</v>
      </c>
      <c r="L70" s="1384">
        <f t="shared" ref="L70:M70" si="122">L46*30</f>
        <v>1168.314042</v>
      </c>
      <c r="M70" s="1384">
        <f t="shared" si="122"/>
        <v>136.291596</v>
      </c>
      <c r="N70" s="1384">
        <f t="shared" ref="N70:Q70" si="123">N46*31</f>
        <v>643.86015750000001</v>
      </c>
      <c r="O70" s="1384">
        <f t="shared" si="123"/>
        <v>72.17311500000001</v>
      </c>
      <c r="P70" s="1384">
        <f t="shared" si="123"/>
        <v>874.22323449999999</v>
      </c>
      <c r="Q70" s="1384">
        <f t="shared" si="123"/>
        <v>80.783241000000004</v>
      </c>
      <c r="R70" s="1384">
        <f t="shared" ref="R70:S70" si="124">R46*30</f>
        <v>155.67663300000001</v>
      </c>
      <c r="S70" s="1384">
        <f t="shared" si="124"/>
        <v>13.470681000000001</v>
      </c>
      <c r="T70" s="1384">
        <f t="shared" ref="T70:U70" si="125">T46*31</f>
        <v>1140.0144476</v>
      </c>
      <c r="U70" s="1384">
        <f t="shared" si="125"/>
        <v>52.606181599999999</v>
      </c>
      <c r="V70" s="17"/>
      <c r="W70" s="79"/>
      <c r="X70" s="77"/>
      <c r="BM70" s="1577"/>
      <c r="BN70" s="1036">
        <v>41415</v>
      </c>
      <c r="BO70" s="485">
        <v>1.1499999999999999</v>
      </c>
      <c r="BP70" s="877">
        <f t="shared" si="118"/>
        <v>70.693950000000001</v>
      </c>
      <c r="BQ70" s="880">
        <v>791</v>
      </c>
      <c r="BR70" s="880">
        <v>9</v>
      </c>
      <c r="BS70" s="1026">
        <f t="shared" si="119"/>
        <v>152.26720404735002</v>
      </c>
      <c r="BT70" s="247">
        <f t="shared" si="120"/>
        <v>1.73249663265</v>
      </c>
    </row>
    <row r="71" spans="1:72">
      <c r="A71" s="732" t="s">
        <v>1831</v>
      </c>
      <c r="B71" s="730" t="s">
        <v>231</v>
      </c>
      <c r="C71" s="727" t="s">
        <v>1078</v>
      </c>
      <c r="D71" s="193"/>
      <c r="E71" s="193"/>
      <c r="F71" s="193"/>
      <c r="G71" s="193"/>
      <c r="H71" s="193"/>
      <c r="I71" s="193"/>
      <c r="J71" s="1384">
        <f t="shared" ref="J71:K71" si="126">J47*31</f>
        <v>92.685474000000013</v>
      </c>
      <c r="K71" s="1384">
        <f t="shared" si="126"/>
        <v>5.5712580000000003</v>
      </c>
      <c r="L71" s="1384">
        <f t="shared" ref="L71:M71" si="127">L47*30</f>
        <v>123.08232299999999</v>
      </c>
      <c r="M71" s="1384">
        <f t="shared" si="127"/>
        <v>9.1574490000000015</v>
      </c>
      <c r="N71" s="1384">
        <f t="shared" ref="N71:Q71" si="128">N47*31</f>
        <v>97.378836799999988</v>
      </c>
      <c r="O71" s="1384">
        <f t="shared" si="128"/>
        <v>17.017660800000002</v>
      </c>
      <c r="P71" s="1384">
        <f t="shared" si="128"/>
        <v>67.488193500000008</v>
      </c>
      <c r="Q71" s="1384">
        <f t="shared" si="128"/>
        <v>11.412637600000002</v>
      </c>
      <c r="R71" s="1384">
        <f t="shared" ref="R71:S71" si="129">R47*30</f>
        <v>3.1859099999999998</v>
      </c>
      <c r="S71" s="1384">
        <f t="shared" si="129"/>
        <v>0.23281650000000001</v>
      </c>
      <c r="T71" s="1384">
        <f t="shared" ref="T71:U71" si="130">T47*31</f>
        <v>10.889277</v>
      </c>
      <c r="U71" s="1384">
        <f t="shared" si="130"/>
        <v>0.40518240000000005</v>
      </c>
      <c r="V71" s="17"/>
      <c r="W71" s="17"/>
      <c r="X71" s="77"/>
      <c r="BM71" s="1577"/>
      <c r="BN71" s="1036">
        <v>41443</v>
      </c>
      <c r="BO71" s="485">
        <v>0.13900000000000001</v>
      </c>
      <c r="BP71" s="877">
        <f t="shared" si="118"/>
        <v>8.544747000000001</v>
      </c>
      <c r="BQ71" s="880">
        <v>1117</v>
      </c>
      <c r="BR71" s="880">
        <v>76</v>
      </c>
      <c r="BS71" s="1026">
        <f t="shared" si="119"/>
        <v>25.989625572477003</v>
      </c>
      <c r="BT71" s="247">
        <f t="shared" si="120"/>
        <v>1.7683183021560003</v>
      </c>
    </row>
    <row r="72" spans="1:72">
      <c r="A72" s="732" t="s">
        <v>1832</v>
      </c>
      <c r="B72" s="730" t="s">
        <v>232</v>
      </c>
      <c r="C72" s="727" t="s">
        <v>1803</v>
      </c>
      <c r="D72" s="193"/>
      <c r="E72" s="193"/>
      <c r="F72" s="193"/>
      <c r="G72" s="193"/>
      <c r="H72" s="193"/>
      <c r="I72" s="193"/>
      <c r="J72" s="1384">
        <f t="shared" ref="J72:K72" si="131">J48*31</f>
        <v>1119.1559953000001</v>
      </c>
      <c r="K72" s="1384">
        <f t="shared" si="131"/>
        <v>114.74259090000001</v>
      </c>
      <c r="L72" s="1384">
        <f t="shared" ref="L72:M72" si="132">L48*30</f>
        <v>271.73361599999998</v>
      </c>
      <c r="M72" s="1384">
        <f t="shared" si="132"/>
        <v>22.129821</v>
      </c>
      <c r="N72" s="1384">
        <f t="shared" ref="N72:Q72" si="133">N48*31</f>
        <v>128.62852940000002</v>
      </c>
      <c r="O72" s="1384">
        <f t="shared" si="133"/>
        <v>17.321547600000002</v>
      </c>
      <c r="P72" s="1384">
        <f t="shared" si="133"/>
        <v>81.542957999999999</v>
      </c>
      <c r="Q72" s="1384">
        <f t="shared" si="133"/>
        <v>5.5712580000000003</v>
      </c>
      <c r="R72" s="1384">
        <f t="shared" ref="R72:S72" si="134">R48*30</f>
        <v>22.38306</v>
      </c>
      <c r="S72" s="1384">
        <f t="shared" si="134"/>
        <v>0.89859</v>
      </c>
      <c r="T72" s="1384">
        <f t="shared" ref="T72:U72" si="135">T48*31</f>
        <v>21.137015200000004</v>
      </c>
      <c r="U72" s="1384">
        <f t="shared" si="135"/>
        <v>0.27012160000000002</v>
      </c>
      <c r="V72" s="17"/>
      <c r="W72" s="79"/>
      <c r="X72" s="77"/>
      <c r="BM72" s="1577"/>
      <c r="BN72" s="1036">
        <v>41478</v>
      </c>
      <c r="BO72" s="485">
        <v>0.20300000000000001</v>
      </c>
      <c r="BP72" s="877">
        <f t="shared" si="118"/>
        <v>12.479019000000001</v>
      </c>
      <c r="BQ72" s="880">
        <v>820</v>
      </c>
      <c r="BR72" s="880">
        <v>38</v>
      </c>
      <c r="BS72" s="1026">
        <f t="shared" si="119"/>
        <v>27.863902364340003</v>
      </c>
      <c r="BT72" s="247">
        <f t="shared" si="120"/>
        <v>1.2912540120060003</v>
      </c>
    </row>
    <row r="73" spans="1:72">
      <c r="B73" s="196"/>
      <c r="C73" s="193"/>
      <c r="D73" s="193"/>
      <c r="E73" s="193"/>
      <c r="F73" s="193"/>
      <c r="G73" s="193"/>
      <c r="H73" s="193"/>
      <c r="I73" s="193"/>
      <c r="J73" s="1384">
        <f>SUM(J52:J72)</f>
        <v>206165.13668309999</v>
      </c>
      <c r="K73" s="1384">
        <f t="shared" ref="K73:U73" si="136">SUM(K52:K72)</f>
        <v>25895.840281500001</v>
      </c>
      <c r="L73" s="1384">
        <f t="shared" si="136"/>
        <v>129631.826919</v>
      </c>
      <c r="M73" s="1384">
        <f t="shared" si="136"/>
        <v>26229.686889000001</v>
      </c>
      <c r="N73" s="1384">
        <f t="shared" si="136"/>
        <v>37357.437421499992</v>
      </c>
      <c r="O73" s="1384">
        <f t="shared" si="136"/>
        <v>5303.3733445000007</v>
      </c>
      <c r="P73" s="1384">
        <f t="shared" si="136"/>
        <v>18844.619800300003</v>
      </c>
      <c r="Q73" s="1384">
        <f t="shared" si="136"/>
        <v>1934.9654338</v>
      </c>
      <c r="R73" s="1384">
        <f t="shared" si="136"/>
        <v>5480.4513960000004</v>
      </c>
      <c r="S73" s="1384">
        <f t="shared" si="136"/>
        <v>239.09437650000001</v>
      </c>
      <c r="T73" s="1384">
        <f t="shared" si="136"/>
        <v>9819.5026097000027</v>
      </c>
      <c r="U73" s="1384">
        <f t="shared" si="136"/>
        <v>426.01552839999999</v>
      </c>
      <c r="V73" s="17"/>
      <c r="W73" s="17"/>
      <c r="X73" s="27"/>
      <c r="BM73" s="1577"/>
      <c r="BN73" s="1036">
        <v>41513</v>
      </c>
      <c r="BO73" s="485">
        <v>0.1</v>
      </c>
      <c r="BP73" s="877">
        <f t="shared" si="118"/>
        <v>6.1473000000000013</v>
      </c>
      <c r="BQ73" s="880">
        <v>786</v>
      </c>
      <c r="BR73" s="880">
        <v>10</v>
      </c>
      <c r="BS73" s="1026">
        <f t="shared" si="119"/>
        <v>13.156930949400003</v>
      </c>
      <c r="BT73" s="247">
        <f t="shared" si="120"/>
        <v>0.16739097900000005</v>
      </c>
    </row>
    <row r="74" spans="1:72">
      <c r="B74" s="196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81"/>
      <c r="V74" s="17"/>
      <c r="W74" s="17"/>
      <c r="X74" s="27"/>
      <c r="BM74" s="1577"/>
      <c r="BN74" s="1036">
        <v>41542</v>
      </c>
      <c r="BO74" s="485">
        <v>2.12</v>
      </c>
      <c r="BP74" s="877">
        <f t="shared" si="118"/>
        <v>130.32276000000002</v>
      </c>
      <c r="BQ74" s="880">
        <v>1938</v>
      </c>
      <c r="BR74" s="880">
        <v>30</v>
      </c>
      <c r="BS74" s="1026">
        <f t="shared" si="119"/>
        <v>687.73588068024014</v>
      </c>
      <c r="BT74" s="247">
        <f t="shared" si="120"/>
        <v>10.646066264400002</v>
      </c>
    </row>
    <row r="75" spans="1:72">
      <c r="B75" s="196"/>
      <c r="C75" s="193"/>
      <c r="D75" s="193"/>
      <c r="E75" s="193"/>
      <c r="F75" s="193"/>
      <c r="G75" s="193"/>
      <c r="H75" s="193"/>
      <c r="I75" s="193" t="s">
        <v>1833</v>
      </c>
      <c r="J75" s="1383">
        <f>SUM(K66:K67,M66:M67,O66:O67,Q66:Q67,S66:S67,U66:U67,)</f>
        <v>2549.5718576999998</v>
      </c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87"/>
      <c r="V75" s="17"/>
      <c r="W75" s="79"/>
      <c r="X75" s="77"/>
      <c r="BM75" s="1577"/>
      <c r="BN75" s="1036">
        <v>41570</v>
      </c>
      <c r="BO75" s="485">
        <v>0.35099999999999998</v>
      </c>
      <c r="BP75" s="877">
        <f t="shared" si="118"/>
        <v>21.577023000000001</v>
      </c>
      <c r="BQ75" s="880">
        <v>1077</v>
      </c>
      <c r="BR75" s="880">
        <v>5</v>
      </c>
      <c r="BS75" s="1026">
        <f t="shared" si="119"/>
        <v>63.278309618433006</v>
      </c>
      <c r="BT75" s="247">
        <f t="shared" si="120"/>
        <v>0.29377116814500004</v>
      </c>
    </row>
    <row r="76" spans="1:72">
      <c r="B76" s="196"/>
      <c r="C76" s="193"/>
      <c r="D76" s="193"/>
      <c r="E76" s="193"/>
      <c r="F76" s="193"/>
      <c r="G76" s="193"/>
      <c r="H76" s="193"/>
      <c r="I76" s="193" t="s">
        <v>1834</v>
      </c>
      <c r="J76" s="1383">
        <f>SUM(K63,M63,O63,Q63,S63,U63,)</f>
        <v>8644.8306350000021</v>
      </c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7"/>
      <c r="V76" s="17"/>
      <c r="W76" s="17"/>
      <c r="X76" s="77"/>
      <c r="BM76" s="1577"/>
      <c r="BN76" s="1036">
        <v>41603</v>
      </c>
      <c r="BO76" s="485">
        <v>1.23</v>
      </c>
      <c r="BP76" s="877">
        <f t="shared" si="118"/>
        <v>75.611790000000013</v>
      </c>
      <c r="BQ76" s="247">
        <v>1091</v>
      </c>
      <c r="BR76" s="247">
        <v>11</v>
      </c>
      <c r="BS76" s="1026">
        <f t="shared" si="119"/>
        <v>224.62697644947005</v>
      </c>
      <c r="BT76" s="247">
        <f t="shared" si="120"/>
        <v>2.2647999458700006</v>
      </c>
    </row>
    <row r="77" spans="1:72">
      <c r="B77" s="196"/>
      <c r="C77" s="193"/>
      <c r="D77" s="193"/>
      <c r="E77" s="193"/>
      <c r="F77" s="193"/>
      <c r="G77" s="193"/>
      <c r="H77" s="193"/>
      <c r="I77" s="193" t="s">
        <v>1835</v>
      </c>
      <c r="J77" s="1383">
        <f>SUM(K65,M65,O65,Q65,S65,U65,)</f>
        <v>65.064723499999999</v>
      </c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7"/>
      <c r="V77" s="17"/>
      <c r="W77" s="79"/>
      <c r="X77" s="77"/>
      <c r="BP77" s="1038">
        <f>SUM(BP68:BP76)</f>
        <v>530.08167900000001</v>
      </c>
      <c r="BQ77" s="1576" t="s">
        <v>1328</v>
      </c>
      <c r="BR77" s="1576"/>
      <c r="BS77" s="1037">
        <f>SUM(BS68:BS76)</f>
        <v>1952.3730531154501</v>
      </c>
      <c r="BT77" s="1027">
        <f>SUM(BT68:BT76)</f>
        <v>26.120190536097002</v>
      </c>
    </row>
    <row r="78" spans="1:72">
      <c r="B78" s="196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7"/>
      <c r="V78" s="17"/>
      <c r="W78" s="79"/>
      <c r="X78" s="77"/>
    </row>
    <row r="79" spans="1:72" ht="27.65" customHeight="1">
      <c r="B79" s="196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81"/>
      <c r="V79" s="17"/>
      <c r="W79" s="17"/>
      <c r="X79" s="27"/>
      <c r="BP79" s="1576" t="s">
        <v>1329</v>
      </c>
      <c r="BQ79" s="1576"/>
      <c r="BR79" s="1576"/>
    </row>
    <row r="80" spans="1:72">
      <c r="B80" s="196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87"/>
      <c r="V80" s="17"/>
      <c r="W80" s="79"/>
      <c r="X80" s="77"/>
      <c r="BP80" s="932">
        <v>2013</v>
      </c>
      <c r="BQ80" s="932">
        <v>2014</v>
      </c>
      <c r="BR80" s="932">
        <v>2015</v>
      </c>
    </row>
    <row r="81" spans="2:70" ht="25.25" customHeight="1">
      <c r="B81" s="196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7"/>
      <c r="V81" s="17"/>
      <c r="W81" s="17"/>
      <c r="X81" s="77"/>
      <c r="BN81" s="1565" t="s">
        <v>1326</v>
      </c>
      <c r="BO81" s="204" t="s">
        <v>195</v>
      </c>
      <c r="BP81" s="50">
        <v>1952</v>
      </c>
      <c r="BQ81" s="50">
        <v>4572</v>
      </c>
      <c r="BR81" s="50">
        <v>15189</v>
      </c>
    </row>
    <row r="82" spans="2:70" ht="26">
      <c r="B82" s="196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7"/>
      <c r="V82" s="17"/>
      <c r="W82" s="79"/>
      <c r="X82" s="77"/>
      <c r="BN82" s="1565"/>
      <c r="BO82" s="204" t="s">
        <v>67</v>
      </c>
      <c r="BP82" s="50">
        <v>26</v>
      </c>
      <c r="BQ82" s="50">
        <v>85</v>
      </c>
      <c r="BR82" s="50">
        <v>503</v>
      </c>
    </row>
    <row r="83" spans="2:70">
      <c r="B83" s="196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81"/>
      <c r="V83" s="17"/>
      <c r="W83" s="17"/>
      <c r="X83" s="27"/>
      <c r="BN83" s="1565"/>
      <c r="BO83" s="204"/>
      <c r="BP83" s="1576" t="s">
        <v>1330</v>
      </c>
      <c r="BQ83" s="1576"/>
      <c r="BR83" s="1576"/>
    </row>
    <row r="84" spans="2:70">
      <c r="BN84" s="1565"/>
      <c r="BO84" s="204" t="s">
        <v>1331</v>
      </c>
      <c r="BP84" s="50">
        <v>530</v>
      </c>
      <c r="BQ84" s="50">
        <v>1468</v>
      </c>
      <c r="BR84" s="50">
        <v>2748</v>
      </c>
    </row>
    <row r="96" spans="2:70">
      <c r="B96" s="196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87"/>
      <c r="V96" s="17"/>
      <c r="W96" s="79"/>
      <c r="X96" s="77"/>
    </row>
    <row r="97" spans="2:24">
      <c r="B97" s="196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17"/>
      <c r="V97" s="17"/>
      <c r="W97" s="17"/>
      <c r="X97" s="77"/>
    </row>
    <row r="98" spans="2:24">
      <c r="B98" s="196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17"/>
      <c r="V98" s="17"/>
      <c r="W98" s="79"/>
      <c r="X98" s="77"/>
    </row>
    <row r="99" spans="2:24">
      <c r="B99" s="196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X99" s="77"/>
    </row>
    <row r="100" spans="2:24">
      <c r="B100" s="196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87"/>
      <c r="V100" s="17"/>
      <c r="W100" s="79"/>
      <c r="X100" s="77"/>
    </row>
    <row r="101" spans="2:24">
      <c r="B101" s="196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17"/>
      <c r="V101" s="17"/>
      <c r="W101" s="17"/>
      <c r="X101" s="77"/>
    </row>
    <row r="102" spans="2:24">
      <c r="B102" s="196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17"/>
      <c r="V102" s="17"/>
      <c r="W102" s="79"/>
      <c r="X102" s="77"/>
    </row>
    <row r="103" spans="2:24">
      <c r="B103" s="196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X103" s="77"/>
    </row>
    <row r="104" spans="2:24">
      <c r="B104" s="19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X104" s="77"/>
    </row>
    <row r="105" spans="2:24">
      <c r="B105" s="19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87"/>
      <c r="V105" s="17"/>
      <c r="W105" s="79"/>
      <c r="X105" s="77"/>
    </row>
    <row r="106" spans="2:24">
      <c r="B106" s="196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17"/>
      <c r="V106" s="17"/>
      <c r="W106" s="17"/>
      <c r="X106" s="77"/>
    </row>
    <row r="107" spans="2:24">
      <c r="B107" s="19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17"/>
      <c r="V107" s="17"/>
      <c r="W107" s="79"/>
      <c r="X107" s="77"/>
    </row>
  </sheetData>
  <mergeCells count="71">
    <mergeCell ref="R26:S26"/>
    <mergeCell ref="T26:U26"/>
    <mergeCell ref="D26:I26"/>
    <mergeCell ref="J25:U25"/>
    <mergeCell ref="A41:A46"/>
    <mergeCell ref="J26:K26"/>
    <mergeCell ref="L26:M26"/>
    <mergeCell ref="N26:O26"/>
    <mergeCell ref="P26:Q26"/>
    <mergeCell ref="B26:B27"/>
    <mergeCell ref="C26:C27"/>
    <mergeCell ref="A28:A30"/>
    <mergeCell ref="A31:A33"/>
    <mergeCell ref="A34:A39"/>
    <mergeCell ref="BC2:BD2"/>
    <mergeCell ref="BE2:BF2"/>
    <mergeCell ref="BI3:BJ3"/>
    <mergeCell ref="BK3:BL3"/>
    <mergeCell ref="AO2:AP2"/>
    <mergeCell ref="AQ2:AR2"/>
    <mergeCell ref="AK4:AK9"/>
    <mergeCell ref="AK10:AK15"/>
    <mergeCell ref="A9:A14"/>
    <mergeCell ref="A3:A5"/>
    <mergeCell ref="AB1:AE1"/>
    <mergeCell ref="P1:S1"/>
    <mergeCell ref="L1:O1"/>
    <mergeCell ref="A6:A8"/>
    <mergeCell ref="H1:K1"/>
    <mergeCell ref="D1:G1"/>
    <mergeCell ref="A16:A21"/>
    <mergeCell ref="C1:C2"/>
    <mergeCell ref="B1:B2"/>
    <mergeCell ref="T1:W1"/>
    <mergeCell ref="X1:AA1"/>
    <mergeCell ref="BO35:BR35"/>
    <mergeCell ref="BQ44:BR44"/>
    <mergeCell ref="BS44:BT44"/>
    <mergeCell ref="BM46:BM51"/>
    <mergeCell ref="AO16:AP16"/>
    <mergeCell ref="AQ16:AR16"/>
    <mergeCell ref="BC17:BD17"/>
    <mergeCell ref="BE17:BF17"/>
    <mergeCell ref="AU16:AV16"/>
    <mergeCell ref="AW16:AX16"/>
    <mergeCell ref="BI17:BJ17"/>
    <mergeCell ref="BK17:BL17"/>
    <mergeCell ref="BM68:BM76"/>
    <mergeCell ref="BP79:BR79"/>
    <mergeCell ref="BQ55:BR55"/>
    <mergeCell ref="BS55:BT55"/>
    <mergeCell ref="BM57:BM62"/>
    <mergeCell ref="BQ66:BR66"/>
    <mergeCell ref="BS66:BT66"/>
    <mergeCell ref="BP83:BR83"/>
    <mergeCell ref="BN81:BN84"/>
    <mergeCell ref="BQ52:BR52"/>
    <mergeCell ref="BQ63:BR63"/>
    <mergeCell ref="BQ77:BR77"/>
    <mergeCell ref="R50:S50"/>
    <mergeCell ref="T50:U50"/>
    <mergeCell ref="A65:A70"/>
    <mergeCell ref="J50:K50"/>
    <mergeCell ref="L50:M50"/>
    <mergeCell ref="N50:O50"/>
    <mergeCell ref="P50:Q50"/>
    <mergeCell ref="B50:B51"/>
    <mergeCell ref="C50:C51"/>
    <mergeCell ref="A52:A54"/>
    <mergeCell ref="A55:A57"/>
    <mergeCell ref="A58:A63"/>
  </mergeCells>
  <pageMargins left="0.7" right="0.7" top="0.75" bottom="0.75" header="0.3" footer="0.3"/>
  <pageSetup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</sheetPr>
  <dimension ref="A1:O90"/>
  <sheetViews>
    <sheetView topLeftCell="A61" workbookViewId="0">
      <selection activeCell="N95" sqref="N95"/>
    </sheetView>
  </sheetViews>
  <sheetFormatPr defaultRowHeight="14"/>
  <cols>
    <col min="1" max="1" width="10.54296875" bestFit="1" customWidth="1"/>
    <col min="2" max="2" width="9.36328125" bestFit="1" customWidth="1"/>
    <col min="3" max="3" width="14.6328125" bestFit="1" customWidth="1"/>
    <col min="4" max="4" width="14" bestFit="1" customWidth="1"/>
    <col min="5" max="5" width="26.179687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  <col min="18" max="19" width="10.08984375" bestFit="1" customWidth="1"/>
  </cols>
  <sheetData>
    <row r="1" spans="1:15" s="632" customFormat="1" ht="13">
      <c r="A1" s="966" t="s">
        <v>1097</v>
      </c>
      <c r="B1" s="966" t="s">
        <v>1098</v>
      </c>
      <c r="C1" s="443" t="s">
        <v>1099</v>
      </c>
      <c r="D1" s="443" t="s">
        <v>1100</v>
      </c>
      <c r="E1" s="966" t="s">
        <v>1101</v>
      </c>
      <c r="F1" s="966" t="s">
        <v>1102</v>
      </c>
      <c r="G1" s="966" t="s">
        <v>1103</v>
      </c>
      <c r="H1" s="966" t="s">
        <v>1104</v>
      </c>
      <c r="I1" s="967" t="s">
        <v>1104</v>
      </c>
      <c r="J1" s="966" t="s">
        <v>1105</v>
      </c>
      <c r="K1" s="966" t="s">
        <v>1106</v>
      </c>
      <c r="L1" s="444" t="s">
        <v>1107</v>
      </c>
      <c r="M1" s="444" t="s">
        <v>652</v>
      </c>
      <c r="N1" s="443" t="s">
        <v>975</v>
      </c>
    </row>
    <row r="2" spans="1:15">
      <c r="A2" s="562" t="s">
        <v>1458</v>
      </c>
      <c r="B2" s="560" t="s">
        <v>1450</v>
      </c>
      <c r="C2" s="193">
        <v>42150</v>
      </c>
      <c r="D2" s="193">
        <v>42150</v>
      </c>
      <c r="E2" s="561" t="s">
        <v>195</v>
      </c>
      <c r="F2" s="562" t="s">
        <v>1110</v>
      </c>
      <c r="G2" s="563" t="s">
        <v>1111</v>
      </c>
      <c r="H2" s="562">
        <v>407</v>
      </c>
      <c r="I2" s="560">
        <v>407</v>
      </c>
      <c r="J2" s="562"/>
      <c r="K2" s="377" t="s">
        <v>1112</v>
      </c>
      <c r="L2" s="447">
        <v>6</v>
      </c>
      <c r="M2" s="447">
        <v>42</v>
      </c>
      <c r="N2" s="448">
        <v>42159</v>
      </c>
      <c r="O2" s="448"/>
    </row>
    <row r="3" spans="1:15" s="710" customFormat="1">
      <c r="A3" s="562" t="s">
        <v>1458</v>
      </c>
      <c r="B3" s="560" t="s">
        <v>1450</v>
      </c>
      <c r="C3" s="193">
        <v>42150</v>
      </c>
      <c r="D3" s="193">
        <v>42150</v>
      </c>
      <c r="E3" s="562" t="s">
        <v>177</v>
      </c>
      <c r="F3" s="562" t="s">
        <v>1110</v>
      </c>
      <c r="G3" s="562" t="s">
        <v>1113</v>
      </c>
      <c r="H3" s="562">
        <v>79</v>
      </c>
      <c r="I3" s="560">
        <v>79</v>
      </c>
      <c r="J3" s="562"/>
      <c r="K3" s="562" t="s">
        <v>1112</v>
      </c>
      <c r="L3" s="447">
        <v>2</v>
      </c>
      <c r="M3" s="447">
        <v>8</v>
      </c>
      <c r="N3" s="448">
        <v>42151</v>
      </c>
      <c r="O3" s="448"/>
    </row>
    <row r="4" spans="1:15">
      <c r="A4" s="562" t="s">
        <v>1458</v>
      </c>
      <c r="B4" s="560" t="s">
        <v>1450</v>
      </c>
      <c r="C4" s="193">
        <v>42150</v>
      </c>
      <c r="D4" s="193">
        <v>42150</v>
      </c>
      <c r="E4" s="562" t="s">
        <v>223</v>
      </c>
      <c r="F4" s="562" t="s">
        <v>1110</v>
      </c>
      <c r="G4" s="562" t="s">
        <v>1114</v>
      </c>
      <c r="H4" s="562">
        <v>35</v>
      </c>
      <c r="I4" s="560">
        <v>35</v>
      </c>
      <c r="J4" s="562" t="s">
        <v>1115</v>
      </c>
      <c r="K4" s="377" t="s">
        <v>1112</v>
      </c>
      <c r="L4" s="449">
        <v>5</v>
      </c>
      <c r="M4" s="449">
        <v>35</v>
      </c>
      <c r="N4" s="448">
        <v>42160</v>
      </c>
      <c r="O4" s="448"/>
    </row>
    <row r="5" spans="1:15">
      <c r="A5" s="562" t="s">
        <v>1458</v>
      </c>
      <c r="B5" s="560" t="s">
        <v>1450</v>
      </c>
      <c r="C5" s="193">
        <v>42150</v>
      </c>
      <c r="D5" s="193">
        <v>42150</v>
      </c>
      <c r="E5" s="562" t="s">
        <v>171</v>
      </c>
      <c r="F5" s="562" t="s">
        <v>1110</v>
      </c>
      <c r="G5" s="563" t="s">
        <v>1116</v>
      </c>
      <c r="H5" s="562">
        <v>28</v>
      </c>
      <c r="I5" s="560">
        <v>28</v>
      </c>
      <c r="J5" s="562"/>
      <c r="K5" s="562" t="s">
        <v>1112</v>
      </c>
      <c r="L5" s="447">
        <v>2</v>
      </c>
      <c r="M5" s="447">
        <v>8</v>
      </c>
      <c r="N5" s="448">
        <v>42159</v>
      </c>
      <c r="O5" s="448"/>
    </row>
    <row r="6" spans="1:15">
      <c r="A6" s="562" t="s">
        <v>1458</v>
      </c>
      <c r="B6" s="560" t="s">
        <v>1450</v>
      </c>
      <c r="C6" s="193">
        <v>42150</v>
      </c>
      <c r="D6" s="193">
        <v>42150</v>
      </c>
      <c r="E6" s="561" t="s">
        <v>173</v>
      </c>
      <c r="F6" s="559" t="s">
        <v>1110</v>
      </c>
      <c r="G6" s="567" t="s">
        <v>1125</v>
      </c>
      <c r="H6" s="254">
        <v>0.3</v>
      </c>
      <c r="I6" s="451">
        <v>0.3</v>
      </c>
      <c r="J6" s="568"/>
      <c r="K6" s="562" t="s">
        <v>1112</v>
      </c>
      <c r="L6" s="566">
        <v>0.1</v>
      </c>
      <c r="M6" s="566"/>
      <c r="N6" s="448">
        <v>42159</v>
      </c>
      <c r="O6" s="448"/>
    </row>
    <row r="7" spans="1:15">
      <c r="A7" s="562" t="s">
        <v>1458</v>
      </c>
      <c r="B7" s="560" t="s">
        <v>1450</v>
      </c>
      <c r="C7" s="193">
        <v>42150</v>
      </c>
      <c r="D7" s="193">
        <v>42150</v>
      </c>
      <c r="E7" s="561" t="s">
        <v>173</v>
      </c>
      <c r="F7" s="559" t="s">
        <v>1110</v>
      </c>
      <c r="G7" s="567" t="s">
        <v>1125</v>
      </c>
      <c r="H7" s="254">
        <v>0.3</v>
      </c>
      <c r="I7" s="451">
        <v>0.3</v>
      </c>
      <c r="J7" s="568"/>
      <c r="K7" s="562" t="s">
        <v>1112</v>
      </c>
      <c r="L7" s="566">
        <v>0.1</v>
      </c>
      <c r="M7" s="566"/>
      <c r="N7" s="448">
        <v>42159</v>
      </c>
      <c r="O7" s="448"/>
    </row>
    <row r="8" spans="1:15">
      <c r="A8" s="562" t="s">
        <v>1458</v>
      </c>
      <c r="B8" s="560" t="s">
        <v>1450</v>
      </c>
      <c r="C8" s="193">
        <v>42150</v>
      </c>
      <c r="D8" s="193">
        <v>42150</v>
      </c>
      <c r="E8" s="562" t="s">
        <v>176</v>
      </c>
      <c r="F8" s="562" t="s">
        <v>1110</v>
      </c>
      <c r="G8" s="562" t="s">
        <v>1117</v>
      </c>
      <c r="H8" s="354">
        <v>8.1</v>
      </c>
      <c r="I8" s="450">
        <v>8.1</v>
      </c>
      <c r="J8" s="562"/>
      <c r="K8" s="562" t="s">
        <v>1118</v>
      </c>
      <c r="L8" s="447">
        <v>4</v>
      </c>
      <c r="M8" s="447"/>
      <c r="N8" s="448">
        <v>42153</v>
      </c>
      <c r="O8" s="448"/>
    </row>
    <row r="9" spans="1:15">
      <c r="A9" s="562" t="s">
        <v>1458</v>
      </c>
      <c r="B9" s="560" t="s">
        <v>1450</v>
      </c>
      <c r="C9" s="193">
        <v>42150</v>
      </c>
      <c r="D9" s="193">
        <v>42150</v>
      </c>
      <c r="E9" s="564" t="s">
        <v>172</v>
      </c>
      <c r="F9" s="562" t="s">
        <v>1110</v>
      </c>
      <c r="G9" s="563" t="s">
        <v>1116</v>
      </c>
      <c r="H9" s="565">
        <v>4</v>
      </c>
      <c r="I9" s="564">
        <v>4</v>
      </c>
      <c r="J9" s="377" t="s">
        <v>1115</v>
      </c>
      <c r="K9" s="562" t="s">
        <v>1112</v>
      </c>
      <c r="L9" s="566">
        <v>2</v>
      </c>
      <c r="M9" s="566">
        <v>8</v>
      </c>
      <c r="N9" s="448">
        <v>42159</v>
      </c>
      <c r="O9" s="448"/>
    </row>
    <row r="10" spans="1:15" s="710" customFormat="1">
      <c r="A10" s="562" t="s">
        <v>1457</v>
      </c>
      <c r="B10" s="560" t="s">
        <v>1452</v>
      </c>
      <c r="C10" s="193">
        <v>42150</v>
      </c>
      <c r="D10" s="193">
        <v>42150</v>
      </c>
      <c r="E10" s="561" t="s">
        <v>195</v>
      </c>
      <c r="F10" s="562" t="s">
        <v>1110</v>
      </c>
      <c r="G10" s="563" t="s">
        <v>1111</v>
      </c>
      <c r="H10" s="562">
        <v>406</v>
      </c>
      <c r="I10" s="560">
        <v>406</v>
      </c>
      <c r="J10" s="562"/>
      <c r="K10" s="377" t="s">
        <v>1112</v>
      </c>
      <c r="L10" s="447">
        <v>6</v>
      </c>
      <c r="M10" s="447">
        <v>42</v>
      </c>
      <c r="N10" s="448">
        <v>42159</v>
      </c>
      <c r="O10" s="448"/>
    </row>
    <row r="11" spans="1:15" s="710" customFormat="1">
      <c r="A11" s="562" t="s">
        <v>1457</v>
      </c>
      <c r="B11" s="560" t="s">
        <v>1452</v>
      </c>
      <c r="C11" s="193">
        <v>42150</v>
      </c>
      <c r="D11" s="193">
        <v>42150</v>
      </c>
      <c r="E11" s="562" t="s">
        <v>177</v>
      </c>
      <c r="F11" s="562" t="s">
        <v>1110</v>
      </c>
      <c r="G11" s="562" t="s">
        <v>1113</v>
      </c>
      <c r="H11" s="562">
        <v>77</v>
      </c>
      <c r="I11" s="560">
        <v>77</v>
      </c>
      <c r="J11" s="562"/>
      <c r="K11" s="562" t="s">
        <v>1112</v>
      </c>
      <c r="L11" s="447">
        <v>2</v>
      </c>
      <c r="M11" s="447">
        <v>8</v>
      </c>
      <c r="N11" s="448">
        <v>42151</v>
      </c>
      <c r="O11" s="448"/>
    </row>
    <row r="12" spans="1:15">
      <c r="A12" s="562" t="s">
        <v>1457</v>
      </c>
      <c r="B12" s="560" t="s">
        <v>1452</v>
      </c>
      <c r="C12" s="193">
        <v>42150</v>
      </c>
      <c r="D12" s="193">
        <v>42150</v>
      </c>
      <c r="E12" s="562" t="s">
        <v>223</v>
      </c>
      <c r="F12" s="562" t="s">
        <v>1110</v>
      </c>
      <c r="G12" s="562" t="s">
        <v>1114</v>
      </c>
      <c r="H12" s="562">
        <v>33</v>
      </c>
      <c r="I12" s="560">
        <v>33</v>
      </c>
      <c r="J12" s="562" t="s">
        <v>1115</v>
      </c>
      <c r="K12" s="377" t="s">
        <v>1112</v>
      </c>
      <c r="L12" s="449">
        <v>5</v>
      </c>
      <c r="M12" s="449">
        <v>35</v>
      </c>
      <c r="N12" s="448">
        <v>42160</v>
      </c>
      <c r="O12" s="448"/>
    </row>
    <row r="13" spans="1:15">
      <c r="A13" s="562" t="s">
        <v>1457</v>
      </c>
      <c r="B13" s="560" t="s">
        <v>1452</v>
      </c>
      <c r="C13" s="193">
        <v>42150</v>
      </c>
      <c r="D13" s="193">
        <v>42150</v>
      </c>
      <c r="E13" s="564" t="s">
        <v>172</v>
      </c>
      <c r="F13" s="562" t="s">
        <v>1110</v>
      </c>
      <c r="G13" s="563" t="s">
        <v>1116</v>
      </c>
      <c r="H13" s="565">
        <v>4</v>
      </c>
      <c r="I13" s="564">
        <v>4</v>
      </c>
      <c r="J13" s="377" t="s">
        <v>1115</v>
      </c>
      <c r="K13" s="562" t="s">
        <v>1112</v>
      </c>
      <c r="L13" s="566">
        <v>2</v>
      </c>
      <c r="M13" s="566">
        <v>8</v>
      </c>
      <c r="N13" s="448">
        <v>42159</v>
      </c>
      <c r="O13" s="448"/>
    </row>
    <row r="14" spans="1:15">
      <c r="A14" s="562" t="s">
        <v>1457</v>
      </c>
      <c r="B14" s="560" t="s">
        <v>1452</v>
      </c>
      <c r="C14" s="193">
        <v>42150</v>
      </c>
      <c r="D14" s="193">
        <v>42150</v>
      </c>
      <c r="E14" s="562" t="s">
        <v>171</v>
      </c>
      <c r="F14" s="562" t="s">
        <v>1110</v>
      </c>
      <c r="G14" s="563" t="s">
        <v>1116</v>
      </c>
      <c r="H14" s="562">
        <v>34</v>
      </c>
      <c r="I14" s="560">
        <v>34</v>
      </c>
      <c r="J14" s="562"/>
      <c r="K14" s="562" t="s">
        <v>1112</v>
      </c>
      <c r="L14" s="447">
        <v>2</v>
      </c>
      <c r="M14" s="447">
        <v>8</v>
      </c>
      <c r="N14" s="448">
        <v>42159</v>
      </c>
      <c r="O14" s="448"/>
    </row>
    <row r="15" spans="1:15">
      <c r="A15" s="562" t="s">
        <v>1457</v>
      </c>
      <c r="B15" s="560" t="s">
        <v>1452</v>
      </c>
      <c r="C15" s="193">
        <v>42150</v>
      </c>
      <c r="D15" s="193">
        <v>42150</v>
      </c>
      <c r="E15" s="562" t="s">
        <v>176</v>
      </c>
      <c r="F15" s="562" t="s">
        <v>1110</v>
      </c>
      <c r="G15" s="562" t="s">
        <v>1117</v>
      </c>
      <c r="H15" s="354">
        <v>8.5</v>
      </c>
      <c r="I15" s="450">
        <v>8.5</v>
      </c>
      <c r="J15" s="562"/>
      <c r="K15" s="562" t="s">
        <v>1118</v>
      </c>
      <c r="L15" s="447">
        <v>4</v>
      </c>
      <c r="M15" s="447"/>
      <c r="N15" s="448">
        <v>42153</v>
      </c>
      <c r="O15" s="448"/>
    </row>
    <row r="16" spans="1:15">
      <c r="O16" s="448"/>
    </row>
    <row r="17" spans="1:14">
      <c r="A17" s="559" t="s">
        <v>1479</v>
      </c>
      <c r="B17" s="560" t="s">
        <v>1450</v>
      </c>
      <c r="C17" s="193">
        <v>42173</v>
      </c>
      <c r="D17" s="193">
        <v>42173</v>
      </c>
      <c r="E17" s="561" t="s">
        <v>195</v>
      </c>
      <c r="F17" s="562" t="s">
        <v>1110</v>
      </c>
      <c r="G17" s="563" t="s">
        <v>1111</v>
      </c>
      <c r="H17" s="562">
        <v>436</v>
      </c>
      <c r="I17" s="560">
        <v>436</v>
      </c>
      <c r="J17" s="562"/>
      <c r="K17" s="377" t="s">
        <v>1112</v>
      </c>
      <c r="L17" s="447">
        <v>6</v>
      </c>
      <c r="M17" s="447">
        <v>42</v>
      </c>
      <c r="N17" s="448">
        <v>42184</v>
      </c>
    </row>
    <row r="18" spans="1:14">
      <c r="A18" s="559" t="s">
        <v>1479</v>
      </c>
      <c r="B18" s="560" t="s">
        <v>1450</v>
      </c>
      <c r="C18" s="193">
        <v>42173</v>
      </c>
      <c r="D18" s="193">
        <v>42173</v>
      </c>
      <c r="E18" s="562" t="s">
        <v>177</v>
      </c>
      <c r="F18" s="562" t="s">
        <v>1110</v>
      </c>
      <c r="G18" s="562" t="s">
        <v>1113</v>
      </c>
      <c r="H18" s="562">
        <v>62</v>
      </c>
      <c r="I18" s="560">
        <v>62</v>
      </c>
      <c r="J18" s="562"/>
      <c r="K18" s="562" t="s">
        <v>1112</v>
      </c>
      <c r="L18" s="447">
        <v>2</v>
      </c>
      <c r="M18" s="447">
        <v>8</v>
      </c>
      <c r="N18" s="448">
        <v>42178</v>
      </c>
    </row>
    <row r="19" spans="1:14">
      <c r="A19" s="559" t="s">
        <v>1479</v>
      </c>
      <c r="B19" s="560" t="s">
        <v>1450</v>
      </c>
      <c r="C19" s="193">
        <v>42173</v>
      </c>
      <c r="D19" s="193">
        <v>42173</v>
      </c>
      <c r="E19" s="562" t="s">
        <v>223</v>
      </c>
      <c r="F19" s="562" t="s">
        <v>1110</v>
      </c>
      <c r="G19" s="562" t="s">
        <v>1114</v>
      </c>
      <c r="H19" s="562">
        <v>36</v>
      </c>
      <c r="I19" s="560">
        <v>36</v>
      </c>
      <c r="J19" s="562"/>
      <c r="K19" s="377" t="s">
        <v>1112</v>
      </c>
      <c r="L19" s="449">
        <v>5</v>
      </c>
      <c r="M19" s="449">
        <v>35</v>
      </c>
      <c r="N19" s="448">
        <v>42187</v>
      </c>
    </row>
    <row r="20" spans="1:14">
      <c r="A20" s="559" t="s">
        <v>1479</v>
      </c>
      <c r="B20" s="560" t="s">
        <v>1450</v>
      </c>
      <c r="C20" s="193">
        <v>42173</v>
      </c>
      <c r="D20" s="193">
        <v>42150</v>
      </c>
      <c r="E20" s="564" t="s">
        <v>172</v>
      </c>
      <c r="F20" s="562" t="s">
        <v>1110</v>
      </c>
      <c r="G20" s="563" t="s">
        <v>1116</v>
      </c>
      <c r="H20" s="565">
        <v>4</v>
      </c>
      <c r="I20" s="564">
        <v>4</v>
      </c>
      <c r="J20" s="377" t="s">
        <v>1115</v>
      </c>
      <c r="K20" s="562" t="s">
        <v>1112</v>
      </c>
      <c r="L20" s="566">
        <v>2</v>
      </c>
      <c r="M20" s="566">
        <v>8</v>
      </c>
      <c r="N20" s="448">
        <v>42184</v>
      </c>
    </row>
    <row r="21" spans="1:14">
      <c r="A21" s="559" t="s">
        <v>1479</v>
      </c>
      <c r="B21" s="560" t="s">
        <v>1450</v>
      </c>
      <c r="C21" s="193">
        <v>42173</v>
      </c>
      <c r="D21" s="193">
        <v>42173</v>
      </c>
      <c r="E21" s="562" t="s">
        <v>171</v>
      </c>
      <c r="F21" s="562" t="s">
        <v>1110</v>
      </c>
      <c r="G21" s="563" t="s">
        <v>1116</v>
      </c>
      <c r="H21" s="562">
        <v>28</v>
      </c>
      <c r="I21" s="560">
        <v>28</v>
      </c>
      <c r="J21" s="562"/>
      <c r="K21" s="562" t="s">
        <v>1112</v>
      </c>
      <c r="L21" s="447">
        <v>2</v>
      </c>
      <c r="M21" s="447">
        <v>8</v>
      </c>
      <c r="N21" s="448">
        <v>42184</v>
      </c>
    </row>
    <row r="22" spans="1:14">
      <c r="A22" s="559" t="s">
        <v>1479</v>
      </c>
      <c r="B22" s="560" t="s">
        <v>1450</v>
      </c>
      <c r="C22" s="193">
        <v>42173</v>
      </c>
      <c r="D22" s="193">
        <v>42173</v>
      </c>
      <c r="E22" s="561" t="s">
        <v>173</v>
      </c>
      <c r="F22" s="559" t="s">
        <v>1110</v>
      </c>
      <c r="G22" s="567" t="s">
        <v>1125</v>
      </c>
      <c r="H22" s="254">
        <v>0.3</v>
      </c>
      <c r="I22" s="451">
        <v>0.3</v>
      </c>
      <c r="J22" s="568"/>
      <c r="K22" s="562" t="s">
        <v>1112</v>
      </c>
      <c r="L22" s="566">
        <v>0.1</v>
      </c>
      <c r="M22" s="566"/>
      <c r="N22" s="448">
        <v>42182</v>
      </c>
    </row>
    <row r="23" spans="1:14">
      <c r="A23" s="559" t="s">
        <v>1479</v>
      </c>
      <c r="B23" s="560" t="s">
        <v>1450</v>
      </c>
      <c r="C23" s="193">
        <v>42173</v>
      </c>
      <c r="D23" s="193">
        <v>42173</v>
      </c>
      <c r="E23" s="561" t="s">
        <v>173</v>
      </c>
      <c r="F23" s="559" t="s">
        <v>1110</v>
      </c>
      <c r="G23" s="567" t="s">
        <v>1125</v>
      </c>
      <c r="H23" s="254">
        <v>0.3</v>
      </c>
      <c r="I23" s="451">
        <v>0.3</v>
      </c>
      <c r="J23" s="568"/>
      <c r="K23" s="562" t="s">
        <v>1112</v>
      </c>
      <c r="L23" s="566">
        <v>0.1</v>
      </c>
      <c r="M23" s="566"/>
      <c r="N23" s="448">
        <v>42182</v>
      </c>
    </row>
    <row r="24" spans="1:14">
      <c r="A24" s="559" t="s">
        <v>1479</v>
      </c>
      <c r="B24" s="560" t="s">
        <v>1450</v>
      </c>
      <c r="C24" s="193">
        <v>42173</v>
      </c>
      <c r="D24" s="193">
        <v>42173</v>
      </c>
      <c r="E24" s="562" t="s">
        <v>176</v>
      </c>
      <c r="F24" s="562" t="s">
        <v>1110</v>
      </c>
      <c r="G24" s="562" t="s">
        <v>1117</v>
      </c>
      <c r="H24" s="354">
        <v>9</v>
      </c>
      <c r="I24" s="450">
        <v>9</v>
      </c>
      <c r="J24" s="562"/>
      <c r="K24" s="562" t="s">
        <v>1118</v>
      </c>
      <c r="L24" s="447">
        <v>4</v>
      </c>
      <c r="M24" s="447"/>
      <c r="N24" s="448">
        <v>42179</v>
      </c>
    </row>
    <row r="25" spans="1:14">
      <c r="A25" s="559" t="s">
        <v>1480</v>
      </c>
      <c r="B25" s="560" t="s">
        <v>1452</v>
      </c>
      <c r="C25" s="193">
        <v>42173</v>
      </c>
      <c r="D25" s="193">
        <v>42173</v>
      </c>
      <c r="E25" s="561" t="s">
        <v>195</v>
      </c>
      <c r="F25" s="562" t="s">
        <v>1110</v>
      </c>
      <c r="G25" s="563" t="s">
        <v>1111</v>
      </c>
      <c r="H25" s="562">
        <v>386</v>
      </c>
      <c r="I25" s="560">
        <v>386</v>
      </c>
      <c r="J25" s="562"/>
      <c r="K25" s="377" t="s">
        <v>1112</v>
      </c>
      <c r="L25" s="447">
        <v>6</v>
      </c>
      <c r="M25" s="447">
        <v>42</v>
      </c>
      <c r="N25" s="448">
        <v>42184</v>
      </c>
    </row>
    <row r="26" spans="1:14">
      <c r="A26" s="559" t="s">
        <v>1480</v>
      </c>
      <c r="B26" s="560" t="s">
        <v>1452</v>
      </c>
      <c r="C26" s="193">
        <v>42173</v>
      </c>
      <c r="D26" s="193">
        <v>42173</v>
      </c>
      <c r="E26" s="562" t="s">
        <v>177</v>
      </c>
      <c r="F26" s="562" t="s">
        <v>1110</v>
      </c>
      <c r="G26" s="562" t="s">
        <v>1113</v>
      </c>
      <c r="H26" s="562">
        <v>60</v>
      </c>
      <c r="I26" s="560">
        <v>60</v>
      </c>
      <c r="J26" s="562"/>
      <c r="K26" s="562" t="s">
        <v>1112</v>
      </c>
      <c r="L26" s="447">
        <v>2</v>
      </c>
      <c r="M26" s="447">
        <v>8</v>
      </c>
      <c r="N26" s="448">
        <v>42178</v>
      </c>
    </row>
    <row r="27" spans="1:14">
      <c r="A27" s="559" t="s">
        <v>1480</v>
      </c>
      <c r="B27" s="560" t="s">
        <v>1452</v>
      </c>
      <c r="C27" s="193">
        <v>42173</v>
      </c>
      <c r="D27" s="193">
        <v>42173</v>
      </c>
      <c r="E27" s="562" t="s">
        <v>223</v>
      </c>
      <c r="F27" s="562" t="s">
        <v>1110</v>
      </c>
      <c r="G27" s="562" t="s">
        <v>1114</v>
      </c>
      <c r="H27" s="562">
        <v>38</v>
      </c>
      <c r="I27" s="560">
        <v>38</v>
      </c>
      <c r="J27" s="562"/>
      <c r="K27" s="377" t="s">
        <v>1112</v>
      </c>
      <c r="L27" s="449">
        <v>5</v>
      </c>
      <c r="M27" s="449">
        <v>35</v>
      </c>
      <c r="N27" s="448">
        <v>42187</v>
      </c>
    </row>
    <row r="28" spans="1:14">
      <c r="A28" s="559" t="s">
        <v>1480</v>
      </c>
      <c r="B28" s="560" t="s">
        <v>1452</v>
      </c>
      <c r="C28" s="193">
        <v>42173</v>
      </c>
      <c r="D28" s="193">
        <v>42173</v>
      </c>
      <c r="E28" s="564" t="s">
        <v>172</v>
      </c>
      <c r="F28" s="562" t="s">
        <v>1110</v>
      </c>
      <c r="G28" s="563" t="s">
        <v>1116</v>
      </c>
      <c r="H28" s="565">
        <v>6</v>
      </c>
      <c r="I28" s="564">
        <v>6</v>
      </c>
      <c r="J28" s="377" t="s">
        <v>1115</v>
      </c>
      <c r="K28" s="562" t="s">
        <v>1112</v>
      </c>
      <c r="L28" s="566">
        <v>2</v>
      </c>
      <c r="M28" s="566">
        <v>8</v>
      </c>
      <c r="N28" s="448">
        <v>42184</v>
      </c>
    </row>
    <row r="29" spans="1:14">
      <c r="A29" s="559" t="s">
        <v>1480</v>
      </c>
      <c r="B29" s="560" t="s">
        <v>1452</v>
      </c>
      <c r="C29" s="193">
        <v>42173</v>
      </c>
      <c r="D29" s="193">
        <v>42173</v>
      </c>
      <c r="E29" s="562" t="s">
        <v>171</v>
      </c>
      <c r="F29" s="562" t="s">
        <v>1110</v>
      </c>
      <c r="G29" s="563" t="s">
        <v>1116</v>
      </c>
      <c r="H29" s="562">
        <v>31</v>
      </c>
      <c r="I29" s="560">
        <v>31</v>
      </c>
      <c r="J29" s="562"/>
      <c r="K29" s="562" t="s">
        <v>1112</v>
      </c>
      <c r="L29" s="447">
        <v>2</v>
      </c>
      <c r="M29" s="447">
        <v>8</v>
      </c>
      <c r="N29" s="448">
        <v>42184</v>
      </c>
    </row>
    <row r="30" spans="1:14">
      <c r="A30" s="559" t="s">
        <v>1480</v>
      </c>
      <c r="B30" s="560" t="s">
        <v>1452</v>
      </c>
      <c r="C30" s="193">
        <v>42173</v>
      </c>
      <c r="D30" s="193">
        <v>42173</v>
      </c>
      <c r="E30" s="562" t="s">
        <v>176</v>
      </c>
      <c r="F30" s="562" t="s">
        <v>1110</v>
      </c>
      <c r="G30" s="562" t="s">
        <v>1117</v>
      </c>
      <c r="H30" s="354">
        <v>10.199999999999999</v>
      </c>
      <c r="I30" s="450">
        <v>10.199999999999999</v>
      </c>
      <c r="J30" s="562"/>
      <c r="K30" s="562" t="s">
        <v>1118</v>
      </c>
      <c r="L30" s="447">
        <v>4</v>
      </c>
      <c r="M30" s="447"/>
      <c r="N30" s="448">
        <v>42179</v>
      </c>
    </row>
    <row r="31" spans="1:14" s="710" customFormat="1">
      <c r="A31" s="559"/>
      <c r="B31" s="560"/>
      <c r="C31" s="193"/>
      <c r="D31" s="193"/>
      <c r="E31" s="562"/>
      <c r="F31" s="562"/>
      <c r="G31" s="562"/>
      <c r="H31" s="354"/>
      <c r="I31" s="450"/>
      <c r="J31" s="562"/>
      <c r="K31" s="562"/>
      <c r="L31" s="447"/>
      <c r="M31" s="447"/>
      <c r="N31" s="448"/>
    </row>
    <row r="32" spans="1:14">
      <c r="A32" s="559" t="s">
        <v>1571</v>
      </c>
      <c r="B32" s="560" t="s">
        <v>1450</v>
      </c>
      <c r="C32" s="193">
        <v>42200</v>
      </c>
      <c r="D32" s="193">
        <v>42200</v>
      </c>
      <c r="E32" s="561" t="s">
        <v>195</v>
      </c>
      <c r="F32" s="562" t="s">
        <v>1110</v>
      </c>
      <c r="G32" s="563" t="s">
        <v>1111</v>
      </c>
      <c r="H32" s="562">
        <v>455</v>
      </c>
      <c r="I32" s="560">
        <v>455</v>
      </c>
      <c r="J32" s="562"/>
      <c r="K32" s="377" t="s">
        <v>1112</v>
      </c>
      <c r="L32" s="447">
        <v>6</v>
      </c>
      <c r="M32" s="447">
        <v>42</v>
      </c>
      <c r="N32" s="448">
        <v>42207</v>
      </c>
    </row>
    <row r="33" spans="1:14">
      <c r="A33" s="559" t="s">
        <v>1571</v>
      </c>
      <c r="B33" s="560" t="s">
        <v>1450</v>
      </c>
      <c r="C33" s="193">
        <v>42200</v>
      </c>
      <c r="D33" s="193">
        <v>42200</v>
      </c>
      <c r="E33" s="562" t="s">
        <v>177</v>
      </c>
      <c r="F33" s="562" t="s">
        <v>1110</v>
      </c>
      <c r="G33" s="562" t="s">
        <v>1113</v>
      </c>
      <c r="H33" s="562">
        <v>61</v>
      </c>
      <c r="I33" s="560">
        <v>61</v>
      </c>
      <c r="J33" s="562"/>
      <c r="K33" s="562" t="s">
        <v>1112</v>
      </c>
      <c r="L33" s="447">
        <v>2</v>
      </c>
      <c r="M33" s="447">
        <v>8</v>
      </c>
      <c r="N33" s="448">
        <v>42208</v>
      </c>
    </row>
    <row r="34" spans="1:14">
      <c r="A34" s="559" t="s">
        <v>1571</v>
      </c>
      <c r="B34" s="560" t="s">
        <v>1450</v>
      </c>
      <c r="C34" s="193">
        <v>42200</v>
      </c>
      <c r="D34" s="193">
        <v>42200</v>
      </c>
      <c r="E34" s="562" t="s">
        <v>223</v>
      </c>
      <c r="F34" s="562" t="s">
        <v>1110</v>
      </c>
      <c r="G34" s="562" t="s">
        <v>1114</v>
      </c>
      <c r="H34" s="562">
        <v>44</v>
      </c>
      <c r="I34" s="560">
        <v>44</v>
      </c>
      <c r="J34" s="562"/>
      <c r="K34" s="377" t="s">
        <v>1112</v>
      </c>
      <c r="L34" s="449">
        <v>5</v>
      </c>
      <c r="M34" s="449">
        <v>35</v>
      </c>
      <c r="N34" s="448">
        <v>42209</v>
      </c>
    </row>
    <row r="35" spans="1:14">
      <c r="A35" s="559" t="s">
        <v>1571</v>
      </c>
      <c r="B35" s="560" t="s">
        <v>1450</v>
      </c>
      <c r="C35" s="193">
        <v>42200</v>
      </c>
      <c r="D35" s="193">
        <v>42150</v>
      </c>
      <c r="E35" s="564" t="s">
        <v>172</v>
      </c>
      <c r="F35" s="562" t="s">
        <v>1110</v>
      </c>
      <c r="G35" s="563" t="s">
        <v>1116</v>
      </c>
      <c r="H35" s="565">
        <v>10</v>
      </c>
      <c r="I35" s="564">
        <v>10</v>
      </c>
      <c r="J35" s="377"/>
      <c r="K35" s="562" t="s">
        <v>1112</v>
      </c>
      <c r="L35" s="566">
        <v>2</v>
      </c>
      <c r="M35" s="566">
        <v>8</v>
      </c>
      <c r="N35" s="448">
        <v>42207</v>
      </c>
    </row>
    <row r="36" spans="1:14">
      <c r="A36" s="559" t="s">
        <v>1571</v>
      </c>
      <c r="B36" s="560" t="s">
        <v>1450</v>
      </c>
      <c r="C36" s="193">
        <v>42200</v>
      </c>
      <c r="D36" s="193">
        <v>42200</v>
      </c>
      <c r="E36" s="562" t="s">
        <v>171</v>
      </c>
      <c r="F36" s="562" t="s">
        <v>1110</v>
      </c>
      <c r="G36" s="563" t="s">
        <v>1116</v>
      </c>
      <c r="H36" s="562">
        <v>31</v>
      </c>
      <c r="I36" s="560">
        <v>31</v>
      </c>
      <c r="J36" s="562"/>
      <c r="K36" s="562" t="s">
        <v>1112</v>
      </c>
      <c r="L36" s="447">
        <v>2</v>
      </c>
      <c r="M36" s="447">
        <v>8</v>
      </c>
      <c r="N36" s="448">
        <v>42207</v>
      </c>
    </row>
    <row r="37" spans="1:14">
      <c r="A37" s="559" t="s">
        <v>1571</v>
      </c>
      <c r="B37" s="560" t="s">
        <v>1450</v>
      </c>
      <c r="C37" s="193">
        <v>42200</v>
      </c>
      <c r="D37" s="193">
        <v>42200</v>
      </c>
      <c r="E37" s="561" t="s">
        <v>173</v>
      </c>
      <c r="F37" s="559" t="s">
        <v>1110</v>
      </c>
      <c r="G37" s="567" t="s">
        <v>1125</v>
      </c>
      <c r="H37" s="254">
        <v>1.5</v>
      </c>
      <c r="I37" s="451">
        <v>1.5</v>
      </c>
      <c r="J37" s="568"/>
      <c r="K37" s="562" t="s">
        <v>1112</v>
      </c>
      <c r="L37" s="566">
        <v>0.1</v>
      </c>
      <c r="M37" s="566"/>
      <c r="N37" s="448">
        <v>42209</v>
      </c>
    </row>
    <row r="38" spans="1:14">
      <c r="A38" s="559" t="s">
        <v>1571</v>
      </c>
      <c r="B38" s="560" t="s">
        <v>1450</v>
      </c>
      <c r="C38" s="193">
        <v>42200</v>
      </c>
      <c r="D38" s="193">
        <v>42200</v>
      </c>
      <c r="E38" s="561" t="s">
        <v>173</v>
      </c>
      <c r="F38" s="559" t="s">
        <v>1110</v>
      </c>
      <c r="G38" s="567" t="s">
        <v>1125</v>
      </c>
      <c r="H38" s="254">
        <v>1.5</v>
      </c>
      <c r="I38" s="451">
        <v>1.5</v>
      </c>
      <c r="J38" s="568"/>
      <c r="K38" s="562" t="s">
        <v>1112</v>
      </c>
      <c r="L38" s="566">
        <v>0.1</v>
      </c>
      <c r="M38" s="566"/>
      <c r="N38" s="448">
        <v>42209</v>
      </c>
    </row>
    <row r="39" spans="1:14">
      <c r="A39" s="559" t="s">
        <v>1571</v>
      </c>
      <c r="B39" s="560" t="s">
        <v>1450</v>
      </c>
      <c r="C39" s="193">
        <v>42200</v>
      </c>
      <c r="D39" s="193">
        <v>42200</v>
      </c>
      <c r="E39" s="562" t="s">
        <v>176</v>
      </c>
      <c r="F39" s="562" t="s">
        <v>1110</v>
      </c>
      <c r="G39" s="562" t="s">
        <v>1117</v>
      </c>
      <c r="H39" s="354">
        <v>11</v>
      </c>
      <c r="I39" s="450">
        <v>11</v>
      </c>
      <c r="J39" s="562"/>
      <c r="K39" s="562" t="s">
        <v>1118</v>
      </c>
      <c r="L39" s="447">
        <v>4</v>
      </c>
      <c r="M39" s="447"/>
      <c r="N39" s="448">
        <v>42202</v>
      </c>
    </row>
    <row r="40" spans="1:14">
      <c r="A40" s="559" t="s">
        <v>1572</v>
      </c>
      <c r="B40" s="560" t="s">
        <v>1452</v>
      </c>
      <c r="C40" s="193">
        <v>42200</v>
      </c>
      <c r="D40" s="193">
        <v>42200</v>
      </c>
      <c r="E40" s="561" t="s">
        <v>195</v>
      </c>
      <c r="F40" s="562" t="s">
        <v>1110</v>
      </c>
      <c r="G40" s="563" t="s">
        <v>1111</v>
      </c>
      <c r="H40" s="562">
        <v>323</v>
      </c>
      <c r="I40" s="560">
        <v>323</v>
      </c>
      <c r="J40" s="562"/>
      <c r="K40" s="377" t="s">
        <v>1112</v>
      </c>
      <c r="L40" s="447">
        <v>6</v>
      </c>
      <c r="M40" s="447">
        <v>42</v>
      </c>
      <c r="N40" s="448">
        <v>42207</v>
      </c>
    </row>
    <row r="41" spans="1:14">
      <c r="A41" s="559" t="s">
        <v>1572</v>
      </c>
      <c r="B41" s="560" t="s">
        <v>1452</v>
      </c>
      <c r="C41" s="193">
        <v>42200</v>
      </c>
      <c r="D41" s="193">
        <v>42200</v>
      </c>
      <c r="E41" s="562" t="s">
        <v>177</v>
      </c>
      <c r="F41" s="562" t="s">
        <v>1110</v>
      </c>
      <c r="G41" s="562" t="s">
        <v>1113</v>
      </c>
      <c r="H41" s="562">
        <v>58</v>
      </c>
      <c r="I41" s="560">
        <v>58</v>
      </c>
      <c r="J41" s="562"/>
      <c r="K41" s="562" t="s">
        <v>1112</v>
      </c>
      <c r="L41" s="447">
        <v>2</v>
      </c>
      <c r="M41" s="447">
        <v>8</v>
      </c>
      <c r="N41" s="448">
        <v>42208</v>
      </c>
    </row>
    <row r="42" spans="1:14">
      <c r="A42" s="559" t="s">
        <v>1572</v>
      </c>
      <c r="B42" s="560" t="s">
        <v>1452</v>
      </c>
      <c r="C42" s="193">
        <v>42200</v>
      </c>
      <c r="D42" s="193">
        <v>42200</v>
      </c>
      <c r="E42" s="562" t="s">
        <v>223</v>
      </c>
      <c r="F42" s="562" t="s">
        <v>1110</v>
      </c>
      <c r="G42" s="562" t="s">
        <v>1114</v>
      </c>
      <c r="H42" s="562">
        <v>31</v>
      </c>
      <c r="I42" s="560">
        <v>31</v>
      </c>
      <c r="J42" s="562" t="s">
        <v>1115</v>
      </c>
      <c r="K42" s="377" t="s">
        <v>1112</v>
      </c>
      <c r="L42" s="449">
        <v>5</v>
      </c>
      <c r="M42" s="449">
        <v>35</v>
      </c>
      <c r="N42" s="448">
        <v>42209</v>
      </c>
    </row>
    <row r="43" spans="1:14">
      <c r="A43" s="559" t="s">
        <v>1572</v>
      </c>
      <c r="B43" s="560" t="s">
        <v>1452</v>
      </c>
      <c r="C43" s="193">
        <v>42200</v>
      </c>
      <c r="D43" s="193">
        <v>42200</v>
      </c>
      <c r="E43" s="564" t="s">
        <v>172</v>
      </c>
      <c r="F43" s="562" t="s">
        <v>1110</v>
      </c>
      <c r="G43" s="563" t="s">
        <v>1116</v>
      </c>
      <c r="H43" s="565">
        <v>8</v>
      </c>
      <c r="I43" s="564">
        <v>8</v>
      </c>
      <c r="J43" s="377" t="s">
        <v>1115</v>
      </c>
      <c r="K43" s="562" t="s">
        <v>1112</v>
      </c>
      <c r="L43" s="566">
        <v>2</v>
      </c>
      <c r="M43" s="566">
        <v>8</v>
      </c>
      <c r="N43" s="448">
        <v>42207</v>
      </c>
    </row>
    <row r="44" spans="1:14">
      <c r="A44" s="559" t="s">
        <v>1572</v>
      </c>
      <c r="B44" s="560" t="s">
        <v>1452</v>
      </c>
      <c r="C44" s="193">
        <v>42200</v>
      </c>
      <c r="D44" s="193">
        <v>42200</v>
      </c>
      <c r="E44" s="562" t="s">
        <v>171</v>
      </c>
      <c r="F44" s="562" t="s">
        <v>1110</v>
      </c>
      <c r="G44" s="563" t="s">
        <v>1116</v>
      </c>
      <c r="H44" s="562">
        <v>36</v>
      </c>
      <c r="I44" s="560">
        <v>36</v>
      </c>
      <c r="J44" s="562"/>
      <c r="K44" s="562" t="s">
        <v>1112</v>
      </c>
      <c r="L44" s="447">
        <v>2</v>
      </c>
      <c r="M44" s="447">
        <v>8</v>
      </c>
      <c r="N44" s="448">
        <v>42207</v>
      </c>
    </row>
    <row r="45" spans="1:14">
      <c r="A45" s="559" t="s">
        <v>1572</v>
      </c>
      <c r="B45" s="560" t="s">
        <v>1452</v>
      </c>
      <c r="C45" s="193">
        <v>42200</v>
      </c>
      <c r="D45" s="193">
        <v>42200</v>
      </c>
      <c r="E45" s="562" t="s">
        <v>176</v>
      </c>
      <c r="F45" s="562" t="s">
        <v>1110</v>
      </c>
      <c r="G45" s="562" t="s">
        <v>1117</v>
      </c>
      <c r="H45" s="354">
        <v>10.8</v>
      </c>
      <c r="I45" s="450">
        <v>10.8</v>
      </c>
      <c r="J45" s="562"/>
      <c r="K45" s="562" t="s">
        <v>1118</v>
      </c>
      <c r="L45" s="447">
        <v>4</v>
      </c>
      <c r="M45" s="447"/>
      <c r="N45" s="448">
        <v>42202</v>
      </c>
    </row>
    <row r="46" spans="1:14" s="710" customFormat="1">
      <c r="A46" s="559"/>
      <c r="B46" s="560"/>
      <c r="C46" s="193"/>
      <c r="D46" s="193"/>
      <c r="E46" s="562"/>
      <c r="F46" s="562"/>
      <c r="G46" s="562"/>
      <c r="H46" s="354"/>
      <c r="I46" s="450"/>
      <c r="J46" s="562"/>
      <c r="K46" s="562"/>
      <c r="L46" s="447"/>
      <c r="M46" s="447"/>
      <c r="N46" s="448"/>
    </row>
    <row r="47" spans="1:14">
      <c r="A47" s="559" t="s">
        <v>1459</v>
      </c>
      <c r="B47" s="560" t="s">
        <v>1450</v>
      </c>
      <c r="C47" s="193">
        <v>42236</v>
      </c>
      <c r="D47" s="193">
        <v>42236</v>
      </c>
      <c r="E47" s="561" t="s">
        <v>195</v>
      </c>
      <c r="F47" s="562" t="s">
        <v>1110</v>
      </c>
      <c r="G47" s="563" t="s">
        <v>1111</v>
      </c>
      <c r="H47" s="562">
        <v>278</v>
      </c>
      <c r="I47" s="560">
        <v>278</v>
      </c>
      <c r="J47" s="562"/>
      <c r="K47" s="377" t="s">
        <v>1112</v>
      </c>
      <c r="L47" s="447">
        <v>6</v>
      </c>
      <c r="M47" s="447">
        <v>42</v>
      </c>
      <c r="N47" s="448">
        <v>42243</v>
      </c>
    </row>
    <row r="48" spans="1:14">
      <c r="A48" s="559" t="s">
        <v>1459</v>
      </c>
      <c r="B48" s="560" t="s">
        <v>1450</v>
      </c>
      <c r="C48" s="193">
        <v>42236</v>
      </c>
      <c r="D48" s="193">
        <v>42236</v>
      </c>
      <c r="E48" s="562" t="s">
        <v>177</v>
      </c>
      <c r="F48" s="562" t="s">
        <v>1110</v>
      </c>
      <c r="G48" s="562" t="s">
        <v>1113</v>
      </c>
      <c r="H48" s="562">
        <v>42</v>
      </c>
      <c r="I48" s="560">
        <v>42</v>
      </c>
      <c r="J48" s="562"/>
      <c r="K48" s="562" t="s">
        <v>1112</v>
      </c>
      <c r="L48" s="447">
        <v>2</v>
      </c>
      <c r="M48" s="447">
        <v>8</v>
      </c>
      <c r="N48" s="448">
        <v>42237</v>
      </c>
    </row>
    <row r="49" spans="1:14">
      <c r="A49" s="559" t="s">
        <v>1459</v>
      </c>
      <c r="B49" s="560" t="s">
        <v>1450</v>
      </c>
      <c r="C49" s="193">
        <v>42236</v>
      </c>
      <c r="D49" s="193">
        <v>42236</v>
      </c>
      <c r="E49" s="562" t="s">
        <v>223</v>
      </c>
      <c r="F49" s="562" t="s">
        <v>1110</v>
      </c>
      <c r="G49" s="562" t="s">
        <v>1114</v>
      </c>
      <c r="H49" s="562">
        <v>38</v>
      </c>
      <c r="I49" s="560">
        <v>38</v>
      </c>
      <c r="J49" s="562"/>
      <c r="K49" s="377" t="s">
        <v>1112</v>
      </c>
      <c r="L49" s="449">
        <v>5</v>
      </c>
      <c r="M49" s="449">
        <v>35</v>
      </c>
      <c r="N49" s="448">
        <v>42242</v>
      </c>
    </row>
    <row r="50" spans="1:14">
      <c r="A50" s="559" t="s">
        <v>1459</v>
      </c>
      <c r="B50" s="560" t="s">
        <v>1450</v>
      </c>
      <c r="C50" s="193">
        <v>42236</v>
      </c>
      <c r="D50" s="193">
        <v>42236</v>
      </c>
      <c r="E50" s="564" t="s">
        <v>172</v>
      </c>
      <c r="F50" s="562" t="s">
        <v>1110</v>
      </c>
      <c r="G50" s="563" t="s">
        <v>1116</v>
      </c>
      <c r="H50" s="565">
        <v>2</v>
      </c>
      <c r="I50" s="564"/>
      <c r="J50" s="377" t="s">
        <v>1121</v>
      </c>
      <c r="K50" s="562" t="s">
        <v>1112</v>
      </c>
      <c r="L50" s="566">
        <v>2</v>
      </c>
      <c r="M50" s="566">
        <v>8</v>
      </c>
      <c r="N50" s="448">
        <v>42243</v>
      </c>
    </row>
    <row r="51" spans="1:14">
      <c r="A51" s="559" t="s">
        <v>1459</v>
      </c>
      <c r="B51" s="560" t="s">
        <v>1450</v>
      </c>
      <c r="C51" s="193">
        <v>42236</v>
      </c>
      <c r="D51" s="193">
        <v>42236</v>
      </c>
      <c r="E51" s="562" t="s">
        <v>171</v>
      </c>
      <c r="F51" s="562" t="s">
        <v>1110</v>
      </c>
      <c r="G51" s="563" t="s">
        <v>1116</v>
      </c>
      <c r="H51" s="562">
        <v>18</v>
      </c>
      <c r="I51" s="560">
        <v>18</v>
      </c>
      <c r="J51" s="562"/>
      <c r="K51" s="562" t="s">
        <v>1112</v>
      </c>
      <c r="L51" s="447">
        <v>2</v>
      </c>
      <c r="M51" s="447">
        <v>8</v>
      </c>
      <c r="N51" s="448">
        <v>42243</v>
      </c>
    </row>
    <row r="52" spans="1:14">
      <c r="A52" s="559" t="s">
        <v>1459</v>
      </c>
      <c r="B52" s="560" t="s">
        <v>1450</v>
      </c>
      <c r="C52" s="193">
        <v>42236</v>
      </c>
      <c r="D52" s="193">
        <v>42236</v>
      </c>
      <c r="E52" s="561" t="s">
        <v>173</v>
      </c>
      <c r="F52" s="559" t="s">
        <v>1110</v>
      </c>
      <c r="G52" s="567" t="s">
        <v>1125</v>
      </c>
      <c r="H52" s="254">
        <v>3.7</v>
      </c>
      <c r="I52" s="451">
        <v>3.7</v>
      </c>
      <c r="J52" s="568"/>
      <c r="K52" s="562" t="s">
        <v>1112</v>
      </c>
      <c r="L52" s="566">
        <v>0.1</v>
      </c>
      <c r="M52" s="566"/>
      <c r="N52" s="448">
        <v>42243</v>
      </c>
    </row>
    <row r="53" spans="1:14">
      <c r="A53" s="559" t="s">
        <v>1459</v>
      </c>
      <c r="B53" s="560" t="s">
        <v>1450</v>
      </c>
      <c r="C53" s="193">
        <v>42236</v>
      </c>
      <c r="D53" s="193">
        <v>42236</v>
      </c>
      <c r="E53" s="561" t="s">
        <v>173</v>
      </c>
      <c r="F53" s="559" t="s">
        <v>1110</v>
      </c>
      <c r="G53" s="567" t="s">
        <v>1125</v>
      </c>
      <c r="H53" s="254">
        <v>4.4000000000000004</v>
      </c>
      <c r="I53" s="451">
        <v>4.4000000000000004</v>
      </c>
      <c r="J53" s="568"/>
      <c r="K53" s="562" t="s">
        <v>1112</v>
      </c>
      <c r="L53" s="566">
        <v>0.1</v>
      </c>
      <c r="M53" s="566"/>
      <c r="N53" s="448">
        <v>42243</v>
      </c>
    </row>
    <row r="54" spans="1:14">
      <c r="A54" s="559" t="s">
        <v>1459</v>
      </c>
      <c r="B54" s="560" t="s">
        <v>1450</v>
      </c>
      <c r="C54" s="193">
        <v>42236</v>
      </c>
      <c r="D54" s="193">
        <v>42236</v>
      </c>
      <c r="E54" s="562" t="s">
        <v>176</v>
      </c>
      <c r="F54" s="562" t="s">
        <v>1110</v>
      </c>
      <c r="G54" s="562" t="s">
        <v>1117</v>
      </c>
      <c r="H54" s="354">
        <v>7.6</v>
      </c>
      <c r="I54" s="450">
        <v>7.6</v>
      </c>
      <c r="J54" s="562"/>
      <c r="K54" s="562" t="s">
        <v>1118</v>
      </c>
      <c r="L54" s="447">
        <v>4</v>
      </c>
      <c r="M54" s="447"/>
      <c r="N54" s="448">
        <v>42242</v>
      </c>
    </row>
    <row r="55" spans="1:14">
      <c r="A55" s="559" t="s">
        <v>1460</v>
      </c>
      <c r="B55" s="560" t="s">
        <v>1452</v>
      </c>
      <c r="C55" s="193">
        <v>42236</v>
      </c>
      <c r="D55" s="193">
        <v>42236</v>
      </c>
      <c r="E55" s="561" t="s">
        <v>195</v>
      </c>
      <c r="F55" s="562" t="s">
        <v>1110</v>
      </c>
      <c r="G55" s="563" t="s">
        <v>1111</v>
      </c>
      <c r="H55" s="562">
        <v>311</v>
      </c>
      <c r="I55" s="560">
        <v>311</v>
      </c>
      <c r="J55" s="562"/>
      <c r="K55" s="377" t="s">
        <v>1112</v>
      </c>
      <c r="L55" s="447">
        <v>6</v>
      </c>
      <c r="M55" s="447">
        <v>42</v>
      </c>
      <c r="N55" s="448">
        <v>42243</v>
      </c>
    </row>
    <row r="56" spans="1:14">
      <c r="A56" s="559" t="s">
        <v>1460</v>
      </c>
      <c r="B56" s="560" t="s">
        <v>1452</v>
      </c>
      <c r="C56" s="193">
        <v>42236</v>
      </c>
      <c r="D56" s="193">
        <v>42236</v>
      </c>
      <c r="E56" s="562" t="s">
        <v>177</v>
      </c>
      <c r="F56" s="562" t="s">
        <v>1110</v>
      </c>
      <c r="G56" s="562" t="s">
        <v>1113</v>
      </c>
      <c r="H56" s="562">
        <v>41</v>
      </c>
      <c r="I56" s="560">
        <v>41</v>
      </c>
      <c r="J56" s="562"/>
      <c r="K56" s="562" t="s">
        <v>1112</v>
      </c>
      <c r="L56" s="447">
        <v>2</v>
      </c>
      <c r="M56" s="447">
        <v>8</v>
      </c>
      <c r="N56" s="448">
        <v>42237</v>
      </c>
    </row>
    <row r="57" spans="1:14">
      <c r="A57" s="559" t="s">
        <v>1460</v>
      </c>
      <c r="B57" s="560" t="s">
        <v>1452</v>
      </c>
      <c r="C57" s="193">
        <v>42236</v>
      </c>
      <c r="D57" s="193">
        <v>42236</v>
      </c>
      <c r="E57" s="562" t="s">
        <v>223</v>
      </c>
      <c r="F57" s="562" t="s">
        <v>1110</v>
      </c>
      <c r="G57" s="562" t="s">
        <v>1114</v>
      </c>
      <c r="H57" s="562">
        <v>49</v>
      </c>
      <c r="I57" s="560">
        <v>49</v>
      </c>
      <c r="J57" s="562"/>
      <c r="K57" s="377" t="s">
        <v>1112</v>
      </c>
      <c r="L57" s="449">
        <v>5</v>
      </c>
      <c r="M57" s="449">
        <v>35</v>
      </c>
      <c r="N57" s="448">
        <v>42242</v>
      </c>
    </row>
    <row r="58" spans="1:14">
      <c r="A58" s="559" t="s">
        <v>1460</v>
      </c>
      <c r="B58" s="560" t="s">
        <v>1452</v>
      </c>
      <c r="C58" s="193">
        <v>42236</v>
      </c>
      <c r="D58" s="193">
        <v>42236</v>
      </c>
      <c r="E58" s="564" t="s">
        <v>172</v>
      </c>
      <c r="F58" s="562" t="s">
        <v>1110</v>
      </c>
      <c r="G58" s="563" t="s">
        <v>1116</v>
      </c>
      <c r="H58" s="565">
        <v>2</v>
      </c>
      <c r="I58" s="564"/>
      <c r="J58" s="377" t="s">
        <v>1121</v>
      </c>
      <c r="K58" s="562" t="s">
        <v>1112</v>
      </c>
      <c r="L58" s="566">
        <v>2</v>
      </c>
      <c r="M58" s="566">
        <v>8</v>
      </c>
      <c r="N58" s="448">
        <v>42243</v>
      </c>
    </row>
    <row r="59" spans="1:14">
      <c r="A59" s="559" t="s">
        <v>1460</v>
      </c>
      <c r="B59" s="560" t="s">
        <v>1452</v>
      </c>
      <c r="C59" s="193">
        <v>42236</v>
      </c>
      <c r="D59" s="193">
        <v>42236</v>
      </c>
      <c r="E59" s="562" t="s">
        <v>171</v>
      </c>
      <c r="F59" s="562" t="s">
        <v>1110</v>
      </c>
      <c r="G59" s="563" t="s">
        <v>1116</v>
      </c>
      <c r="H59" s="562">
        <v>20</v>
      </c>
      <c r="I59" s="560">
        <v>20</v>
      </c>
      <c r="J59" s="562"/>
      <c r="K59" s="562" t="s">
        <v>1112</v>
      </c>
      <c r="L59" s="447">
        <v>2</v>
      </c>
      <c r="M59" s="447">
        <v>8</v>
      </c>
      <c r="N59" s="448">
        <v>42243</v>
      </c>
    </row>
    <row r="60" spans="1:14">
      <c r="A60" s="559" t="s">
        <v>1460</v>
      </c>
      <c r="B60" s="560" t="s">
        <v>1452</v>
      </c>
      <c r="C60" s="193">
        <v>42236</v>
      </c>
      <c r="D60" s="193">
        <v>42236</v>
      </c>
      <c r="E60" s="562" t="s">
        <v>176</v>
      </c>
      <c r="F60" s="562" t="s">
        <v>1110</v>
      </c>
      <c r="G60" s="562" t="s">
        <v>1117</v>
      </c>
      <c r="H60" s="354">
        <v>8.8000000000000007</v>
      </c>
      <c r="I60" s="450">
        <v>8.8000000000000007</v>
      </c>
      <c r="J60" s="562"/>
      <c r="K60" s="562" t="s">
        <v>1118</v>
      </c>
      <c r="L60" s="447">
        <v>4</v>
      </c>
      <c r="M60" s="447"/>
      <c r="N60" s="448">
        <v>42242</v>
      </c>
    </row>
    <row r="61" spans="1:14" s="710" customFormat="1">
      <c r="A61" s="559"/>
      <c r="B61" s="560"/>
      <c r="C61" s="193"/>
      <c r="D61" s="193"/>
      <c r="E61" s="562"/>
      <c r="F61" s="562"/>
      <c r="G61" s="562"/>
      <c r="H61" s="354"/>
      <c r="I61" s="450"/>
      <c r="J61" s="562"/>
      <c r="K61" s="562"/>
      <c r="L61" s="447"/>
      <c r="M61" s="447"/>
      <c r="N61" s="448"/>
    </row>
    <row r="62" spans="1:14">
      <c r="A62" s="1076" t="s">
        <v>1600</v>
      </c>
      <c r="B62" s="96" t="s">
        <v>1450</v>
      </c>
      <c r="C62" s="193">
        <v>42264</v>
      </c>
      <c r="D62" s="193">
        <v>42264</v>
      </c>
      <c r="E62" s="561" t="s">
        <v>195</v>
      </c>
      <c r="F62" s="1077" t="s">
        <v>1110</v>
      </c>
      <c r="G62" s="79" t="s">
        <v>1111</v>
      </c>
      <c r="H62" s="562">
        <v>252</v>
      </c>
      <c r="I62" s="560">
        <v>252</v>
      </c>
      <c r="J62" s="1077"/>
      <c r="K62" s="377" t="s">
        <v>1112</v>
      </c>
      <c r="L62" s="447">
        <v>6</v>
      </c>
      <c r="M62" s="447">
        <v>42</v>
      </c>
      <c r="N62" s="448">
        <v>42274</v>
      </c>
    </row>
    <row r="63" spans="1:14">
      <c r="A63" s="1076" t="s">
        <v>1600</v>
      </c>
      <c r="B63" s="96" t="s">
        <v>1450</v>
      </c>
      <c r="C63" s="193">
        <v>42264</v>
      </c>
      <c r="D63" s="193">
        <v>42264</v>
      </c>
      <c r="E63" s="1077" t="s">
        <v>177</v>
      </c>
      <c r="F63" s="1077" t="s">
        <v>1110</v>
      </c>
      <c r="G63" s="1077" t="s">
        <v>1113</v>
      </c>
      <c r="H63" s="562">
        <v>34</v>
      </c>
      <c r="I63" s="560">
        <v>34</v>
      </c>
      <c r="J63" s="562"/>
      <c r="K63" s="1077" t="s">
        <v>1112</v>
      </c>
      <c r="L63" s="447">
        <v>2</v>
      </c>
      <c r="M63" s="447">
        <v>8</v>
      </c>
      <c r="N63" s="448">
        <v>42265</v>
      </c>
    </row>
    <row r="64" spans="1:14">
      <c r="A64" s="1076" t="s">
        <v>1600</v>
      </c>
      <c r="B64" s="96" t="s">
        <v>1450</v>
      </c>
      <c r="C64" s="193">
        <v>42264</v>
      </c>
      <c r="D64" s="193">
        <v>42264</v>
      </c>
      <c r="E64" s="1077" t="s">
        <v>223</v>
      </c>
      <c r="F64" s="1077" t="s">
        <v>1110</v>
      </c>
      <c r="G64" s="1077" t="s">
        <v>1114</v>
      </c>
      <c r="H64" s="562">
        <v>43</v>
      </c>
      <c r="I64" s="560">
        <v>43</v>
      </c>
      <c r="J64" s="562"/>
      <c r="K64" s="377" t="s">
        <v>1112</v>
      </c>
      <c r="L64" s="449">
        <v>5</v>
      </c>
      <c r="M64" s="449">
        <v>35</v>
      </c>
      <c r="N64" s="448">
        <v>42268</v>
      </c>
    </row>
    <row r="65" spans="1:14">
      <c r="A65" s="1076" t="s">
        <v>1600</v>
      </c>
      <c r="B65" s="96" t="s">
        <v>1450</v>
      </c>
      <c r="C65" s="193">
        <v>42264</v>
      </c>
      <c r="D65" s="193">
        <v>42264</v>
      </c>
      <c r="E65" s="81" t="s">
        <v>172</v>
      </c>
      <c r="F65" s="1077" t="s">
        <v>1110</v>
      </c>
      <c r="G65" s="79" t="s">
        <v>1116</v>
      </c>
      <c r="H65" s="565">
        <v>2</v>
      </c>
      <c r="I65" s="564"/>
      <c r="J65" s="377" t="s">
        <v>1121</v>
      </c>
      <c r="K65" s="1077" t="s">
        <v>1112</v>
      </c>
      <c r="L65" s="566">
        <v>2</v>
      </c>
      <c r="M65" s="566">
        <v>8</v>
      </c>
      <c r="N65" s="448">
        <v>42274</v>
      </c>
    </row>
    <row r="66" spans="1:14">
      <c r="A66" s="1076" t="s">
        <v>1600</v>
      </c>
      <c r="B66" s="96" t="s">
        <v>1450</v>
      </c>
      <c r="C66" s="193">
        <v>42264</v>
      </c>
      <c r="D66" s="193">
        <v>42264</v>
      </c>
      <c r="E66" s="1077" t="s">
        <v>171</v>
      </c>
      <c r="F66" s="1077" t="s">
        <v>1110</v>
      </c>
      <c r="G66" s="79" t="s">
        <v>1116</v>
      </c>
      <c r="H66" s="562">
        <v>15</v>
      </c>
      <c r="I66" s="560">
        <v>15</v>
      </c>
      <c r="J66" s="562"/>
      <c r="K66" s="1077" t="s">
        <v>1112</v>
      </c>
      <c r="L66" s="447">
        <v>2</v>
      </c>
      <c r="M66" s="447">
        <v>8</v>
      </c>
      <c r="N66" s="448">
        <v>42274</v>
      </c>
    </row>
    <row r="67" spans="1:14">
      <c r="A67" s="1076" t="s">
        <v>1600</v>
      </c>
      <c r="B67" s="96" t="s">
        <v>1450</v>
      </c>
      <c r="C67" s="193">
        <v>42264</v>
      </c>
      <c r="D67" s="193">
        <v>42264</v>
      </c>
      <c r="E67" s="561" t="s">
        <v>173</v>
      </c>
      <c r="F67" s="1076" t="s">
        <v>1110</v>
      </c>
      <c r="G67" s="82" t="s">
        <v>1125</v>
      </c>
      <c r="H67" s="254">
        <v>3.6</v>
      </c>
      <c r="I67" s="451">
        <v>3.6</v>
      </c>
      <c r="J67" s="1078"/>
      <c r="K67" s="1077" t="s">
        <v>1112</v>
      </c>
      <c r="L67" s="566">
        <v>0.1</v>
      </c>
      <c r="M67" s="566"/>
      <c r="N67" s="448">
        <v>42284</v>
      </c>
    </row>
    <row r="68" spans="1:14">
      <c r="A68" s="1076" t="s">
        <v>1600</v>
      </c>
      <c r="B68" s="96" t="s">
        <v>1450</v>
      </c>
      <c r="C68" s="193">
        <v>42264</v>
      </c>
      <c r="D68" s="193">
        <v>42264</v>
      </c>
      <c r="E68" s="561" t="s">
        <v>173</v>
      </c>
      <c r="F68" s="1076" t="s">
        <v>1110</v>
      </c>
      <c r="G68" s="82" t="s">
        <v>1125</v>
      </c>
      <c r="H68" s="254">
        <v>3.6</v>
      </c>
      <c r="I68" s="451">
        <v>3.6</v>
      </c>
      <c r="J68" s="1078"/>
      <c r="K68" s="1077" t="s">
        <v>1112</v>
      </c>
      <c r="L68" s="566">
        <v>0.1</v>
      </c>
      <c r="M68" s="566"/>
      <c r="N68" s="448">
        <v>42284</v>
      </c>
    </row>
    <row r="69" spans="1:14">
      <c r="A69" s="1076" t="s">
        <v>1600</v>
      </c>
      <c r="B69" s="96" t="s">
        <v>1450</v>
      </c>
      <c r="C69" s="193">
        <v>42264</v>
      </c>
      <c r="D69" s="193">
        <v>42264</v>
      </c>
      <c r="E69" s="1077" t="s">
        <v>176</v>
      </c>
      <c r="F69" s="1077" t="s">
        <v>1110</v>
      </c>
      <c r="G69" s="1077" t="s">
        <v>1117</v>
      </c>
      <c r="H69" s="354">
        <v>4.3</v>
      </c>
      <c r="I69" s="450">
        <v>4.3</v>
      </c>
      <c r="J69" s="562"/>
      <c r="K69" s="1077" t="s">
        <v>1118</v>
      </c>
      <c r="L69" s="447">
        <v>4</v>
      </c>
      <c r="M69" s="447"/>
      <c r="N69" s="448">
        <v>42269</v>
      </c>
    </row>
    <row r="70" spans="1:14">
      <c r="A70" s="1076" t="s">
        <v>1601</v>
      </c>
      <c r="B70" s="96" t="s">
        <v>1452</v>
      </c>
      <c r="C70" s="193">
        <v>42264</v>
      </c>
      <c r="D70" s="193">
        <v>42264</v>
      </c>
      <c r="E70" s="561" t="s">
        <v>195</v>
      </c>
      <c r="F70" s="1077" t="s">
        <v>1110</v>
      </c>
      <c r="G70" s="79" t="s">
        <v>1111</v>
      </c>
      <c r="H70" s="562">
        <v>303</v>
      </c>
      <c r="I70" s="560">
        <v>303</v>
      </c>
      <c r="J70" s="1077"/>
      <c r="K70" s="377" t="s">
        <v>1112</v>
      </c>
      <c r="L70" s="447">
        <v>6</v>
      </c>
      <c r="M70" s="447">
        <v>42</v>
      </c>
      <c r="N70" s="448">
        <v>42274</v>
      </c>
    </row>
    <row r="71" spans="1:14">
      <c r="A71" s="1076" t="s">
        <v>1601</v>
      </c>
      <c r="B71" s="96" t="s">
        <v>1452</v>
      </c>
      <c r="C71" s="193">
        <v>42264</v>
      </c>
      <c r="D71" s="193">
        <v>42264</v>
      </c>
      <c r="E71" s="1077" t="s">
        <v>177</v>
      </c>
      <c r="F71" s="1077" t="s">
        <v>1110</v>
      </c>
      <c r="G71" s="1077" t="s">
        <v>1113</v>
      </c>
      <c r="H71" s="562">
        <v>31</v>
      </c>
      <c r="I71" s="560">
        <v>31</v>
      </c>
      <c r="J71" s="562"/>
      <c r="K71" s="1077" t="s">
        <v>1112</v>
      </c>
      <c r="L71" s="447">
        <v>2</v>
      </c>
      <c r="M71" s="447">
        <v>8</v>
      </c>
      <c r="N71" s="448">
        <v>42265</v>
      </c>
    </row>
    <row r="72" spans="1:14">
      <c r="A72" s="1076" t="s">
        <v>1601</v>
      </c>
      <c r="B72" s="96" t="s">
        <v>1452</v>
      </c>
      <c r="C72" s="193">
        <v>42264</v>
      </c>
      <c r="D72" s="193">
        <v>42264</v>
      </c>
      <c r="E72" s="1077" t="s">
        <v>223</v>
      </c>
      <c r="F72" s="1077" t="s">
        <v>1110</v>
      </c>
      <c r="G72" s="1077" t="s">
        <v>1114</v>
      </c>
      <c r="H72" s="562">
        <v>143</v>
      </c>
      <c r="I72" s="560">
        <v>143</v>
      </c>
      <c r="J72" s="562"/>
      <c r="K72" s="377" t="s">
        <v>1112</v>
      </c>
      <c r="L72" s="449">
        <v>5</v>
      </c>
      <c r="M72" s="449">
        <v>35</v>
      </c>
      <c r="N72" s="448">
        <v>42268</v>
      </c>
    </row>
    <row r="73" spans="1:14">
      <c r="A73" s="1076" t="s">
        <v>1601</v>
      </c>
      <c r="B73" s="96" t="s">
        <v>1452</v>
      </c>
      <c r="C73" s="193">
        <v>42264</v>
      </c>
      <c r="D73" s="193">
        <v>42264</v>
      </c>
      <c r="E73" s="81" t="s">
        <v>172</v>
      </c>
      <c r="F73" s="1077" t="s">
        <v>1110</v>
      </c>
      <c r="G73" s="79" t="s">
        <v>1116</v>
      </c>
      <c r="H73" s="565">
        <v>4</v>
      </c>
      <c r="I73" s="564">
        <v>4</v>
      </c>
      <c r="J73" s="377" t="s">
        <v>1115</v>
      </c>
      <c r="K73" s="1077" t="s">
        <v>1112</v>
      </c>
      <c r="L73" s="566">
        <v>2</v>
      </c>
      <c r="M73" s="566">
        <v>8</v>
      </c>
      <c r="N73" s="448">
        <v>42274</v>
      </c>
    </row>
    <row r="74" spans="1:14">
      <c r="A74" s="1076" t="s">
        <v>1601</v>
      </c>
      <c r="B74" s="96" t="s">
        <v>1452</v>
      </c>
      <c r="C74" s="193">
        <v>42264</v>
      </c>
      <c r="D74" s="193">
        <v>42264</v>
      </c>
      <c r="E74" s="1077" t="s">
        <v>171</v>
      </c>
      <c r="F74" s="1077" t="s">
        <v>1110</v>
      </c>
      <c r="G74" s="79" t="s">
        <v>1116</v>
      </c>
      <c r="H74" s="562">
        <v>19</v>
      </c>
      <c r="I74" s="560">
        <v>19</v>
      </c>
      <c r="J74" s="562"/>
      <c r="K74" s="1077" t="s">
        <v>1112</v>
      </c>
      <c r="L74" s="447">
        <v>2</v>
      </c>
      <c r="M74" s="447">
        <v>8</v>
      </c>
      <c r="N74" s="448">
        <v>42274</v>
      </c>
    </row>
    <row r="75" spans="1:14">
      <c r="A75" s="1076" t="s">
        <v>1601</v>
      </c>
      <c r="B75" s="96" t="s">
        <v>1452</v>
      </c>
      <c r="C75" s="193">
        <v>42264</v>
      </c>
      <c r="D75" s="193">
        <v>42264</v>
      </c>
      <c r="E75" s="1077" t="s">
        <v>176</v>
      </c>
      <c r="F75" s="1077" t="s">
        <v>1110</v>
      </c>
      <c r="G75" s="1077" t="s">
        <v>1117</v>
      </c>
      <c r="H75" s="354">
        <v>5.2</v>
      </c>
      <c r="I75" s="450">
        <v>5.2</v>
      </c>
      <c r="J75" s="562"/>
      <c r="K75" s="1077" t="s">
        <v>1118</v>
      </c>
      <c r="L75" s="447">
        <v>4</v>
      </c>
      <c r="M75" s="447"/>
      <c r="N75" s="448">
        <v>42269</v>
      </c>
    </row>
    <row r="77" spans="1:14">
      <c r="A77" s="559" t="s">
        <v>1449</v>
      </c>
      <c r="B77" s="560" t="s">
        <v>1450</v>
      </c>
      <c r="C77" s="193">
        <v>42305</v>
      </c>
      <c r="D77" s="193">
        <v>42305</v>
      </c>
      <c r="E77" s="561" t="s">
        <v>195</v>
      </c>
      <c r="F77" s="562" t="s">
        <v>1110</v>
      </c>
      <c r="G77" s="563" t="s">
        <v>1111</v>
      </c>
      <c r="H77" s="562">
        <v>281</v>
      </c>
      <c r="I77" s="560">
        <v>281</v>
      </c>
      <c r="J77" s="562"/>
      <c r="K77" s="377" t="s">
        <v>1112</v>
      </c>
      <c r="L77" s="447">
        <v>6</v>
      </c>
      <c r="M77" s="447">
        <v>42</v>
      </c>
      <c r="N77" s="448">
        <v>42312</v>
      </c>
    </row>
    <row r="78" spans="1:14">
      <c r="A78" s="559" t="s">
        <v>1449</v>
      </c>
      <c r="B78" s="560" t="s">
        <v>1450</v>
      </c>
      <c r="C78" s="193">
        <v>42305</v>
      </c>
      <c r="D78" s="193">
        <v>42305</v>
      </c>
      <c r="E78" s="562" t="s">
        <v>177</v>
      </c>
      <c r="F78" s="562" t="s">
        <v>1110</v>
      </c>
      <c r="G78" s="562" t="s">
        <v>1113</v>
      </c>
      <c r="H78" s="562">
        <v>52</v>
      </c>
      <c r="I78" s="560">
        <v>52</v>
      </c>
      <c r="J78" s="562"/>
      <c r="K78" s="562" t="s">
        <v>1112</v>
      </c>
      <c r="L78" s="447">
        <v>2</v>
      </c>
      <c r="M78" s="447">
        <v>8</v>
      </c>
      <c r="N78" s="448">
        <v>42306</v>
      </c>
    </row>
    <row r="79" spans="1:14">
      <c r="A79" s="559" t="s">
        <v>1449</v>
      </c>
      <c r="B79" s="560" t="s">
        <v>1450</v>
      </c>
      <c r="C79" s="193">
        <v>42305</v>
      </c>
      <c r="D79" s="193">
        <v>42305</v>
      </c>
      <c r="E79" s="562" t="s">
        <v>223</v>
      </c>
      <c r="F79" s="562" t="s">
        <v>1110</v>
      </c>
      <c r="G79" s="562" t="s">
        <v>1114</v>
      </c>
      <c r="H79" s="562">
        <v>58</v>
      </c>
      <c r="I79" s="560">
        <v>58</v>
      </c>
      <c r="J79" s="562"/>
      <c r="K79" s="377" t="s">
        <v>1112</v>
      </c>
      <c r="L79" s="449">
        <v>5</v>
      </c>
      <c r="M79" s="449">
        <v>35</v>
      </c>
      <c r="N79" s="448">
        <v>42309</v>
      </c>
    </row>
    <row r="80" spans="1:14">
      <c r="A80" s="559" t="s">
        <v>1449</v>
      </c>
      <c r="B80" s="560" t="s">
        <v>1450</v>
      </c>
      <c r="C80" s="193">
        <v>42305</v>
      </c>
      <c r="D80" s="193">
        <v>42305</v>
      </c>
      <c r="E80" s="564" t="s">
        <v>172</v>
      </c>
      <c r="F80" s="562" t="s">
        <v>1110</v>
      </c>
      <c r="G80" s="563" t="s">
        <v>1116</v>
      </c>
      <c r="H80" s="565">
        <v>2</v>
      </c>
      <c r="I80" s="564"/>
      <c r="J80" s="377" t="s">
        <v>1121</v>
      </c>
      <c r="K80" s="562" t="s">
        <v>1112</v>
      </c>
      <c r="L80" s="566">
        <v>2</v>
      </c>
      <c r="M80" s="566">
        <v>8</v>
      </c>
      <c r="N80" s="448">
        <v>42312</v>
      </c>
    </row>
    <row r="81" spans="1:14">
      <c r="A81" s="559" t="s">
        <v>1449</v>
      </c>
      <c r="B81" s="560" t="s">
        <v>1450</v>
      </c>
      <c r="C81" s="193">
        <v>42305</v>
      </c>
      <c r="D81" s="193">
        <v>42305</v>
      </c>
      <c r="E81" s="562" t="s">
        <v>171</v>
      </c>
      <c r="F81" s="562" t="s">
        <v>1110</v>
      </c>
      <c r="G81" s="563" t="s">
        <v>1116</v>
      </c>
      <c r="H81" s="562">
        <v>11</v>
      </c>
      <c r="I81" s="560">
        <v>11</v>
      </c>
      <c r="J81" s="562"/>
      <c r="K81" s="562" t="s">
        <v>1112</v>
      </c>
      <c r="L81" s="447">
        <v>2</v>
      </c>
      <c r="M81" s="447">
        <v>8</v>
      </c>
      <c r="N81" s="448">
        <v>42312</v>
      </c>
    </row>
    <row r="82" spans="1:14">
      <c r="A82" s="559" t="s">
        <v>1449</v>
      </c>
      <c r="B82" s="560" t="s">
        <v>1450</v>
      </c>
      <c r="C82" s="193">
        <v>42305</v>
      </c>
      <c r="D82" s="193">
        <v>42305</v>
      </c>
      <c r="E82" s="561" t="s">
        <v>173</v>
      </c>
      <c r="F82" s="559" t="s">
        <v>1110</v>
      </c>
      <c r="G82" s="567" t="s">
        <v>1125</v>
      </c>
      <c r="H82" s="254">
        <v>3.5</v>
      </c>
      <c r="I82" s="451">
        <v>3.5</v>
      </c>
      <c r="J82" s="568"/>
      <c r="K82" s="562" t="s">
        <v>1112</v>
      </c>
      <c r="L82" s="566">
        <v>0.1</v>
      </c>
      <c r="M82" s="566"/>
      <c r="N82" s="448">
        <v>42313</v>
      </c>
    </row>
    <row r="83" spans="1:14">
      <c r="A83" s="559" t="s">
        <v>1449</v>
      </c>
      <c r="B83" s="560" t="s">
        <v>1450</v>
      </c>
      <c r="C83" s="193">
        <v>42305</v>
      </c>
      <c r="D83" s="193">
        <v>42305</v>
      </c>
      <c r="E83" s="561" t="s">
        <v>173</v>
      </c>
      <c r="F83" s="559" t="s">
        <v>1110</v>
      </c>
      <c r="G83" s="567" t="s">
        <v>1125</v>
      </c>
      <c r="H83" s="254">
        <v>2.4</v>
      </c>
      <c r="I83" s="451">
        <v>2.4</v>
      </c>
      <c r="J83" s="568"/>
      <c r="K83" s="562" t="s">
        <v>1112</v>
      </c>
      <c r="L83" s="566">
        <v>0.1</v>
      </c>
      <c r="M83" s="566"/>
      <c r="N83" s="448">
        <v>42313</v>
      </c>
    </row>
    <row r="84" spans="1:14">
      <c r="A84" s="559" t="s">
        <v>1449</v>
      </c>
      <c r="B84" s="560" t="s">
        <v>1450</v>
      </c>
      <c r="C84" s="193">
        <v>42305</v>
      </c>
      <c r="D84" s="193">
        <v>42305</v>
      </c>
      <c r="E84" s="562" t="s">
        <v>176</v>
      </c>
      <c r="F84" s="562" t="s">
        <v>1110</v>
      </c>
      <c r="G84" s="562" t="s">
        <v>1117</v>
      </c>
      <c r="H84" s="354">
        <v>4</v>
      </c>
      <c r="I84" s="450"/>
      <c r="J84" s="562" t="s">
        <v>1121</v>
      </c>
      <c r="K84" s="562" t="s">
        <v>1118</v>
      </c>
      <c r="L84" s="447">
        <v>4</v>
      </c>
      <c r="M84" s="447"/>
      <c r="N84" s="448">
        <v>42310</v>
      </c>
    </row>
    <row r="85" spans="1:14">
      <c r="A85" s="559" t="s">
        <v>1451</v>
      </c>
      <c r="B85" s="560" t="s">
        <v>1452</v>
      </c>
      <c r="C85" s="193">
        <v>42305</v>
      </c>
      <c r="D85" s="193">
        <v>42305</v>
      </c>
      <c r="E85" s="561" t="s">
        <v>195</v>
      </c>
      <c r="F85" s="562" t="s">
        <v>1110</v>
      </c>
      <c r="G85" s="563" t="s">
        <v>1111</v>
      </c>
      <c r="H85" s="562">
        <v>208</v>
      </c>
      <c r="I85" s="560">
        <v>208</v>
      </c>
      <c r="J85" s="562"/>
      <c r="K85" s="377" t="s">
        <v>1112</v>
      </c>
      <c r="L85" s="447">
        <v>6</v>
      </c>
      <c r="M85" s="447">
        <v>42</v>
      </c>
      <c r="N85" s="448">
        <v>42312</v>
      </c>
    </row>
    <row r="86" spans="1:14">
      <c r="A86" s="559" t="s">
        <v>1451</v>
      </c>
      <c r="B86" s="560" t="s">
        <v>1452</v>
      </c>
      <c r="C86" s="193">
        <v>42305</v>
      </c>
      <c r="D86" s="193">
        <v>42305</v>
      </c>
      <c r="E86" s="562" t="s">
        <v>177</v>
      </c>
      <c r="F86" s="562" t="s">
        <v>1110</v>
      </c>
      <c r="G86" s="562" t="s">
        <v>1113</v>
      </c>
      <c r="H86" s="562">
        <v>49</v>
      </c>
      <c r="I86" s="560">
        <v>49</v>
      </c>
      <c r="J86" s="562"/>
      <c r="K86" s="562" t="s">
        <v>1112</v>
      </c>
      <c r="L86" s="447">
        <v>2</v>
      </c>
      <c r="M86" s="447">
        <v>8</v>
      </c>
      <c r="N86" s="448">
        <v>42306</v>
      </c>
    </row>
    <row r="87" spans="1:14">
      <c r="A87" s="559" t="s">
        <v>1451</v>
      </c>
      <c r="B87" s="560" t="s">
        <v>1452</v>
      </c>
      <c r="C87" s="193">
        <v>42305</v>
      </c>
      <c r="D87" s="193">
        <v>42305</v>
      </c>
      <c r="E87" s="562" t="s">
        <v>223</v>
      </c>
      <c r="F87" s="562" t="s">
        <v>1110</v>
      </c>
      <c r="G87" s="562" t="s">
        <v>1114</v>
      </c>
      <c r="H87" s="562">
        <v>59</v>
      </c>
      <c r="I87" s="560">
        <v>59</v>
      </c>
      <c r="J87" s="562"/>
      <c r="K87" s="377" t="s">
        <v>1112</v>
      </c>
      <c r="L87" s="449">
        <v>5</v>
      </c>
      <c r="M87" s="449">
        <v>35</v>
      </c>
      <c r="N87" s="448">
        <v>42309</v>
      </c>
    </row>
    <row r="88" spans="1:14">
      <c r="A88" s="559" t="s">
        <v>1451</v>
      </c>
      <c r="B88" s="560" t="s">
        <v>1452</v>
      </c>
      <c r="C88" s="193">
        <v>42305</v>
      </c>
      <c r="D88" s="193">
        <v>42305</v>
      </c>
      <c r="E88" s="564" t="s">
        <v>172</v>
      </c>
      <c r="F88" s="562" t="s">
        <v>1110</v>
      </c>
      <c r="G88" s="563" t="s">
        <v>1116</v>
      </c>
      <c r="H88" s="565">
        <v>2</v>
      </c>
      <c r="I88" s="564"/>
      <c r="J88" s="377" t="s">
        <v>1121</v>
      </c>
      <c r="K88" s="562" t="s">
        <v>1112</v>
      </c>
      <c r="L88" s="566">
        <v>2</v>
      </c>
      <c r="M88" s="566">
        <v>8</v>
      </c>
      <c r="N88" s="448">
        <v>42312</v>
      </c>
    </row>
    <row r="89" spans="1:14">
      <c r="A89" s="559" t="s">
        <v>1451</v>
      </c>
      <c r="B89" s="560" t="s">
        <v>1452</v>
      </c>
      <c r="C89" s="193">
        <v>42305</v>
      </c>
      <c r="D89" s="193">
        <v>42305</v>
      </c>
      <c r="E89" s="562" t="s">
        <v>171</v>
      </c>
      <c r="F89" s="562" t="s">
        <v>1110</v>
      </c>
      <c r="G89" s="563" t="s">
        <v>1116</v>
      </c>
      <c r="H89" s="562">
        <v>12</v>
      </c>
      <c r="I89" s="560">
        <v>12</v>
      </c>
      <c r="J89" s="562"/>
      <c r="K89" s="562" t="s">
        <v>1112</v>
      </c>
      <c r="L89" s="447">
        <v>2</v>
      </c>
      <c r="M89" s="447">
        <v>8</v>
      </c>
      <c r="N89" s="448">
        <v>42312</v>
      </c>
    </row>
    <row r="90" spans="1:14">
      <c r="A90" s="559" t="s">
        <v>1451</v>
      </c>
      <c r="B90" s="560" t="s">
        <v>1452</v>
      </c>
      <c r="C90" s="193">
        <v>42305</v>
      </c>
      <c r="D90" s="193">
        <v>42305</v>
      </c>
      <c r="E90" s="562" t="s">
        <v>176</v>
      </c>
      <c r="F90" s="562" t="s">
        <v>1110</v>
      </c>
      <c r="G90" s="562" t="s">
        <v>1117</v>
      </c>
      <c r="H90" s="354">
        <v>4</v>
      </c>
      <c r="I90" s="450"/>
      <c r="J90" s="562" t="s">
        <v>1121</v>
      </c>
      <c r="K90" s="562" t="s">
        <v>1118</v>
      </c>
      <c r="L90" s="447">
        <v>4</v>
      </c>
      <c r="M90" s="447"/>
      <c r="N90" s="448">
        <v>42310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N157"/>
  <sheetViews>
    <sheetView topLeftCell="A133" workbookViewId="0">
      <selection activeCell="F148" sqref="F148"/>
    </sheetView>
  </sheetViews>
  <sheetFormatPr defaultRowHeight="14"/>
  <cols>
    <col min="1" max="1" width="24.36328125" style="17" customWidth="1"/>
    <col min="2" max="3" width="7.54296875" style="20" customWidth="1"/>
    <col min="5" max="5" width="18.6328125" customWidth="1"/>
    <col min="6" max="6" width="9.08984375" customWidth="1"/>
  </cols>
  <sheetData>
    <row r="1" spans="1:7" ht="15.5">
      <c r="A1" s="1428" t="s">
        <v>50</v>
      </c>
      <c r="B1" s="1428"/>
      <c r="C1" s="1428"/>
      <c r="D1" s="1428"/>
      <c r="E1" s="1428"/>
      <c r="F1" s="1428"/>
      <c r="G1" s="1428"/>
    </row>
    <row r="2" spans="1:7">
      <c r="A2" s="1" t="s">
        <v>10</v>
      </c>
      <c r="B2" s="153" t="s">
        <v>49</v>
      </c>
      <c r="C2" s="153" t="s">
        <v>16</v>
      </c>
      <c r="D2" s="1"/>
      <c r="E2" s="1"/>
      <c r="F2" s="153" t="s">
        <v>49</v>
      </c>
      <c r="G2" s="153" t="s">
        <v>16</v>
      </c>
    </row>
    <row r="3" spans="1:7">
      <c r="A3" s="15" t="s">
        <v>19</v>
      </c>
      <c r="B3" s="351">
        <v>1990</v>
      </c>
      <c r="C3" s="16">
        <v>773</v>
      </c>
      <c r="E3" s="49" t="s">
        <v>23</v>
      </c>
      <c r="F3" s="351">
        <v>1991</v>
      </c>
      <c r="G3" s="16">
        <v>442</v>
      </c>
    </row>
    <row r="4" spans="1:7">
      <c r="B4" s="351">
        <v>1991</v>
      </c>
      <c r="C4" s="16">
        <v>1078</v>
      </c>
      <c r="E4" s="17"/>
      <c r="F4" s="351">
        <v>1992</v>
      </c>
      <c r="G4" s="16">
        <v>288</v>
      </c>
    </row>
    <row r="5" spans="1:7">
      <c r="B5" s="351">
        <v>1992</v>
      </c>
      <c r="C5" s="16">
        <v>931</v>
      </c>
      <c r="E5" s="17"/>
      <c r="F5" s="351">
        <v>1993</v>
      </c>
      <c r="G5" s="18">
        <v>504</v>
      </c>
    </row>
    <row r="6" spans="1:7">
      <c r="B6" s="351">
        <v>1993</v>
      </c>
      <c r="C6" s="18">
        <v>1253</v>
      </c>
      <c r="E6" s="17"/>
      <c r="F6" s="351">
        <v>1994</v>
      </c>
      <c r="G6" s="18">
        <v>382</v>
      </c>
    </row>
    <row r="7" spans="1:7">
      <c r="B7" s="351">
        <v>1994</v>
      </c>
      <c r="C7" s="18">
        <v>1472</v>
      </c>
      <c r="E7" s="17"/>
      <c r="F7" s="351">
        <v>1995</v>
      </c>
      <c r="G7" s="18">
        <v>474</v>
      </c>
    </row>
    <row r="8" spans="1:7">
      <c r="B8" s="351">
        <v>1995</v>
      </c>
      <c r="C8" s="18">
        <v>1932</v>
      </c>
      <c r="E8" s="17"/>
      <c r="F8" s="351">
        <v>1996</v>
      </c>
      <c r="G8" s="19">
        <v>577.75</v>
      </c>
    </row>
    <row r="9" spans="1:7">
      <c r="B9" s="351">
        <v>1996</v>
      </c>
      <c r="C9" s="19">
        <v>1367.4375</v>
      </c>
      <c r="E9" s="17"/>
      <c r="F9" s="351">
        <v>1997</v>
      </c>
      <c r="G9" s="18">
        <v>392.83071428571424</v>
      </c>
    </row>
    <row r="10" spans="1:7">
      <c r="B10" s="351">
        <v>1997</v>
      </c>
      <c r="C10" s="18">
        <v>798.58375000000012</v>
      </c>
      <c r="E10" s="17"/>
      <c r="F10" s="351">
        <v>1998</v>
      </c>
      <c r="G10" s="18">
        <v>388</v>
      </c>
    </row>
    <row r="11" spans="1:7">
      <c r="B11" s="351">
        <v>1998</v>
      </c>
      <c r="C11" s="18">
        <v>525</v>
      </c>
      <c r="E11" s="17"/>
      <c r="F11" s="351">
        <v>1999</v>
      </c>
      <c r="G11" s="18">
        <v>224</v>
      </c>
    </row>
    <row r="12" spans="1:7">
      <c r="B12" s="351">
        <v>1999</v>
      </c>
      <c r="C12" s="18">
        <v>521</v>
      </c>
      <c r="E12" s="17"/>
      <c r="F12" s="351">
        <v>2000</v>
      </c>
      <c r="G12" s="18">
        <v>431</v>
      </c>
    </row>
    <row r="13" spans="1:7">
      <c r="B13" s="351">
        <v>2000</v>
      </c>
      <c r="C13" s="18">
        <v>1483</v>
      </c>
      <c r="E13" s="17"/>
      <c r="F13" s="351">
        <v>2001</v>
      </c>
      <c r="G13" s="18">
        <v>401</v>
      </c>
    </row>
    <row r="14" spans="1:7">
      <c r="B14" s="351">
        <v>2001</v>
      </c>
      <c r="C14" s="18">
        <v>974</v>
      </c>
      <c r="E14" s="17"/>
      <c r="F14" s="351">
        <v>2002</v>
      </c>
      <c r="G14" s="18">
        <v>289</v>
      </c>
    </row>
    <row r="15" spans="1:7">
      <c r="B15" s="351">
        <v>2002</v>
      </c>
      <c r="C15" s="18">
        <v>4314</v>
      </c>
      <c r="F15" s="351">
        <v>2003</v>
      </c>
      <c r="G15" s="18">
        <v>268</v>
      </c>
    </row>
    <row r="16" spans="1:7">
      <c r="B16" s="351">
        <v>2003</v>
      </c>
      <c r="C16" s="20">
        <v>1757</v>
      </c>
      <c r="F16" s="351">
        <v>2004</v>
      </c>
      <c r="G16" s="18">
        <v>268</v>
      </c>
    </row>
    <row r="17" spans="1:7">
      <c r="B17" s="351">
        <v>2004</v>
      </c>
      <c r="C17" s="20">
        <v>444</v>
      </c>
      <c r="F17" s="351">
        <v>2005</v>
      </c>
      <c r="G17" s="18">
        <v>186</v>
      </c>
    </row>
    <row r="18" spans="1:7">
      <c r="B18" s="351">
        <v>2005</v>
      </c>
      <c r="C18" s="20">
        <v>1100</v>
      </c>
      <c r="F18" s="351">
        <v>2006</v>
      </c>
      <c r="G18" s="18">
        <v>158</v>
      </c>
    </row>
    <row r="19" spans="1:7">
      <c r="B19" s="351">
        <v>2006</v>
      </c>
      <c r="C19" s="20">
        <v>1570</v>
      </c>
      <c r="F19" s="351">
        <v>2007</v>
      </c>
      <c r="G19" s="18">
        <v>222</v>
      </c>
    </row>
    <row r="20" spans="1:7">
      <c r="B20" s="351">
        <v>2007</v>
      </c>
      <c r="C20" s="20">
        <v>747</v>
      </c>
      <c r="F20" s="351">
        <v>2008</v>
      </c>
      <c r="G20" s="18">
        <v>233</v>
      </c>
    </row>
    <row r="21" spans="1:7">
      <c r="B21" s="351">
        <v>2008</v>
      </c>
      <c r="C21" s="20">
        <v>1093</v>
      </c>
      <c r="F21" s="351">
        <v>2009</v>
      </c>
      <c r="G21" s="18">
        <v>291</v>
      </c>
    </row>
    <row r="22" spans="1:7">
      <c r="B22" s="351">
        <v>2009</v>
      </c>
      <c r="C22" s="20">
        <v>322</v>
      </c>
      <c r="F22" s="351">
        <v>2010</v>
      </c>
      <c r="G22" s="18">
        <v>287</v>
      </c>
    </row>
    <row r="23" spans="1:7">
      <c r="B23" s="351">
        <v>2010</v>
      </c>
      <c r="C23" s="20">
        <v>1296</v>
      </c>
      <c r="F23" s="351">
        <v>2011</v>
      </c>
      <c r="G23" s="18">
        <v>158</v>
      </c>
    </row>
    <row r="24" spans="1:7">
      <c r="B24" s="351">
        <v>2011</v>
      </c>
      <c r="C24" s="20">
        <v>760</v>
      </c>
      <c r="F24" s="351">
        <v>2012</v>
      </c>
      <c r="G24" s="18">
        <v>165</v>
      </c>
    </row>
    <row r="25" spans="1:7">
      <c r="B25" s="351">
        <v>2012</v>
      </c>
      <c r="C25" s="20">
        <v>1024</v>
      </c>
      <c r="F25" s="351">
        <v>2013</v>
      </c>
      <c r="G25" s="18">
        <v>161</v>
      </c>
    </row>
    <row r="26" spans="1:7">
      <c r="B26" s="351">
        <v>2013</v>
      </c>
      <c r="C26" s="20">
        <v>800</v>
      </c>
      <c r="F26" s="351">
        <v>2014</v>
      </c>
      <c r="G26" s="18">
        <v>307</v>
      </c>
    </row>
    <row r="27" spans="1:7">
      <c r="B27" s="351">
        <v>2014</v>
      </c>
      <c r="C27" s="20">
        <v>384</v>
      </c>
      <c r="F27" s="351">
        <v>2015</v>
      </c>
      <c r="G27" s="18">
        <v>377</v>
      </c>
    </row>
    <row r="28" spans="1:7" s="636" customFormat="1">
      <c r="A28" s="17"/>
      <c r="B28" s="628">
        <v>2015</v>
      </c>
      <c r="C28" s="20">
        <v>557</v>
      </c>
      <c r="F28" s="628"/>
    </row>
    <row r="29" spans="1:7">
      <c r="A29" s="15" t="s">
        <v>21</v>
      </c>
      <c r="B29" s="673">
        <v>1992</v>
      </c>
      <c r="C29" s="16">
        <v>423</v>
      </c>
      <c r="E29" s="49" t="s">
        <v>24</v>
      </c>
      <c r="F29" s="351">
        <v>1991</v>
      </c>
      <c r="G29" s="16">
        <v>381</v>
      </c>
    </row>
    <row r="30" spans="1:7">
      <c r="B30" s="673">
        <v>1993</v>
      </c>
      <c r="C30" s="19">
        <v>528</v>
      </c>
      <c r="E30" s="17"/>
      <c r="F30" s="351">
        <v>1992</v>
      </c>
      <c r="G30" s="16">
        <v>282</v>
      </c>
    </row>
    <row r="31" spans="1:7">
      <c r="B31" s="673">
        <v>1994</v>
      </c>
      <c r="C31" s="16">
        <v>505</v>
      </c>
      <c r="E31" s="17"/>
      <c r="F31" s="351">
        <v>1993</v>
      </c>
      <c r="G31" s="18">
        <v>451</v>
      </c>
    </row>
    <row r="32" spans="1:7">
      <c r="B32" s="673">
        <v>1995</v>
      </c>
      <c r="C32" s="18">
        <v>584</v>
      </c>
      <c r="E32" s="17"/>
      <c r="F32" s="351">
        <v>1994</v>
      </c>
      <c r="G32" s="18">
        <v>356</v>
      </c>
    </row>
    <row r="33" spans="1:7">
      <c r="B33" s="673">
        <v>1996</v>
      </c>
      <c r="C33" s="18">
        <v>807</v>
      </c>
      <c r="E33" s="17"/>
      <c r="F33" s="351">
        <v>1995</v>
      </c>
      <c r="G33" s="18">
        <v>502</v>
      </c>
    </row>
    <row r="34" spans="1:7">
      <c r="B34" s="673">
        <v>1997</v>
      </c>
      <c r="C34" s="18">
        <v>536</v>
      </c>
      <c r="E34" s="17"/>
      <c r="F34" s="351">
        <v>1996</v>
      </c>
      <c r="G34" s="19">
        <v>589.25</v>
      </c>
    </row>
    <row r="35" spans="1:7">
      <c r="B35" s="673">
        <v>1998</v>
      </c>
      <c r="C35" s="18">
        <v>452</v>
      </c>
      <c r="E35" s="17"/>
      <c r="F35" s="351">
        <v>1997</v>
      </c>
      <c r="G35" s="18">
        <v>365.20642857142866</v>
      </c>
    </row>
    <row r="36" spans="1:7">
      <c r="B36" s="673">
        <v>1999</v>
      </c>
      <c r="C36" s="18">
        <v>256</v>
      </c>
      <c r="E36" s="17"/>
      <c r="F36" s="351">
        <v>1998</v>
      </c>
      <c r="G36" s="18">
        <v>372</v>
      </c>
    </row>
    <row r="37" spans="1:7">
      <c r="B37" s="673">
        <v>2000</v>
      </c>
      <c r="C37" s="18">
        <v>536</v>
      </c>
      <c r="E37" s="17"/>
      <c r="F37" s="351">
        <v>1999</v>
      </c>
      <c r="G37" s="18">
        <v>220</v>
      </c>
    </row>
    <row r="38" spans="1:7">
      <c r="B38" s="673">
        <v>2001</v>
      </c>
      <c r="C38" s="18">
        <v>417</v>
      </c>
      <c r="E38" s="17"/>
      <c r="F38" s="351">
        <v>2000</v>
      </c>
      <c r="G38" s="18">
        <v>443</v>
      </c>
    </row>
    <row r="39" spans="1:7">
      <c r="B39" s="673">
        <v>2002</v>
      </c>
      <c r="C39" s="20">
        <v>371</v>
      </c>
      <c r="E39" s="17"/>
      <c r="F39" s="351">
        <v>2001</v>
      </c>
      <c r="G39" s="18">
        <v>395</v>
      </c>
    </row>
    <row r="40" spans="1:7">
      <c r="B40" s="673">
        <v>2003</v>
      </c>
      <c r="C40" s="20">
        <v>416</v>
      </c>
      <c r="E40" s="17"/>
      <c r="F40" s="351">
        <v>2002</v>
      </c>
      <c r="G40" s="18">
        <v>288</v>
      </c>
    </row>
    <row r="41" spans="1:7">
      <c r="B41" s="673">
        <v>2004</v>
      </c>
      <c r="C41" s="20">
        <v>259</v>
      </c>
      <c r="F41" s="351">
        <v>2003</v>
      </c>
      <c r="G41" s="18">
        <v>271</v>
      </c>
    </row>
    <row r="42" spans="1:7">
      <c r="A42" s="15" t="s">
        <v>130</v>
      </c>
      <c r="B42" s="673">
        <v>2005</v>
      </c>
      <c r="C42" s="20">
        <v>375</v>
      </c>
      <c r="F42" s="351">
        <v>2004</v>
      </c>
      <c r="G42" s="18">
        <v>249</v>
      </c>
    </row>
    <row r="43" spans="1:7">
      <c r="B43" s="673">
        <v>2006</v>
      </c>
      <c r="C43" s="20">
        <v>435</v>
      </c>
      <c r="F43" s="351">
        <v>2005</v>
      </c>
      <c r="G43" s="18">
        <v>198</v>
      </c>
    </row>
    <row r="44" spans="1:7">
      <c r="B44" s="673">
        <v>2007</v>
      </c>
      <c r="C44" s="20">
        <v>314</v>
      </c>
      <c r="F44" s="351">
        <v>2006</v>
      </c>
      <c r="G44" s="18">
        <v>150</v>
      </c>
    </row>
    <row r="45" spans="1:7">
      <c r="B45" s="673">
        <v>2008</v>
      </c>
      <c r="F45" s="351">
        <v>2007</v>
      </c>
      <c r="G45" s="18">
        <v>233</v>
      </c>
    </row>
    <row r="46" spans="1:7">
      <c r="B46" s="673">
        <v>2009</v>
      </c>
      <c r="F46" s="351"/>
    </row>
    <row r="47" spans="1:7">
      <c r="B47" s="673">
        <v>2010</v>
      </c>
      <c r="F47" s="351"/>
    </row>
    <row r="48" spans="1:7">
      <c r="B48"/>
      <c r="F48" s="351"/>
    </row>
    <row r="49" spans="1:7">
      <c r="B49"/>
      <c r="F49" s="65"/>
    </row>
    <row r="50" spans="1:7">
      <c r="A50" s="22" t="s">
        <v>18</v>
      </c>
      <c r="B50" s="351">
        <v>1990</v>
      </c>
      <c r="C50" s="16">
        <v>1121</v>
      </c>
      <c r="E50" s="49" t="s">
        <v>25</v>
      </c>
      <c r="F50" s="351">
        <v>1991</v>
      </c>
      <c r="G50" s="16">
        <v>341</v>
      </c>
    </row>
    <row r="51" spans="1:7">
      <c r="A51" s="21"/>
      <c r="B51" s="351">
        <v>1991</v>
      </c>
      <c r="C51" s="16">
        <v>1590</v>
      </c>
      <c r="E51" s="17"/>
      <c r="F51" s="351">
        <v>1992</v>
      </c>
      <c r="G51" s="16">
        <v>228</v>
      </c>
    </row>
    <row r="52" spans="1:7">
      <c r="A52" s="21"/>
      <c r="B52" s="351">
        <v>1992</v>
      </c>
      <c r="C52" s="16">
        <v>2941</v>
      </c>
      <c r="E52" s="17"/>
      <c r="F52" s="351">
        <v>1993</v>
      </c>
      <c r="G52" s="18">
        <v>332</v>
      </c>
    </row>
    <row r="53" spans="1:7">
      <c r="A53" s="21"/>
      <c r="B53" s="351">
        <v>1993</v>
      </c>
      <c r="C53" s="18">
        <v>1224</v>
      </c>
      <c r="E53" s="17"/>
      <c r="F53" s="351">
        <v>1994</v>
      </c>
      <c r="G53" s="18">
        <v>308</v>
      </c>
    </row>
    <row r="54" spans="1:7">
      <c r="A54" s="21"/>
      <c r="B54" s="351">
        <v>1994</v>
      </c>
      <c r="C54" s="18">
        <v>963</v>
      </c>
      <c r="E54" s="17"/>
      <c r="F54" s="351">
        <v>1995</v>
      </c>
      <c r="G54" s="18">
        <v>503</v>
      </c>
    </row>
    <row r="55" spans="1:7">
      <c r="A55" s="21"/>
      <c r="B55" s="351">
        <v>1995</v>
      </c>
      <c r="C55" s="18">
        <v>476</v>
      </c>
      <c r="E55" s="17"/>
      <c r="F55" s="351">
        <v>1996</v>
      </c>
      <c r="G55" s="19">
        <v>560.9375</v>
      </c>
    </row>
    <row r="56" spans="1:7">
      <c r="A56" s="21"/>
      <c r="B56" s="351">
        <v>1996</v>
      </c>
      <c r="C56" s="19">
        <v>618.3125</v>
      </c>
      <c r="E56" s="17"/>
      <c r="F56" s="351">
        <v>1997</v>
      </c>
      <c r="G56" s="18">
        <v>340.9935714285715</v>
      </c>
    </row>
    <row r="57" spans="1:7">
      <c r="A57" s="21"/>
      <c r="B57" s="351">
        <v>1997</v>
      </c>
      <c r="C57" s="18">
        <v>419.54062500000003</v>
      </c>
      <c r="E57" s="17"/>
      <c r="F57" s="351">
        <v>1998</v>
      </c>
      <c r="G57" s="18">
        <v>342</v>
      </c>
    </row>
    <row r="58" spans="1:7">
      <c r="A58" s="21"/>
      <c r="B58" s="351">
        <v>1998</v>
      </c>
      <c r="C58" s="18">
        <v>536</v>
      </c>
      <c r="E58" s="17"/>
      <c r="F58" s="351">
        <v>1999</v>
      </c>
      <c r="G58" s="18">
        <v>231</v>
      </c>
    </row>
    <row r="59" spans="1:7">
      <c r="A59" s="21"/>
      <c r="B59" s="351">
        <v>1999</v>
      </c>
      <c r="C59" s="18">
        <v>192</v>
      </c>
      <c r="E59" s="17"/>
      <c r="F59" s="351">
        <v>2000</v>
      </c>
      <c r="G59" s="18">
        <v>483</v>
      </c>
    </row>
    <row r="60" spans="1:7">
      <c r="A60" s="21"/>
      <c r="B60" s="351">
        <v>2000</v>
      </c>
      <c r="C60" s="18">
        <v>803</v>
      </c>
      <c r="E60" s="17"/>
      <c r="F60" s="351">
        <v>2001</v>
      </c>
      <c r="G60" s="18">
        <v>390</v>
      </c>
    </row>
    <row r="61" spans="1:7">
      <c r="A61" s="21"/>
      <c r="B61" s="351">
        <v>2001</v>
      </c>
      <c r="C61" s="18">
        <v>486</v>
      </c>
      <c r="E61" s="17"/>
      <c r="F61" s="351">
        <v>2002</v>
      </c>
      <c r="G61" s="18">
        <v>268</v>
      </c>
    </row>
    <row r="62" spans="1:7">
      <c r="A62" s="21"/>
      <c r="B62" s="351">
        <v>2002</v>
      </c>
      <c r="C62" s="18">
        <v>686</v>
      </c>
      <c r="F62" s="351">
        <v>2003</v>
      </c>
      <c r="G62" s="18">
        <v>259</v>
      </c>
    </row>
    <row r="63" spans="1:7">
      <c r="B63" s="351">
        <v>2003</v>
      </c>
      <c r="C63" s="20">
        <v>764</v>
      </c>
      <c r="F63" s="351">
        <v>2004</v>
      </c>
      <c r="G63" s="18">
        <v>224</v>
      </c>
    </row>
    <row r="64" spans="1:7">
      <c r="B64" s="351">
        <v>2004</v>
      </c>
      <c r="C64" s="20">
        <v>385</v>
      </c>
      <c r="F64" s="351">
        <v>2005</v>
      </c>
      <c r="G64" s="18">
        <v>210</v>
      </c>
    </row>
    <row r="65" spans="1:7">
      <c r="B65" s="351">
        <v>2005</v>
      </c>
      <c r="C65" s="20">
        <v>481</v>
      </c>
      <c r="F65" s="351">
        <v>2006</v>
      </c>
      <c r="G65" s="18">
        <v>151</v>
      </c>
    </row>
    <row r="66" spans="1:7">
      <c r="B66" s="351">
        <v>2006</v>
      </c>
      <c r="C66" s="20">
        <v>419</v>
      </c>
      <c r="F66" s="351">
        <v>2007</v>
      </c>
      <c r="G66" s="18">
        <v>232</v>
      </c>
    </row>
    <row r="67" spans="1:7">
      <c r="B67" s="351">
        <v>2007</v>
      </c>
      <c r="C67" s="20">
        <v>410</v>
      </c>
      <c r="F67" s="351">
        <v>2008</v>
      </c>
      <c r="G67" s="18">
        <v>230</v>
      </c>
    </row>
    <row r="68" spans="1:7">
      <c r="B68" s="351">
        <v>2008</v>
      </c>
      <c r="C68" s="20">
        <v>671</v>
      </c>
      <c r="F68" s="351">
        <v>2009</v>
      </c>
      <c r="G68" s="18">
        <v>244</v>
      </c>
    </row>
    <row r="69" spans="1:7">
      <c r="B69" s="351">
        <v>2009</v>
      </c>
      <c r="C69" s="20">
        <v>1018</v>
      </c>
      <c r="F69" s="351">
        <v>2010</v>
      </c>
      <c r="G69" s="18">
        <v>222</v>
      </c>
    </row>
    <row r="70" spans="1:7">
      <c r="B70" s="351">
        <v>2010</v>
      </c>
      <c r="C70" s="20">
        <v>569</v>
      </c>
      <c r="F70" s="351">
        <v>2011</v>
      </c>
      <c r="G70" s="18">
        <v>186</v>
      </c>
    </row>
    <row r="71" spans="1:7">
      <c r="B71" s="351">
        <v>2011</v>
      </c>
      <c r="C71" s="20">
        <v>433</v>
      </c>
      <c r="F71" s="351">
        <v>2012</v>
      </c>
      <c r="G71" s="18">
        <v>101.8</v>
      </c>
    </row>
    <row r="72" spans="1:7">
      <c r="B72" s="351">
        <v>2012</v>
      </c>
      <c r="C72" s="20">
        <v>445</v>
      </c>
      <c r="F72" s="460">
        <v>2013</v>
      </c>
      <c r="G72" s="18">
        <v>144</v>
      </c>
    </row>
    <row r="73" spans="1:7">
      <c r="B73" s="351">
        <v>2013</v>
      </c>
      <c r="C73" s="20">
        <v>443</v>
      </c>
      <c r="F73" s="674">
        <v>2014</v>
      </c>
      <c r="G73" s="18">
        <v>274</v>
      </c>
    </row>
    <row r="74" spans="1:7">
      <c r="B74" s="628">
        <v>2014</v>
      </c>
      <c r="C74" s="20">
        <v>318</v>
      </c>
      <c r="F74" s="674">
        <v>2015</v>
      </c>
      <c r="G74" s="18">
        <v>352</v>
      </c>
    </row>
    <row r="75" spans="1:7" s="636" customFormat="1">
      <c r="A75" s="17"/>
      <c r="B75" s="628">
        <v>2015</v>
      </c>
      <c r="C75" s="20">
        <v>608</v>
      </c>
    </row>
    <row r="76" spans="1:7" ht="15.5">
      <c r="A76" s="1428" t="s">
        <v>50</v>
      </c>
      <c r="B76" s="1428"/>
      <c r="C76" s="1428"/>
      <c r="D76" s="1428"/>
      <c r="E76" s="1428"/>
      <c r="F76" s="1428"/>
      <c r="G76" s="1428"/>
    </row>
    <row r="77" spans="1:7">
      <c r="B77" s="153" t="s">
        <v>49</v>
      </c>
      <c r="C77" s="153" t="s">
        <v>16</v>
      </c>
      <c r="F77" s="153" t="s">
        <v>49</v>
      </c>
      <c r="G77" s="153" t="s">
        <v>16</v>
      </c>
    </row>
    <row r="78" spans="1:7">
      <c r="A78" s="15" t="s">
        <v>17</v>
      </c>
      <c r="B78" s="351">
        <v>1990</v>
      </c>
      <c r="C78" s="18"/>
      <c r="E78" s="15" t="s">
        <v>27</v>
      </c>
      <c r="F78" s="351">
        <v>1991</v>
      </c>
      <c r="G78" s="16">
        <v>589</v>
      </c>
    </row>
    <row r="79" spans="1:7">
      <c r="B79" s="351">
        <v>1991</v>
      </c>
      <c r="C79" s="18">
        <f t="shared" ref="C79:C90" si="0">(G3+G29+G50)/3</f>
        <v>388</v>
      </c>
      <c r="E79" s="17"/>
      <c r="F79" s="351">
        <v>1992</v>
      </c>
      <c r="G79" s="16">
        <v>325</v>
      </c>
    </row>
    <row r="80" spans="1:7">
      <c r="B80" s="351">
        <v>1992</v>
      </c>
      <c r="C80" s="18">
        <f t="shared" si="0"/>
        <v>266</v>
      </c>
      <c r="E80" s="17"/>
      <c r="F80" s="351">
        <v>1993</v>
      </c>
      <c r="G80" s="18">
        <v>431</v>
      </c>
    </row>
    <row r="81" spans="2:10">
      <c r="B81" s="351">
        <v>1993</v>
      </c>
      <c r="C81" s="18">
        <f t="shared" si="0"/>
        <v>429</v>
      </c>
      <c r="E81" s="17"/>
      <c r="F81" s="351">
        <v>1994</v>
      </c>
      <c r="G81" s="18">
        <v>351</v>
      </c>
    </row>
    <row r="82" spans="2:10">
      <c r="B82" s="351">
        <v>1994</v>
      </c>
      <c r="C82" s="18">
        <f t="shared" si="0"/>
        <v>348.66666666666669</v>
      </c>
      <c r="E82" s="17"/>
      <c r="F82" s="351">
        <v>1995</v>
      </c>
      <c r="G82" s="18">
        <v>491</v>
      </c>
    </row>
    <row r="83" spans="2:10">
      <c r="B83" s="351">
        <v>1995</v>
      </c>
      <c r="C83" s="18">
        <f t="shared" si="0"/>
        <v>493</v>
      </c>
      <c r="E83" s="17"/>
      <c r="F83" s="351">
        <v>1996</v>
      </c>
      <c r="G83" s="19">
        <v>579.375</v>
      </c>
    </row>
    <row r="84" spans="2:10">
      <c r="B84" s="351">
        <v>1996</v>
      </c>
      <c r="C84" s="18">
        <f t="shared" si="0"/>
        <v>575.97916666666663</v>
      </c>
      <c r="E84" s="17"/>
      <c r="F84" s="351">
        <v>1997</v>
      </c>
      <c r="G84" s="18">
        <v>520.40125</v>
      </c>
    </row>
    <row r="85" spans="2:10">
      <c r="B85" s="351">
        <v>1997</v>
      </c>
      <c r="C85" s="18">
        <f t="shared" si="0"/>
        <v>366.34357142857152</v>
      </c>
      <c r="E85" s="17"/>
      <c r="F85" s="351">
        <v>1998</v>
      </c>
      <c r="G85" s="18">
        <v>405</v>
      </c>
    </row>
    <row r="86" spans="2:10">
      <c r="B86" s="351">
        <v>1998</v>
      </c>
      <c r="C86" s="18">
        <f t="shared" si="0"/>
        <v>367.33333333333331</v>
      </c>
      <c r="E86" s="17"/>
      <c r="F86" s="351">
        <v>1999</v>
      </c>
      <c r="G86" s="18">
        <v>226</v>
      </c>
    </row>
    <row r="87" spans="2:10">
      <c r="B87" s="351">
        <v>1999</v>
      </c>
      <c r="C87" s="18">
        <f t="shared" si="0"/>
        <v>225</v>
      </c>
      <c r="E87" s="17"/>
      <c r="F87" s="351">
        <v>2000</v>
      </c>
      <c r="G87" s="18">
        <v>437</v>
      </c>
    </row>
    <row r="88" spans="2:10">
      <c r="B88" s="351">
        <v>2000</v>
      </c>
      <c r="C88" s="18">
        <f t="shared" si="0"/>
        <v>452.33333333333331</v>
      </c>
      <c r="D88" s="23"/>
      <c r="E88" s="17"/>
      <c r="F88" s="351">
        <v>2001</v>
      </c>
      <c r="G88" s="18">
        <v>388</v>
      </c>
      <c r="H88" s="23"/>
      <c r="I88" s="23"/>
      <c r="J88" s="23"/>
    </row>
    <row r="89" spans="2:10">
      <c r="B89" s="351">
        <v>2001</v>
      </c>
      <c r="C89" s="18">
        <f t="shared" si="0"/>
        <v>395.33333333333331</v>
      </c>
      <c r="D89" s="23"/>
      <c r="E89" s="17"/>
      <c r="F89" s="351">
        <v>2002</v>
      </c>
      <c r="G89" s="18">
        <v>280</v>
      </c>
      <c r="H89" s="23"/>
      <c r="I89" s="23"/>
      <c r="J89" s="23"/>
    </row>
    <row r="90" spans="2:10">
      <c r="B90" s="351">
        <v>2002</v>
      </c>
      <c r="C90" s="18">
        <f t="shared" si="0"/>
        <v>281.66666666666669</v>
      </c>
      <c r="D90" s="23"/>
      <c r="E90" s="23"/>
      <c r="F90" s="351">
        <v>2003</v>
      </c>
      <c r="G90" s="18">
        <v>268</v>
      </c>
      <c r="H90" s="23"/>
      <c r="I90" s="23"/>
      <c r="J90" s="23"/>
    </row>
    <row r="91" spans="2:10">
      <c r="B91" s="351">
        <v>2003</v>
      </c>
      <c r="C91" s="20">
        <v>268</v>
      </c>
      <c r="D91" s="23"/>
      <c r="E91" s="23"/>
      <c r="F91" s="351">
        <v>2004</v>
      </c>
      <c r="G91" s="19">
        <v>247</v>
      </c>
      <c r="H91" s="23"/>
      <c r="I91" s="23"/>
      <c r="J91" s="23"/>
    </row>
    <row r="92" spans="2:10">
      <c r="B92" s="351">
        <v>2004</v>
      </c>
      <c r="C92" s="20">
        <v>247</v>
      </c>
      <c r="D92" s="23"/>
      <c r="E92" s="23"/>
      <c r="F92" s="351">
        <v>2005</v>
      </c>
      <c r="G92" s="19">
        <v>233</v>
      </c>
      <c r="H92" s="23"/>
      <c r="I92" s="23"/>
      <c r="J92" s="23"/>
    </row>
    <row r="93" spans="2:10">
      <c r="B93" s="351">
        <v>2005</v>
      </c>
      <c r="C93" s="20">
        <v>207</v>
      </c>
      <c r="D93" s="23"/>
      <c r="E93" s="23"/>
      <c r="F93" s="351">
        <v>2006</v>
      </c>
      <c r="G93" s="19">
        <v>196</v>
      </c>
      <c r="H93" s="23"/>
      <c r="I93" s="23"/>
      <c r="J93" s="23"/>
    </row>
    <row r="94" spans="2:10">
      <c r="B94" s="351">
        <v>2006</v>
      </c>
      <c r="C94" s="20">
        <v>153</v>
      </c>
      <c r="D94" s="23"/>
      <c r="E94" s="23"/>
      <c r="F94" s="351">
        <v>2007</v>
      </c>
      <c r="G94" s="19">
        <v>261</v>
      </c>
      <c r="H94" s="23"/>
      <c r="I94" s="23"/>
      <c r="J94" s="23"/>
    </row>
    <row r="95" spans="2:10">
      <c r="B95" s="351">
        <v>2007</v>
      </c>
      <c r="C95" s="20">
        <v>229</v>
      </c>
      <c r="D95" s="23"/>
      <c r="E95" s="23"/>
      <c r="F95" s="351">
        <v>2008</v>
      </c>
      <c r="G95" s="19">
        <v>220</v>
      </c>
      <c r="H95" s="23"/>
      <c r="I95" s="23"/>
      <c r="J95" s="23"/>
    </row>
    <row r="96" spans="2:10">
      <c r="B96" s="351">
        <v>2008</v>
      </c>
      <c r="C96" s="20">
        <v>232</v>
      </c>
      <c r="D96" s="23"/>
      <c r="E96" s="23"/>
      <c r="F96" s="351">
        <v>2009</v>
      </c>
      <c r="G96" s="19">
        <v>280</v>
      </c>
      <c r="H96" s="23"/>
      <c r="I96" s="23"/>
      <c r="J96" s="23"/>
    </row>
    <row r="97" spans="1:10">
      <c r="B97" s="351">
        <v>2009</v>
      </c>
      <c r="C97" s="20">
        <v>267</v>
      </c>
      <c r="D97" s="23"/>
      <c r="E97" s="23"/>
      <c r="F97" s="351">
        <v>2010</v>
      </c>
      <c r="G97" s="19">
        <v>278</v>
      </c>
      <c r="H97" s="23"/>
      <c r="I97" s="23"/>
      <c r="J97" s="23"/>
    </row>
    <row r="98" spans="1:10">
      <c r="B98" s="351">
        <v>2010</v>
      </c>
      <c r="C98" s="20">
        <v>254</v>
      </c>
      <c r="D98" s="23"/>
      <c r="E98" s="23"/>
      <c r="F98" s="351">
        <v>2011</v>
      </c>
      <c r="G98" s="19">
        <v>173</v>
      </c>
      <c r="H98" s="23"/>
      <c r="I98" s="23"/>
      <c r="J98" s="23"/>
    </row>
    <row r="99" spans="1:10">
      <c r="B99" s="351">
        <v>2011</v>
      </c>
      <c r="C99" s="20">
        <v>172</v>
      </c>
      <c r="D99" s="23"/>
      <c r="E99" s="23"/>
      <c r="F99" s="351">
        <v>2012</v>
      </c>
      <c r="G99" s="19">
        <v>167</v>
      </c>
      <c r="H99" s="23"/>
      <c r="I99" s="23"/>
      <c r="J99" s="23"/>
    </row>
    <row r="100" spans="1:10">
      <c r="B100" s="351">
        <v>2012</v>
      </c>
      <c r="C100" s="20">
        <v>133.5</v>
      </c>
      <c r="D100" s="23"/>
      <c r="E100" s="23"/>
      <c r="F100" s="460">
        <v>2013</v>
      </c>
      <c r="G100" s="19">
        <v>162</v>
      </c>
      <c r="H100" s="23"/>
      <c r="I100" s="23"/>
      <c r="J100" s="23"/>
    </row>
    <row r="101" spans="1:10">
      <c r="B101" s="351">
        <v>2013</v>
      </c>
      <c r="C101" s="20">
        <v>153</v>
      </c>
      <c r="D101" s="23"/>
      <c r="E101" s="23"/>
      <c r="F101" s="674">
        <v>2014</v>
      </c>
      <c r="G101" s="19">
        <v>302</v>
      </c>
      <c r="H101" s="23"/>
      <c r="I101" s="23"/>
      <c r="J101" s="23"/>
    </row>
    <row r="102" spans="1:10" s="636" customFormat="1">
      <c r="A102" s="17"/>
      <c r="B102" s="628">
        <v>2014</v>
      </c>
      <c r="C102" s="20">
        <v>291</v>
      </c>
      <c r="D102" s="23"/>
      <c r="E102" s="23"/>
      <c r="F102" s="318">
        <v>2015</v>
      </c>
      <c r="G102" s="19">
        <v>406</v>
      </c>
      <c r="H102" s="23"/>
      <c r="I102" s="23"/>
      <c r="J102" s="23"/>
    </row>
    <row r="103" spans="1:10" s="710" customFormat="1">
      <c r="A103" s="17"/>
      <c r="B103" s="628">
        <v>2015</v>
      </c>
      <c r="C103" s="20">
        <v>352</v>
      </c>
      <c r="D103" s="23"/>
      <c r="E103" s="23"/>
      <c r="F103" s="318"/>
      <c r="G103" s="23"/>
      <c r="H103" s="23"/>
      <c r="I103" s="23"/>
      <c r="J103" s="23"/>
    </row>
    <row r="104" spans="1:10">
      <c r="B104" s="145"/>
      <c r="D104" s="23"/>
      <c r="E104" s="23"/>
      <c r="F104" s="23"/>
      <c r="G104" s="23"/>
      <c r="H104" s="23"/>
      <c r="I104" s="23"/>
      <c r="J104" s="23"/>
    </row>
    <row r="105" spans="1:10">
      <c r="A105" s="15" t="s">
        <v>52</v>
      </c>
      <c r="B105" s="351">
        <v>1990</v>
      </c>
      <c r="C105" s="18"/>
      <c r="D105" s="23"/>
      <c r="E105" s="15" t="s">
        <v>51</v>
      </c>
      <c r="F105" s="351">
        <v>1991</v>
      </c>
      <c r="G105" s="18">
        <f t="shared" ref="G105:G129" si="1">C106-G78</f>
        <v>745</v>
      </c>
      <c r="H105" s="23"/>
      <c r="I105" s="23"/>
      <c r="J105" s="23"/>
    </row>
    <row r="106" spans="1:10">
      <c r="B106" s="351">
        <v>1991</v>
      </c>
      <c r="C106" s="18">
        <f t="shared" ref="C106:C130" si="2">(C4+C51)/2</f>
        <v>1334</v>
      </c>
      <c r="D106" s="23"/>
      <c r="E106" s="17"/>
      <c r="F106" s="351">
        <v>1992</v>
      </c>
      <c r="G106" s="18">
        <f t="shared" si="1"/>
        <v>1611</v>
      </c>
      <c r="H106" s="23"/>
      <c r="I106" s="23"/>
      <c r="J106" s="23"/>
    </row>
    <row r="107" spans="1:10">
      <c r="B107" s="351">
        <v>1992</v>
      </c>
      <c r="C107" s="18">
        <f t="shared" si="2"/>
        <v>1936</v>
      </c>
      <c r="D107" s="23"/>
      <c r="E107" s="17"/>
      <c r="F107" s="351">
        <v>1993</v>
      </c>
      <c r="G107" s="18">
        <f t="shared" si="1"/>
        <v>807.5</v>
      </c>
      <c r="H107" s="23"/>
      <c r="I107" s="23"/>
      <c r="J107" s="23"/>
    </row>
    <row r="108" spans="1:10">
      <c r="B108" s="351">
        <v>1993</v>
      </c>
      <c r="C108" s="18">
        <f t="shared" si="2"/>
        <v>1238.5</v>
      </c>
      <c r="D108" s="23"/>
      <c r="E108" s="17"/>
      <c r="F108" s="351">
        <v>1994</v>
      </c>
      <c r="G108" s="18">
        <f t="shared" si="1"/>
        <v>866.5</v>
      </c>
      <c r="H108" s="23"/>
      <c r="I108" s="23"/>
      <c r="J108" s="23"/>
    </row>
    <row r="109" spans="1:10">
      <c r="B109" s="351">
        <v>1994</v>
      </c>
      <c r="C109" s="18">
        <f t="shared" si="2"/>
        <v>1217.5</v>
      </c>
      <c r="D109" s="23"/>
      <c r="E109" s="17"/>
      <c r="F109" s="351">
        <v>1995</v>
      </c>
      <c r="G109" s="18">
        <f t="shared" si="1"/>
        <v>713</v>
      </c>
      <c r="H109" s="23"/>
      <c r="I109" s="23"/>
      <c r="J109" s="23"/>
    </row>
    <row r="110" spans="1:10">
      <c r="B110" s="351">
        <v>1995</v>
      </c>
      <c r="C110" s="18">
        <f t="shared" si="2"/>
        <v>1204</v>
      </c>
      <c r="D110" s="23"/>
      <c r="E110" s="17"/>
      <c r="F110" s="351">
        <v>1996</v>
      </c>
      <c r="G110" s="18">
        <f t="shared" si="1"/>
        <v>413.5</v>
      </c>
      <c r="H110" s="23"/>
      <c r="I110" s="23"/>
      <c r="J110" s="23"/>
    </row>
    <row r="111" spans="1:10">
      <c r="B111" s="351">
        <v>1996</v>
      </c>
      <c r="C111" s="18">
        <f t="shared" si="2"/>
        <v>992.875</v>
      </c>
      <c r="D111" s="23"/>
      <c r="E111" s="17"/>
      <c r="F111" s="351">
        <v>1997</v>
      </c>
      <c r="G111" s="18">
        <f t="shared" si="1"/>
        <v>88.660937500000045</v>
      </c>
      <c r="H111" s="23"/>
      <c r="I111" s="23"/>
      <c r="J111" s="23"/>
    </row>
    <row r="112" spans="1:10">
      <c r="B112" s="351">
        <v>1997</v>
      </c>
      <c r="C112" s="18">
        <f t="shared" si="2"/>
        <v>609.06218750000005</v>
      </c>
      <c r="E112" s="17"/>
      <c r="F112" s="351">
        <v>1998</v>
      </c>
      <c r="G112" s="18">
        <f t="shared" si="1"/>
        <v>125.5</v>
      </c>
    </row>
    <row r="113" spans="2:7">
      <c r="B113" s="351">
        <v>1998</v>
      </c>
      <c r="C113" s="18">
        <f t="shared" si="2"/>
        <v>530.5</v>
      </c>
      <c r="E113" s="17"/>
      <c r="F113" s="351">
        <v>1999</v>
      </c>
      <c r="G113" s="18">
        <f t="shared" si="1"/>
        <v>130.5</v>
      </c>
    </row>
    <row r="114" spans="2:7">
      <c r="B114" s="351">
        <v>1999</v>
      </c>
      <c r="C114" s="18">
        <f t="shared" si="2"/>
        <v>356.5</v>
      </c>
      <c r="E114" s="17"/>
      <c r="F114" s="351">
        <v>2000</v>
      </c>
      <c r="G114" s="18">
        <f t="shared" si="1"/>
        <v>706</v>
      </c>
    </row>
    <row r="115" spans="2:7">
      <c r="B115" s="351">
        <v>2000</v>
      </c>
      <c r="C115" s="18">
        <f t="shared" si="2"/>
        <v>1143</v>
      </c>
      <c r="E115" s="17"/>
      <c r="F115" s="351">
        <v>2001</v>
      </c>
      <c r="G115" s="18">
        <f t="shared" si="1"/>
        <v>342</v>
      </c>
    </row>
    <row r="116" spans="2:7">
      <c r="B116" s="351">
        <v>2001</v>
      </c>
      <c r="C116" s="18">
        <f t="shared" si="2"/>
        <v>730</v>
      </c>
      <c r="E116" s="17"/>
      <c r="F116" s="351">
        <v>2002</v>
      </c>
      <c r="G116" s="18">
        <f t="shared" si="1"/>
        <v>2220</v>
      </c>
    </row>
    <row r="117" spans="2:7">
      <c r="B117" s="351">
        <v>2002</v>
      </c>
      <c r="C117" s="18">
        <f t="shared" si="2"/>
        <v>2500</v>
      </c>
      <c r="F117" s="351">
        <v>2003</v>
      </c>
      <c r="G117" s="18">
        <f t="shared" si="1"/>
        <v>992.5</v>
      </c>
    </row>
    <row r="118" spans="2:7">
      <c r="B118" s="351">
        <v>2003</v>
      </c>
      <c r="C118" s="18">
        <f t="shared" si="2"/>
        <v>1260.5</v>
      </c>
      <c r="F118" s="351">
        <v>2004</v>
      </c>
      <c r="G118" s="18">
        <f t="shared" si="1"/>
        <v>167.5</v>
      </c>
    </row>
    <row r="119" spans="2:7">
      <c r="B119" s="351">
        <v>2004</v>
      </c>
      <c r="C119" s="18">
        <f t="shared" si="2"/>
        <v>414.5</v>
      </c>
      <c r="F119" s="351">
        <v>2005</v>
      </c>
      <c r="G119" s="18">
        <f t="shared" si="1"/>
        <v>557.5</v>
      </c>
    </row>
    <row r="120" spans="2:7">
      <c r="B120" s="351">
        <v>2005</v>
      </c>
      <c r="C120" s="18">
        <f t="shared" si="2"/>
        <v>790.5</v>
      </c>
      <c r="F120" s="351">
        <v>2006</v>
      </c>
      <c r="G120" s="18">
        <f t="shared" si="1"/>
        <v>798.5</v>
      </c>
    </row>
    <row r="121" spans="2:7">
      <c r="B121" s="351">
        <v>2006</v>
      </c>
      <c r="C121" s="18">
        <f t="shared" si="2"/>
        <v>994.5</v>
      </c>
      <c r="F121" s="351">
        <v>2007</v>
      </c>
      <c r="G121" s="18">
        <f t="shared" si="1"/>
        <v>317.5</v>
      </c>
    </row>
    <row r="122" spans="2:7">
      <c r="B122" s="351">
        <v>2007</v>
      </c>
      <c r="C122" s="18">
        <f t="shared" si="2"/>
        <v>578.5</v>
      </c>
      <c r="F122" s="351">
        <v>2008</v>
      </c>
      <c r="G122" s="18">
        <f t="shared" si="1"/>
        <v>662</v>
      </c>
    </row>
    <row r="123" spans="2:7">
      <c r="B123" s="351">
        <v>2008</v>
      </c>
      <c r="C123" s="18">
        <f t="shared" si="2"/>
        <v>882</v>
      </c>
      <c r="F123" s="351">
        <v>2009</v>
      </c>
      <c r="G123" s="18">
        <f t="shared" si="1"/>
        <v>390</v>
      </c>
    </row>
    <row r="124" spans="2:7">
      <c r="B124" s="351">
        <v>2009</v>
      </c>
      <c r="C124" s="18">
        <f t="shared" si="2"/>
        <v>670</v>
      </c>
      <c r="F124" s="351">
        <v>2010</v>
      </c>
      <c r="G124" s="18">
        <f t="shared" si="1"/>
        <v>654.5</v>
      </c>
    </row>
    <row r="125" spans="2:7">
      <c r="B125" s="351">
        <v>2010</v>
      </c>
      <c r="C125" s="18">
        <f t="shared" si="2"/>
        <v>932.5</v>
      </c>
      <c r="F125" s="351">
        <v>2011</v>
      </c>
      <c r="G125" s="18">
        <f t="shared" si="1"/>
        <v>423.5</v>
      </c>
    </row>
    <row r="126" spans="2:7">
      <c r="B126" s="351">
        <v>2011</v>
      </c>
      <c r="C126" s="18">
        <f t="shared" si="2"/>
        <v>596.5</v>
      </c>
      <c r="F126" s="351">
        <v>2012</v>
      </c>
      <c r="G126" s="18">
        <f t="shared" si="1"/>
        <v>567.5</v>
      </c>
    </row>
    <row r="127" spans="2:7">
      <c r="B127" s="351">
        <v>2012</v>
      </c>
      <c r="C127" s="18">
        <f t="shared" si="2"/>
        <v>734.5</v>
      </c>
      <c r="F127" s="460">
        <v>2013</v>
      </c>
      <c r="G127" s="18">
        <f t="shared" si="1"/>
        <v>459.5</v>
      </c>
    </row>
    <row r="128" spans="2:7">
      <c r="B128" s="453">
        <v>2013</v>
      </c>
      <c r="C128" s="18">
        <f t="shared" si="2"/>
        <v>621.5</v>
      </c>
      <c r="F128" s="674">
        <v>2014</v>
      </c>
      <c r="G128" s="18">
        <f t="shared" si="1"/>
        <v>49</v>
      </c>
    </row>
    <row r="129" spans="1:14">
      <c r="B129" s="628">
        <v>2014</v>
      </c>
      <c r="C129" s="18">
        <f t="shared" si="2"/>
        <v>351</v>
      </c>
      <c r="F129" s="674">
        <v>2015</v>
      </c>
      <c r="G129" s="18">
        <f t="shared" si="1"/>
        <v>176.5</v>
      </c>
    </row>
    <row r="130" spans="1:14" s="710" customFormat="1">
      <c r="A130" s="17"/>
      <c r="B130" s="628">
        <v>2015</v>
      </c>
      <c r="C130" s="18">
        <f t="shared" si="2"/>
        <v>582.5</v>
      </c>
      <c r="F130" s="318"/>
      <c r="G130" s="18"/>
    </row>
    <row r="132" spans="1:14" ht="30.65" customHeight="1">
      <c r="A132" s="733" t="s">
        <v>1611</v>
      </c>
      <c r="B132" s="675" t="s">
        <v>90</v>
      </c>
      <c r="C132" s="676" t="s">
        <v>82</v>
      </c>
      <c r="D132" s="675" t="s">
        <v>108</v>
      </c>
      <c r="E132" s="675" t="s">
        <v>122</v>
      </c>
      <c r="F132" s="675" t="s">
        <v>123</v>
      </c>
      <c r="I132" s="1429" t="s">
        <v>528</v>
      </c>
      <c r="J132" s="1429"/>
      <c r="K132" s="1429"/>
      <c r="L132" s="1429"/>
      <c r="M132" s="1429"/>
      <c r="N132" s="1429"/>
    </row>
    <row r="133" spans="1:14">
      <c r="A133" s="677" t="s">
        <v>367</v>
      </c>
      <c r="B133">
        <v>980.66666666666663</v>
      </c>
      <c r="C133">
        <v>1552</v>
      </c>
      <c r="D133">
        <v>1041.8333333333333</v>
      </c>
      <c r="E133">
        <v>927.4666666666667</v>
      </c>
      <c r="F133">
        <v>798.66666666666663</v>
      </c>
      <c r="I133" s="50"/>
      <c r="J133" s="1214">
        <v>2011</v>
      </c>
      <c r="K133" s="1214">
        <v>2012</v>
      </c>
      <c r="L133" s="1214">
        <v>2013</v>
      </c>
      <c r="M133" s="1214">
        <v>2014</v>
      </c>
      <c r="N133" s="1214">
        <v>2015</v>
      </c>
    </row>
    <row r="134" spans="1:14" ht="28">
      <c r="A134" s="677" t="s">
        <v>366</v>
      </c>
      <c r="B134">
        <v>808.13333333333333</v>
      </c>
      <c r="C134">
        <v>1316</v>
      </c>
      <c r="D134">
        <v>654.33333333333337</v>
      </c>
      <c r="I134" s="50" t="s">
        <v>122</v>
      </c>
      <c r="J134" s="50">
        <v>630.45833333333337</v>
      </c>
      <c r="K134" s="50">
        <v>670.2</v>
      </c>
      <c r="L134" s="50">
        <v>751.66666666666663</v>
      </c>
      <c r="M134" s="50">
        <v>702.4</v>
      </c>
      <c r="N134" s="50">
        <v>927</v>
      </c>
    </row>
    <row r="135" spans="1:14" ht="28">
      <c r="A135" s="678" t="s">
        <v>368</v>
      </c>
      <c r="B135">
        <v>834.73333333333335</v>
      </c>
      <c r="C135">
        <v>1746</v>
      </c>
      <c r="D135">
        <v>608.66666666666663</v>
      </c>
      <c r="I135" s="50" t="s">
        <v>123</v>
      </c>
      <c r="J135" s="50">
        <v>651.5</v>
      </c>
      <c r="K135" s="50">
        <v>646.58333333333337</v>
      </c>
      <c r="L135" s="50">
        <v>868.91666666666663</v>
      </c>
      <c r="M135" s="50">
        <v>567.41666666666663</v>
      </c>
      <c r="N135" s="50">
        <v>799</v>
      </c>
    </row>
    <row r="136" spans="1:14">
      <c r="A136" s="679" t="s">
        <v>369</v>
      </c>
      <c r="B136">
        <v>925.93333333333328</v>
      </c>
      <c r="C136">
        <v>1308</v>
      </c>
      <c r="D136">
        <v>827.83333333333337</v>
      </c>
    </row>
    <row r="137" spans="1:14">
      <c r="A137" s="679" t="s">
        <v>370</v>
      </c>
      <c r="B137">
        <v>929</v>
      </c>
      <c r="C137">
        <v>1283</v>
      </c>
      <c r="D137">
        <v>769.5</v>
      </c>
    </row>
    <row r="138" spans="1:14">
      <c r="A138" s="678" t="s">
        <v>371</v>
      </c>
      <c r="B138">
        <v>927.4666666666667</v>
      </c>
      <c r="C138">
        <v>1276.5</v>
      </c>
      <c r="D138">
        <v>798.66666666666663</v>
      </c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</sheetData>
  <mergeCells count="3">
    <mergeCell ref="A1:G1"/>
    <mergeCell ref="A76:G76"/>
    <mergeCell ref="I132:N132"/>
  </mergeCells>
  <phoneticPr fontId="7" type="noConversion"/>
  <pageMargins left="0.75" right="0.75" top="1" bottom="1" header="0.5" footer="0.5"/>
  <pageSetup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59999389629810485"/>
  </sheetPr>
  <dimension ref="A1:U96"/>
  <sheetViews>
    <sheetView tabSelected="1" topLeftCell="E1" workbookViewId="0">
      <selection activeCell="U8" sqref="U8"/>
    </sheetView>
  </sheetViews>
  <sheetFormatPr defaultColWidth="8.90625" defaultRowHeight="13"/>
  <cols>
    <col min="1" max="1" width="8.90625" style="192"/>
    <col min="2" max="2" width="26.36328125" style="192" customWidth="1"/>
    <col min="3" max="7" width="9.08984375" style="192" customWidth="1"/>
    <col min="8" max="8" width="10.08984375" style="192" bestFit="1" customWidth="1"/>
    <col min="9" max="9" width="10.08984375" style="192" customWidth="1"/>
    <col min="10" max="10" width="8.90625" style="192"/>
    <col min="11" max="11" width="19.36328125" style="192" customWidth="1"/>
    <col min="12" max="12" width="10.08984375" style="192" bestFit="1" customWidth="1"/>
    <col min="13" max="13" width="6" style="192" customWidth="1"/>
    <col min="14" max="14" width="5.453125" style="192" bestFit="1" customWidth="1"/>
    <col min="15" max="15" width="6.54296875" style="192" customWidth="1"/>
    <col min="16" max="16" width="5" style="192" customWidth="1"/>
    <col min="17" max="17" width="8.36328125" style="192" customWidth="1"/>
    <col min="18" max="18" width="11.36328125" style="192" customWidth="1"/>
    <col min="19" max="19" width="8.90625" style="192"/>
    <col min="20" max="20" width="3" style="192" customWidth="1"/>
    <col min="21" max="22" width="8.90625" style="192"/>
    <col min="23" max="23" width="9.36328125" style="192" bestFit="1" customWidth="1"/>
    <col min="24" max="25" width="8.90625" style="192"/>
    <col min="26" max="26" width="26.1796875" style="192" bestFit="1" customWidth="1"/>
    <col min="27" max="30" width="8.90625" style="192"/>
    <col min="31" max="31" width="6.08984375" style="192" bestFit="1" customWidth="1"/>
    <col min="32" max="32" width="6.453125" style="192" bestFit="1" customWidth="1"/>
    <col min="33" max="33" width="4.90625" style="192" bestFit="1" customWidth="1"/>
    <col min="34" max="34" width="4.81640625" style="192" bestFit="1" customWidth="1"/>
    <col min="35" max="35" width="14.1796875" style="192" bestFit="1" customWidth="1"/>
    <col min="36" max="16384" width="8.90625" style="192"/>
  </cols>
  <sheetData>
    <row r="1" spans="1:21">
      <c r="K1" s="198" t="s">
        <v>144</v>
      </c>
      <c r="L1" s="199">
        <v>42150</v>
      </c>
      <c r="N1" s="1601"/>
      <c r="O1" s="1601"/>
    </row>
    <row r="2" spans="1:21" ht="14">
      <c r="B2" s="1600" t="s">
        <v>882</v>
      </c>
      <c r="C2" s="1600"/>
      <c r="D2" s="1600"/>
      <c r="E2" s="1600"/>
      <c r="F2" s="1600"/>
      <c r="G2" s="1600"/>
      <c r="H2" s="1600"/>
      <c r="I2" s="1600"/>
      <c r="K2" s="200" t="s">
        <v>284</v>
      </c>
      <c r="L2" s="210" t="s">
        <v>146</v>
      </c>
      <c r="M2" s="210" t="s">
        <v>147</v>
      </c>
      <c r="N2" s="210" t="s">
        <v>148</v>
      </c>
      <c r="O2" s="210" t="s">
        <v>149</v>
      </c>
      <c r="P2" s="210" t="s">
        <v>150</v>
      </c>
      <c r="Q2" s="200" t="s">
        <v>160</v>
      </c>
      <c r="R2" s="200" t="s">
        <v>168</v>
      </c>
      <c r="T2" s="211"/>
      <c r="U2" s="192">
        <v>0.8</v>
      </c>
    </row>
    <row r="3" spans="1:21">
      <c r="A3" s="327" t="s">
        <v>10</v>
      </c>
      <c r="B3" s="200" t="s">
        <v>174</v>
      </c>
      <c r="C3" s="328">
        <v>42150</v>
      </c>
      <c r="D3" s="329">
        <v>42173</v>
      </c>
      <c r="E3" s="329">
        <v>42200</v>
      </c>
      <c r="F3" s="329">
        <v>42236</v>
      </c>
      <c r="G3" s="329">
        <v>42264</v>
      </c>
      <c r="H3" s="329">
        <v>42305</v>
      </c>
      <c r="I3" s="328" t="s">
        <v>16</v>
      </c>
      <c r="K3" s="201" t="s">
        <v>270</v>
      </c>
      <c r="L3" s="202">
        <v>0.35416666666666669</v>
      </c>
      <c r="M3" s="1085">
        <v>93</v>
      </c>
      <c r="N3" s="713">
        <v>13.73</v>
      </c>
      <c r="O3" s="713">
        <v>6.1</v>
      </c>
      <c r="P3" s="331">
        <v>8.01</v>
      </c>
      <c r="Q3" s="715">
        <v>0.8</v>
      </c>
      <c r="R3" s="716">
        <v>6.2</v>
      </c>
      <c r="T3" s="211"/>
      <c r="U3" s="192">
        <v>0.75</v>
      </c>
    </row>
    <row r="4" spans="1:21">
      <c r="A4" s="1602" t="s">
        <v>880</v>
      </c>
      <c r="B4" s="719" t="s">
        <v>195</v>
      </c>
      <c r="C4" s="620">
        <v>407</v>
      </c>
      <c r="D4" s="620">
        <v>436</v>
      </c>
      <c r="E4" s="620">
        <v>455</v>
      </c>
      <c r="F4" s="620">
        <v>278</v>
      </c>
      <c r="G4" s="620">
        <v>252</v>
      </c>
      <c r="H4" s="620">
        <v>281</v>
      </c>
      <c r="I4" s="479">
        <f t="shared" ref="I4:I18" si="0">AVERAGE(C4:H4)</f>
        <v>351.5</v>
      </c>
      <c r="K4" s="201" t="s">
        <v>151</v>
      </c>
      <c r="L4" s="204"/>
      <c r="M4" s="1085">
        <v>93</v>
      </c>
      <c r="N4" s="713">
        <v>13.37</v>
      </c>
      <c r="O4" s="713">
        <v>6.1</v>
      </c>
      <c r="P4" s="331">
        <v>8.02</v>
      </c>
      <c r="Q4" s="205"/>
      <c r="R4" s="192" t="s">
        <v>286</v>
      </c>
      <c r="S4" s="221">
        <f>AVERAGE(N3:N6)</f>
        <v>13.355</v>
      </c>
      <c r="T4" s="211"/>
      <c r="U4" s="192">
        <v>0.54</v>
      </c>
    </row>
    <row r="5" spans="1:21">
      <c r="A5" s="1603"/>
      <c r="B5" s="580" t="s">
        <v>177</v>
      </c>
      <c r="C5" s="620">
        <v>79</v>
      </c>
      <c r="D5" s="620">
        <v>62</v>
      </c>
      <c r="E5" s="620">
        <v>61</v>
      </c>
      <c r="F5" s="620">
        <v>42</v>
      </c>
      <c r="G5" s="620">
        <v>34</v>
      </c>
      <c r="H5" s="620">
        <v>52</v>
      </c>
      <c r="I5" s="479">
        <f t="shared" si="0"/>
        <v>55</v>
      </c>
      <c r="K5" s="201" t="s">
        <v>271</v>
      </c>
      <c r="L5" s="204"/>
      <c r="M5" s="1085">
        <v>93</v>
      </c>
      <c r="N5" s="713">
        <v>13.21</v>
      </c>
      <c r="O5" s="713">
        <v>5.9</v>
      </c>
      <c r="P5" s="331">
        <v>8.06</v>
      </c>
      <c r="Q5" s="205"/>
      <c r="R5" s="192" t="s">
        <v>277</v>
      </c>
      <c r="S5" s="221">
        <f>AVERAGE(O3:O6)</f>
        <v>6</v>
      </c>
      <c r="T5" s="211"/>
      <c r="U5" s="192">
        <v>1.1499999999999999</v>
      </c>
    </row>
    <row r="6" spans="1:21">
      <c r="A6" s="1603"/>
      <c r="B6" s="580" t="s">
        <v>223</v>
      </c>
      <c r="C6" s="620">
        <v>35</v>
      </c>
      <c r="D6" s="620">
        <v>36</v>
      </c>
      <c r="E6" s="620">
        <v>44</v>
      </c>
      <c r="F6" s="620">
        <v>38</v>
      </c>
      <c r="G6" s="620">
        <v>43</v>
      </c>
      <c r="H6" s="620">
        <v>58</v>
      </c>
      <c r="I6" s="479">
        <f t="shared" si="0"/>
        <v>42.333333333333336</v>
      </c>
      <c r="K6" s="201" t="s">
        <v>152</v>
      </c>
      <c r="L6" s="204"/>
      <c r="M6" s="1085">
        <v>93</v>
      </c>
      <c r="N6" s="713">
        <v>13.11</v>
      </c>
      <c r="O6" s="713">
        <v>5.9</v>
      </c>
      <c r="P6" s="331">
        <v>8.0399999999999991</v>
      </c>
      <c r="Q6" s="205"/>
      <c r="R6" s="192" t="s">
        <v>287</v>
      </c>
      <c r="S6" s="221">
        <f>AVERAGE(P3:P12)</f>
        <v>8.0069999999999997</v>
      </c>
      <c r="T6" s="211"/>
      <c r="U6" s="192">
        <v>1.25</v>
      </c>
    </row>
    <row r="7" spans="1:21">
      <c r="A7" s="1603"/>
      <c r="B7" s="580" t="s">
        <v>171</v>
      </c>
      <c r="C7" s="620">
        <v>28</v>
      </c>
      <c r="D7" s="1080">
        <v>28</v>
      </c>
      <c r="E7" s="1080">
        <v>31</v>
      </c>
      <c r="F7" s="1080">
        <v>18</v>
      </c>
      <c r="G7" s="1080">
        <v>15</v>
      </c>
      <c r="H7" s="1080">
        <v>11</v>
      </c>
      <c r="I7" s="479">
        <f t="shared" si="0"/>
        <v>21.833333333333332</v>
      </c>
      <c r="K7" s="201" t="s">
        <v>272</v>
      </c>
      <c r="L7" s="204"/>
      <c r="M7" s="1085">
        <v>93</v>
      </c>
      <c r="N7" s="713">
        <v>13.16</v>
      </c>
      <c r="O7" s="713">
        <v>5.9</v>
      </c>
      <c r="P7" s="331">
        <v>8.0399999999999991</v>
      </c>
      <c r="Q7" s="205"/>
      <c r="R7" s="192" t="s">
        <v>288</v>
      </c>
      <c r="S7" s="1087">
        <f>AVERAGE(M3:M12)</f>
        <v>93</v>
      </c>
      <c r="T7" s="211"/>
      <c r="U7" s="192">
        <v>2.1</v>
      </c>
    </row>
    <row r="8" spans="1:21">
      <c r="A8" s="1603"/>
      <c r="B8" s="720" t="s">
        <v>172</v>
      </c>
      <c r="C8" s="98">
        <v>8.1</v>
      </c>
      <c r="D8" s="620">
        <v>4</v>
      </c>
      <c r="E8" s="620">
        <v>10</v>
      </c>
      <c r="F8" s="620">
        <v>2</v>
      </c>
      <c r="G8" s="620">
        <v>2</v>
      </c>
      <c r="H8" s="620">
        <v>2</v>
      </c>
      <c r="I8" s="479">
        <f>AVERAGE(C8:H8)</f>
        <v>4.6833333333333336</v>
      </c>
      <c r="K8" s="201" t="s">
        <v>153</v>
      </c>
      <c r="L8" s="204"/>
      <c r="M8" s="1085">
        <v>93</v>
      </c>
      <c r="N8" s="713">
        <v>12.26</v>
      </c>
      <c r="O8" s="713">
        <v>5.9</v>
      </c>
      <c r="P8" s="331">
        <v>8</v>
      </c>
      <c r="Q8" s="205"/>
      <c r="T8" s="211"/>
      <c r="U8" s="1723">
        <f>AVERAGE(U2:U7)</f>
        <v>1.0983333333333334</v>
      </c>
    </row>
    <row r="9" spans="1:21">
      <c r="A9" s="1603"/>
      <c r="B9" s="580" t="s">
        <v>176</v>
      </c>
      <c r="C9" s="1080">
        <v>4</v>
      </c>
      <c r="D9" s="98">
        <v>9</v>
      </c>
      <c r="E9" s="98">
        <v>11</v>
      </c>
      <c r="F9" s="1081">
        <v>7.6</v>
      </c>
      <c r="G9" s="151">
        <v>4.3</v>
      </c>
      <c r="H9" s="151">
        <v>4</v>
      </c>
      <c r="I9" s="1079">
        <f>AVERAGE(C9:H9)</f>
        <v>6.6499999999999995</v>
      </c>
      <c r="K9" s="201" t="s">
        <v>273</v>
      </c>
      <c r="L9" s="204"/>
      <c r="M9" s="1085">
        <v>93</v>
      </c>
      <c r="N9" s="713">
        <v>12.25</v>
      </c>
      <c r="O9" s="713">
        <v>5.9</v>
      </c>
      <c r="P9" s="331">
        <v>7.99</v>
      </c>
      <c r="Q9" s="205"/>
      <c r="T9" s="211"/>
    </row>
    <row r="10" spans="1:21">
      <c r="A10" s="1603"/>
      <c r="B10" s="719" t="s">
        <v>173</v>
      </c>
      <c r="C10" s="1082">
        <v>0.3</v>
      </c>
      <c r="D10" s="151">
        <v>0.3</v>
      </c>
      <c r="E10" s="151">
        <v>1.5</v>
      </c>
      <c r="F10" s="151">
        <v>3.7</v>
      </c>
      <c r="G10" s="151">
        <v>3.6</v>
      </c>
      <c r="H10" s="151">
        <v>2.4</v>
      </c>
      <c r="I10" s="1079">
        <f t="shared" si="0"/>
        <v>1.9666666666666668</v>
      </c>
      <c r="K10" s="201" t="s">
        <v>154</v>
      </c>
      <c r="L10" s="204"/>
      <c r="M10" s="1085">
        <v>93</v>
      </c>
      <c r="N10" s="713">
        <v>13.16</v>
      </c>
      <c r="O10" s="713">
        <v>5.9</v>
      </c>
      <c r="P10" s="331">
        <v>7.98</v>
      </c>
      <c r="Q10" s="205"/>
      <c r="T10" s="211"/>
    </row>
    <row r="11" spans="1:21">
      <c r="A11" s="1603"/>
      <c r="B11" s="719" t="s">
        <v>173</v>
      </c>
      <c r="C11" s="1082">
        <v>0.3</v>
      </c>
      <c r="D11" s="151">
        <v>0.3</v>
      </c>
      <c r="E11" s="151">
        <v>1.5</v>
      </c>
      <c r="F11" s="151">
        <v>4.4000000000000004</v>
      </c>
      <c r="G11" s="98">
        <v>3.6</v>
      </c>
      <c r="H11" s="98">
        <v>3.5</v>
      </c>
      <c r="I11" s="1079">
        <f t="shared" si="0"/>
        <v>2.2666666666666666</v>
      </c>
      <c r="K11" s="201" t="s">
        <v>155</v>
      </c>
      <c r="L11" s="204"/>
      <c r="M11" s="1085">
        <v>93</v>
      </c>
      <c r="N11" s="713">
        <v>13.23</v>
      </c>
      <c r="O11" s="713">
        <v>5.9</v>
      </c>
      <c r="P11" s="331">
        <v>7.97</v>
      </c>
      <c r="Q11" s="205"/>
      <c r="T11" s="211"/>
    </row>
    <row r="12" spans="1:21">
      <c r="A12" s="1604"/>
      <c r="B12" s="365" t="s">
        <v>1074</v>
      </c>
      <c r="C12" s="151">
        <f>AVERAGE(C10:C11)</f>
        <v>0.3</v>
      </c>
      <c r="D12" s="151">
        <f t="shared" ref="D12:H12" si="1">AVERAGE(D10:D11)</f>
        <v>0.3</v>
      </c>
      <c r="E12" s="151">
        <f t="shared" si="1"/>
        <v>1.5</v>
      </c>
      <c r="F12" s="151">
        <f>AVERAGE(F11:F11)</f>
        <v>4.4000000000000004</v>
      </c>
      <c r="G12" s="151">
        <f t="shared" si="1"/>
        <v>3.6</v>
      </c>
      <c r="H12" s="151">
        <f t="shared" si="1"/>
        <v>2.95</v>
      </c>
      <c r="I12" s="1079">
        <f>AVERAGE(D12:H12)</f>
        <v>2.5499999999999998</v>
      </c>
      <c r="K12" s="201" t="s">
        <v>156</v>
      </c>
      <c r="L12" s="204"/>
      <c r="M12" s="1085">
        <v>93</v>
      </c>
      <c r="N12" s="714">
        <v>13.1</v>
      </c>
      <c r="O12" s="713">
        <v>5.8</v>
      </c>
      <c r="P12" s="475">
        <v>7.96</v>
      </c>
      <c r="Q12" s="205"/>
      <c r="T12" s="211"/>
    </row>
    <row r="13" spans="1:21">
      <c r="A13" s="1606" t="s">
        <v>881</v>
      </c>
      <c r="B13" s="403" t="s">
        <v>193</v>
      </c>
      <c r="C13" s="620">
        <v>406</v>
      </c>
      <c r="D13" s="620">
        <v>386</v>
      </c>
      <c r="E13" s="620">
        <v>323</v>
      </c>
      <c r="F13" s="620">
        <v>311</v>
      </c>
      <c r="G13" s="620">
        <v>303</v>
      </c>
      <c r="H13" s="620">
        <v>208</v>
      </c>
      <c r="I13" s="479">
        <f t="shared" si="0"/>
        <v>322.83333333333331</v>
      </c>
    </row>
    <row r="14" spans="1:21">
      <c r="A14" s="1607"/>
      <c r="B14" s="403" t="s">
        <v>177</v>
      </c>
      <c r="C14" s="620">
        <v>77</v>
      </c>
      <c r="D14" s="620">
        <v>60</v>
      </c>
      <c r="E14" s="620">
        <v>58</v>
      </c>
      <c r="F14" s="620">
        <v>41</v>
      </c>
      <c r="G14" s="620">
        <v>31</v>
      </c>
      <c r="H14" s="620">
        <v>49</v>
      </c>
      <c r="I14" s="479">
        <f t="shared" si="0"/>
        <v>52.666666666666664</v>
      </c>
      <c r="K14" s="207" t="s">
        <v>144</v>
      </c>
      <c r="L14" s="208">
        <v>42173</v>
      </c>
    </row>
    <row r="15" spans="1:21">
      <c r="A15" s="1607"/>
      <c r="B15" s="214" t="s">
        <v>223</v>
      </c>
      <c r="C15" s="620">
        <v>33</v>
      </c>
      <c r="D15" s="620">
        <v>38</v>
      </c>
      <c r="E15" s="620">
        <v>31</v>
      </c>
      <c r="F15" s="620">
        <v>49</v>
      </c>
      <c r="G15" s="620">
        <v>143</v>
      </c>
      <c r="H15" s="620">
        <v>59</v>
      </c>
      <c r="I15" s="479">
        <f t="shared" si="0"/>
        <v>58.833333333333336</v>
      </c>
      <c r="K15" s="200" t="s">
        <v>284</v>
      </c>
      <c r="L15" s="210" t="s">
        <v>146</v>
      </c>
      <c r="M15" s="210" t="s">
        <v>147</v>
      </c>
      <c r="N15" s="210" t="s">
        <v>148</v>
      </c>
      <c r="O15" s="210" t="s">
        <v>149</v>
      </c>
      <c r="P15" s="210" t="s">
        <v>150</v>
      </c>
      <c r="Q15" s="200" t="s">
        <v>160</v>
      </c>
      <c r="R15" s="200" t="s">
        <v>168</v>
      </c>
    </row>
    <row r="16" spans="1:21">
      <c r="A16" s="1607"/>
      <c r="B16" s="403" t="s">
        <v>171</v>
      </c>
      <c r="C16" s="1080">
        <v>34</v>
      </c>
      <c r="D16" s="1080">
        <v>31</v>
      </c>
      <c r="E16" s="1080">
        <v>36</v>
      </c>
      <c r="F16" s="1080">
        <v>20</v>
      </c>
      <c r="G16" s="1080">
        <v>19</v>
      </c>
      <c r="H16" s="1080">
        <v>12</v>
      </c>
      <c r="I16" s="479">
        <f t="shared" si="0"/>
        <v>25.333333333333332</v>
      </c>
      <c r="K16" s="201" t="s">
        <v>270</v>
      </c>
      <c r="L16" s="202">
        <v>0.37361111111111112</v>
      </c>
      <c r="M16" s="1086">
        <v>55</v>
      </c>
      <c r="N16" s="475">
        <v>7.28</v>
      </c>
      <c r="O16" s="712">
        <v>10.199999999999999</v>
      </c>
      <c r="P16" s="475">
        <v>8.2100000000000009</v>
      </c>
      <c r="Q16" s="715">
        <v>0.75</v>
      </c>
      <c r="R16" s="716">
        <v>6</v>
      </c>
    </row>
    <row r="17" spans="1:20">
      <c r="A17" s="1607"/>
      <c r="B17" s="215" t="s">
        <v>172</v>
      </c>
      <c r="C17" s="620">
        <v>4</v>
      </c>
      <c r="D17" s="620">
        <v>6</v>
      </c>
      <c r="E17" s="620">
        <v>8</v>
      </c>
      <c r="F17" s="620">
        <v>2</v>
      </c>
      <c r="G17" s="620">
        <v>2</v>
      </c>
      <c r="H17" s="620">
        <v>2</v>
      </c>
      <c r="I17" s="479">
        <f t="shared" si="0"/>
        <v>4</v>
      </c>
      <c r="K17" s="201" t="s">
        <v>151</v>
      </c>
      <c r="L17" s="204"/>
      <c r="M17" s="1086">
        <v>55</v>
      </c>
      <c r="N17" s="718">
        <v>7.81</v>
      </c>
      <c r="O17" s="717">
        <v>9.6999999999999993</v>
      </c>
      <c r="P17" s="718">
        <v>8.19</v>
      </c>
      <c r="Q17" s="205"/>
      <c r="R17" s="192" t="s">
        <v>286</v>
      </c>
      <c r="S17" s="221">
        <f>AVERAGE(N16:N20)</f>
        <v>7.8940000000000001</v>
      </c>
    </row>
    <row r="18" spans="1:20">
      <c r="A18" s="1608"/>
      <c r="B18" s="215" t="s">
        <v>176</v>
      </c>
      <c r="C18" s="98">
        <v>8.5</v>
      </c>
      <c r="D18" s="98">
        <v>10.199999999999999</v>
      </c>
      <c r="E18" s="98">
        <v>10.8</v>
      </c>
      <c r="F18" s="98">
        <v>8.8000000000000007</v>
      </c>
      <c r="G18" s="98">
        <v>5.2</v>
      </c>
      <c r="H18" s="98">
        <v>4</v>
      </c>
      <c r="I18" s="1079">
        <f t="shared" si="0"/>
        <v>7.916666666666667</v>
      </c>
      <c r="K18" s="201" t="s">
        <v>271</v>
      </c>
      <c r="L18" s="204"/>
      <c r="M18" s="1086">
        <v>55</v>
      </c>
      <c r="N18" s="475">
        <v>7.99</v>
      </c>
      <c r="O18" s="712">
        <v>9.6</v>
      </c>
      <c r="P18" s="475">
        <v>8.18</v>
      </c>
      <c r="Q18" s="205"/>
      <c r="R18" s="192" t="s">
        <v>277</v>
      </c>
      <c r="S18" s="221">
        <f>AVERAGE(O16:O20)</f>
        <v>9.7200000000000006</v>
      </c>
    </row>
    <row r="19" spans="1:20">
      <c r="B19" s="234" t="s">
        <v>625</v>
      </c>
      <c r="C19" s="328">
        <v>42150</v>
      </c>
      <c r="D19" s="329">
        <v>42173</v>
      </c>
      <c r="E19" s="329">
        <v>42200</v>
      </c>
      <c r="F19" s="329">
        <v>42236</v>
      </c>
      <c r="G19" s="329">
        <v>42264</v>
      </c>
      <c r="H19" s="329">
        <v>42305</v>
      </c>
      <c r="I19" s="473"/>
      <c r="J19" s="77"/>
      <c r="K19" s="201" t="s">
        <v>152</v>
      </c>
      <c r="L19" s="204"/>
      <c r="M19" s="1086">
        <v>55</v>
      </c>
      <c r="N19" s="475">
        <v>8.1199999999999992</v>
      </c>
      <c r="O19" s="712">
        <v>9.6</v>
      </c>
      <c r="P19" s="475">
        <v>8.17</v>
      </c>
      <c r="Q19" s="205"/>
      <c r="R19" s="192" t="s">
        <v>287</v>
      </c>
      <c r="S19" s="221">
        <f>AVERAGE(P16:P25)</f>
        <v>8.1650000000000009</v>
      </c>
    </row>
    <row r="20" spans="1:20">
      <c r="A20" s="1605" t="s">
        <v>105</v>
      </c>
      <c r="B20" s="330" t="s">
        <v>626</v>
      </c>
      <c r="C20" s="331">
        <f>S4</f>
        <v>13.355</v>
      </c>
      <c r="D20" s="331">
        <f>S17</f>
        <v>7.8940000000000001</v>
      </c>
      <c r="E20" s="331">
        <f>S29</f>
        <v>7.3975</v>
      </c>
      <c r="F20" s="331">
        <f>S41</f>
        <v>6.9250000000000007</v>
      </c>
      <c r="G20" s="331">
        <f>S53</f>
        <v>7.2350000000000012</v>
      </c>
      <c r="H20" s="331">
        <f>S65</f>
        <v>9.9674999999999994</v>
      </c>
      <c r="I20" s="474"/>
      <c r="J20" s="77"/>
      <c r="K20" s="201" t="s">
        <v>272</v>
      </c>
      <c r="L20" s="204"/>
      <c r="M20" s="1086">
        <v>55</v>
      </c>
      <c r="N20" s="475">
        <v>8.27</v>
      </c>
      <c r="O20" s="712">
        <v>9.5</v>
      </c>
      <c r="P20" s="475">
        <v>8.18</v>
      </c>
      <c r="Q20" s="205"/>
      <c r="R20" s="192" t="s">
        <v>288</v>
      </c>
      <c r="S20" s="1087">
        <f>AVERAGE(M16:M25)</f>
        <v>55</v>
      </c>
      <c r="T20" s="213"/>
    </row>
    <row r="21" spans="1:20">
      <c r="A21" s="1605"/>
      <c r="B21" s="330" t="s">
        <v>628</v>
      </c>
      <c r="C21" s="331">
        <f>S5</f>
        <v>6</v>
      </c>
      <c r="D21" s="331">
        <f>S18</f>
        <v>9.7200000000000006</v>
      </c>
      <c r="E21" s="331">
        <f>S30</f>
        <v>11.425000000000001</v>
      </c>
      <c r="F21" s="331">
        <f>S42</f>
        <v>13.9</v>
      </c>
      <c r="G21" s="331">
        <f>S54</f>
        <v>12.774999999999999</v>
      </c>
      <c r="H21" s="331">
        <f>S66</f>
        <v>5.4499999999999993</v>
      </c>
      <c r="I21" s="474"/>
      <c r="J21" s="77"/>
      <c r="K21" s="201" t="s">
        <v>153</v>
      </c>
      <c r="L21" s="204"/>
      <c r="M21" s="1086">
        <v>55</v>
      </c>
      <c r="N21" s="475">
        <v>8.4</v>
      </c>
      <c r="O21" s="712">
        <v>9.5</v>
      </c>
      <c r="P21" s="475">
        <v>8.17</v>
      </c>
      <c r="Q21" s="205"/>
      <c r="S21" s="216"/>
    </row>
    <row r="22" spans="1:20">
      <c r="A22" s="1605"/>
      <c r="B22" s="330" t="s">
        <v>627</v>
      </c>
      <c r="C22" s="331">
        <f>S6</f>
        <v>8.0069999999999997</v>
      </c>
      <c r="D22" s="331">
        <f>S19</f>
        <v>8.1650000000000009</v>
      </c>
      <c r="E22" s="331">
        <f>S31</f>
        <v>8.84</v>
      </c>
      <c r="F22" s="331">
        <f>S43</f>
        <v>7.9839999999999991</v>
      </c>
      <c r="G22" s="331">
        <f>S55</f>
        <v>7.7960000000000012</v>
      </c>
      <c r="H22" s="331">
        <f>S67</f>
        <v>8.1720000000000006</v>
      </c>
      <c r="I22" s="474"/>
      <c r="J22" s="77"/>
      <c r="K22" s="201" t="s">
        <v>273</v>
      </c>
      <c r="L22" s="204"/>
      <c r="M22" s="1086">
        <v>55</v>
      </c>
      <c r="N22" s="475">
        <v>8.49</v>
      </c>
      <c r="O22" s="712">
        <v>9.5</v>
      </c>
      <c r="P22" s="475">
        <v>8.16</v>
      </c>
      <c r="Q22" s="205"/>
    </row>
    <row r="23" spans="1:20">
      <c r="A23" s="1605"/>
      <c r="B23" s="330" t="s">
        <v>629</v>
      </c>
      <c r="C23" s="1084">
        <f>S7</f>
        <v>93</v>
      </c>
      <c r="D23" s="1084">
        <f>S20</f>
        <v>55</v>
      </c>
      <c r="E23" s="1084">
        <f>S32</f>
        <v>73.7</v>
      </c>
      <c r="F23" s="1084">
        <f>S44</f>
        <v>83.6</v>
      </c>
      <c r="G23" s="1084">
        <f>S56</f>
        <v>83.1</v>
      </c>
      <c r="H23" s="1084">
        <f>S68</f>
        <v>98.4</v>
      </c>
      <c r="I23" s="478"/>
      <c r="J23" s="77"/>
      <c r="K23" s="201" t="s">
        <v>154</v>
      </c>
      <c r="L23" s="204"/>
      <c r="M23" s="1086">
        <v>55</v>
      </c>
      <c r="N23" s="475">
        <v>8.56</v>
      </c>
      <c r="O23" s="712">
        <v>9.5</v>
      </c>
      <c r="P23" s="475">
        <v>8.1300000000000008</v>
      </c>
      <c r="Q23" s="205"/>
    </row>
    <row r="24" spans="1:20">
      <c r="A24" s="1605" t="s">
        <v>1608</v>
      </c>
      <c r="B24" s="1088" t="s">
        <v>1606</v>
      </c>
      <c r="C24" s="721">
        <v>286</v>
      </c>
      <c r="D24" s="721">
        <v>302</v>
      </c>
      <c r="E24" s="721">
        <v>144</v>
      </c>
      <c r="F24" s="721">
        <v>54</v>
      </c>
      <c r="G24" s="721">
        <v>25</v>
      </c>
      <c r="H24" s="721">
        <v>24</v>
      </c>
      <c r="I24" s="205"/>
      <c r="J24" s="77"/>
      <c r="K24" s="201" t="s">
        <v>155</v>
      </c>
      <c r="L24" s="204"/>
      <c r="M24" s="1086">
        <v>55</v>
      </c>
      <c r="N24" s="475">
        <v>8.65</v>
      </c>
      <c r="O24" s="712">
        <v>9.4</v>
      </c>
      <c r="P24" s="475">
        <v>8.14</v>
      </c>
      <c r="Q24" s="205"/>
    </row>
    <row r="25" spans="1:20">
      <c r="A25" s="1605"/>
      <c r="B25" s="204" t="s">
        <v>1607</v>
      </c>
      <c r="C25" s="721">
        <v>319</v>
      </c>
      <c r="D25" s="721">
        <v>359</v>
      </c>
      <c r="E25" s="721">
        <v>162</v>
      </c>
      <c r="F25" s="721">
        <v>43</v>
      </c>
      <c r="G25" s="721">
        <v>20</v>
      </c>
      <c r="H25" s="721">
        <v>25</v>
      </c>
      <c r="J25" s="77"/>
      <c r="K25" s="201" t="s">
        <v>156</v>
      </c>
      <c r="L25" s="204"/>
      <c r="M25" s="1086">
        <v>55</v>
      </c>
      <c r="N25" s="718">
        <v>8.85</v>
      </c>
      <c r="O25" s="717">
        <v>9.1999999999999993</v>
      </c>
      <c r="P25" s="718">
        <v>8.1199999999999992</v>
      </c>
    </row>
    <row r="26" spans="1:20">
      <c r="J26" s="77"/>
      <c r="K26" s="209" t="s">
        <v>144</v>
      </c>
      <c r="L26" s="199">
        <v>42200</v>
      </c>
    </row>
    <row r="27" spans="1:20">
      <c r="J27" s="77"/>
      <c r="K27" s="200" t="s">
        <v>284</v>
      </c>
      <c r="L27" s="210" t="s">
        <v>146</v>
      </c>
      <c r="M27" s="210" t="s">
        <v>147</v>
      </c>
      <c r="N27" s="210" t="s">
        <v>148</v>
      </c>
      <c r="O27" s="210" t="s">
        <v>149</v>
      </c>
      <c r="P27" s="210" t="s">
        <v>150</v>
      </c>
      <c r="Q27" s="200" t="s">
        <v>160</v>
      </c>
      <c r="R27" s="200" t="s">
        <v>168</v>
      </c>
    </row>
    <row r="28" spans="1:20">
      <c r="J28" s="77"/>
      <c r="K28" s="201" t="s">
        <v>270</v>
      </c>
      <c r="L28" s="202">
        <v>0.54513888888888895</v>
      </c>
      <c r="M28" s="1085">
        <v>74</v>
      </c>
      <c r="N28" s="713">
        <v>6.69</v>
      </c>
      <c r="O28" s="713">
        <v>11.9</v>
      </c>
      <c r="P28" s="331">
        <v>8.98</v>
      </c>
      <c r="Q28" s="715">
        <v>0.54</v>
      </c>
      <c r="R28" s="716">
        <v>6</v>
      </c>
    </row>
    <row r="29" spans="1:20">
      <c r="J29" s="77"/>
      <c r="K29" s="201" t="s">
        <v>151</v>
      </c>
      <c r="L29" s="204"/>
      <c r="M29" s="1085">
        <v>74</v>
      </c>
      <c r="N29" s="713">
        <v>7.3</v>
      </c>
      <c r="O29" s="713">
        <v>11.6</v>
      </c>
      <c r="P29" s="331">
        <v>8.9700000000000006</v>
      </c>
      <c r="Q29" s="205"/>
      <c r="R29" s="192" t="s">
        <v>286</v>
      </c>
      <c r="S29" s="221">
        <f>AVERAGE(N28:N31)</f>
        <v>7.3975</v>
      </c>
    </row>
    <row r="30" spans="1:20">
      <c r="J30" s="80"/>
      <c r="K30" s="201" t="s">
        <v>271</v>
      </c>
      <c r="L30" s="204"/>
      <c r="M30" s="1085">
        <v>74</v>
      </c>
      <c r="N30" s="713">
        <v>7.71</v>
      </c>
      <c r="O30" s="713">
        <v>11.1</v>
      </c>
      <c r="P30" s="331">
        <v>8.93</v>
      </c>
      <c r="Q30" s="205"/>
      <c r="R30" s="192" t="s">
        <v>277</v>
      </c>
      <c r="S30" s="221">
        <f>AVERAGE(O28:O31)</f>
        <v>11.425000000000001</v>
      </c>
    </row>
    <row r="31" spans="1:20">
      <c r="J31" s="84"/>
      <c r="K31" s="201" t="s">
        <v>152</v>
      </c>
      <c r="L31" s="204"/>
      <c r="M31" s="1085">
        <v>74</v>
      </c>
      <c r="N31" s="713">
        <v>7.89</v>
      </c>
      <c r="O31" s="713">
        <v>11.1</v>
      </c>
      <c r="P31" s="331">
        <v>8.8800000000000008</v>
      </c>
      <c r="Q31" s="205"/>
      <c r="R31" s="192" t="s">
        <v>287</v>
      </c>
      <c r="S31" s="221">
        <f>AVERAGE(P28:P37)</f>
        <v>8.84</v>
      </c>
    </row>
    <row r="32" spans="1:20">
      <c r="K32" s="201" t="s">
        <v>272</v>
      </c>
      <c r="L32" s="204"/>
      <c r="M32" s="1085">
        <v>74</v>
      </c>
      <c r="N32" s="713">
        <v>8.06</v>
      </c>
      <c r="O32" s="713">
        <v>11.1</v>
      </c>
      <c r="P32" s="331">
        <v>8.85</v>
      </c>
      <c r="Q32" s="205"/>
      <c r="R32" s="192" t="s">
        <v>288</v>
      </c>
      <c r="S32" s="1087">
        <f>AVERAGE(M28:M37)</f>
        <v>73.7</v>
      </c>
    </row>
    <row r="33" spans="2:19">
      <c r="K33" s="201" t="s">
        <v>153</v>
      </c>
      <c r="L33" s="204"/>
      <c r="M33" s="1085">
        <v>74</v>
      </c>
      <c r="N33" s="713">
        <v>8.2899999999999991</v>
      </c>
      <c r="O33" s="713">
        <v>11</v>
      </c>
      <c r="P33" s="331">
        <v>8.8000000000000007</v>
      </c>
      <c r="Q33" s="205"/>
    </row>
    <row r="34" spans="2:19">
      <c r="K34" s="201" t="s">
        <v>273</v>
      </c>
      <c r="L34" s="204"/>
      <c r="M34" s="1085">
        <v>74</v>
      </c>
      <c r="N34" s="713">
        <v>8.4600000000000009</v>
      </c>
      <c r="O34" s="713">
        <v>10.9</v>
      </c>
      <c r="P34" s="331">
        <v>8.7899999999999991</v>
      </c>
      <c r="Q34" s="205"/>
    </row>
    <row r="35" spans="2:19">
      <c r="K35" s="201" t="s">
        <v>154</v>
      </c>
      <c r="L35" s="204"/>
      <c r="M35" s="1085">
        <v>73</v>
      </c>
      <c r="N35" s="713">
        <v>8.6199999999999992</v>
      </c>
      <c r="O35" s="713">
        <v>10.7</v>
      </c>
      <c r="P35" s="331">
        <v>8.76</v>
      </c>
      <c r="Q35" s="205"/>
    </row>
    <row r="36" spans="2:19">
      <c r="B36" s="216"/>
      <c r="C36" s="217"/>
      <c r="D36" s="217"/>
      <c r="K36" s="201" t="s">
        <v>155</v>
      </c>
      <c r="L36" s="204"/>
      <c r="M36" s="1085">
        <v>73</v>
      </c>
      <c r="N36" s="713">
        <v>8.68</v>
      </c>
      <c r="O36" s="713">
        <v>10.7</v>
      </c>
      <c r="P36" s="331">
        <v>8.74</v>
      </c>
      <c r="Q36" s="205"/>
    </row>
    <row r="37" spans="2:19">
      <c r="B37" s="216"/>
      <c r="C37" s="217"/>
      <c r="D37" s="217"/>
      <c r="E37" s="212"/>
      <c r="F37" s="212"/>
      <c r="G37" s="212"/>
      <c r="H37" s="212"/>
      <c r="I37" s="212"/>
      <c r="K37" s="201" t="s">
        <v>156</v>
      </c>
      <c r="L37" s="204"/>
      <c r="M37" s="1085">
        <v>73</v>
      </c>
      <c r="N37" s="714">
        <v>8.82</v>
      </c>
      <c r="O37" s="713">
        <v>10.6</v>
      </c>
      <c r="P37" s="475">
        <v>8.6999999999999993</v>
      </c>
    </row>
    <row r="38" spans="2:19">
      <c r="B38" s="216"/>
      <c r="C38" s="217"/>
      <c r="D38" s="217"/>
      <c r="K38" s="209" t="s">
        <v>144</v>
      </c>
      <c r="L38" s="199">
        <v>42236</v>
      </c>
    </row>
    <row r="39" spans="2:19">
      <c r="K39" s="200" t="s">
        <v>284</v>
      </c>
      <c r="L39" s="456" t="s">
        <v>146</v>
      </c>
      <c r="M39" s="456" t="s">
        <v>147</v>
      </c>
      <c r="N39" s="456" t="s">
        <v>148</v>
      </c>
      <c r="O39" s="456" t="s">
        <v>149</v>
      </c>
      <c r="P39" s="456" t="s">
        <v>150</v>
      </c>
      <c r="Q39" s="200" t="s">
        <v>160</v>
      </c>
      <c r="R39" s="200" t="s">
        <v>168</v>
      </c>
    </row>
    <row r="40" spans="2:19">
      <c r="K40" s="201" t="s">
        <v>270</v>
      </c>
      <c r="L40" s="202">
        <v>0.52777777777777779</v>
      </c>
      <c r="M40" s="1085">
        <v>84</v>
      </c>
      <c r="N40" s="331">
        <v>6.87</v>
      </c>
      <c r="O40" s="711">
        <v>14.9</v>
      </c>
      <c r="P40" s="331">
        <v>7.95</v>
      </c>
      <c r="Q40" s="715">
        <v>1.1499999999999999</v>
      </c>
      <c r="R40" s="716">
        <v>5.45</v>
      </c>
    </row>
    <row r="41" spans="2:19">
      <c r="K41" s="201" t="s">
        <v>151</v>
      </c>
      <c r="L41" s="204"/>
      <c r="M41" s="1085">
        <v>84</v>
      </c>
      <c r="N41" s="331">
        <v>7.82</v>
      </c>
      <c r="O41" s="711">
        <v>13.6</v>
      </c>
      <c r="P41" s="331">
        <v>7.92</v>
      </c>
      <c r="Q41" s="205"/>
      <c r="R41" s="192" t="s">
        <v>286</v>
      </c>
      <c r="S41" s="221">
        <f>AVERAGE(N40:N43)</f>
        <v>6.9250000000000007</v>
      </c>
    </row>
    <row r="42" spans="2:19">
      <c r="K42" s="201" t="s">
        <v>271</v>
      </c>
      <c r="L42" s="204"/>
      <c r="M42" s="1085">
        <v>84</v>
      </c>
      <c r="N42" s="331">
        <v>6.73</v>
      </c>
      <c r="O42" s="711">
        <v>13.6</v>
      </c>
      <c r="P42" s="331">
        <v>7.89</v>
      </c>
      <c r="Q42" s="205"/>
      <c r="R42" s="192" t="s">
        <v>277</v>
      </c>
      <c r="S42" s="221">
        <f>AVERAGE(O40:O43)</f>
        <v>13.9</v>
      </c>
    </row>
    <row r="43" spans="2:19">
      <c r="K43" s="201" t="s">
        <v>152</v>
      </c>
      <c r="L43" s="204"/>
      <c r="M43" s="1085">
        <v>84</v>
      </c>
      <c r="N43" s="331">
        <v>6.28</v>
      </c>
      <c r="O43" s="711">
        <v>13.5</v>
      </c>
      <c r="P43" s="331">
        <v>8.07</v>
      </c>
      <c r="Q43" s="205"/>
      <c r="R43" s="192" t="s">
        <v>287</v>
      </c>
      <c r="S43" s="221">
        <f>AVERAGE(P40:P49)</f>
        <v>7.9839999999999991</v>
      </c>
    </row>
    <row r="44" spans="2:19">
      <c r="K44" s="201" t="s">
        <v>272</v>
      </c>
      <c r="L44" s="204"/>
      <c r="M44" s="1085">
        <v>84</v>
      </c>
      <c r="N44" s="331">
        <v>6.22</v>
      </c>
      <c r="O44" s="711">
        <v>13.4</v>
      </c>
      <c r="P44" s="331">
        <v>8.0500000000000007</v>
      </c>
      <c r="Q44" s="205"/>
      <c r="R44" s="192" t="s">
        <v>288</v>
      </c>
      <c r="S44" s="1087">
        <f>AVERAGE(M40:M49)</f>
        <v>83.6</v>
      </c>
    </row>
    <row r="45" spans="2:19">
      <c r="K45" s="201" t="s">
        <v>153</v>
      </c>
      <c r="L45" s="204"/>
      <c r="M45" s="1085">
        <v>84</v>
      </c>
      <c r="N45" s="331">
        <v>6.3</v>
      </c>
      <c r="O45" s="711">
        <v>13.3</v>
      </c>
      <c r="P45" s="331">
        <v>8.01</v>
      </c>
      <c r="Q45" s="205"/>
    </row>
    <row r="46" spans="2:19">
      <c r="K46" s="201" t="s">
        <v>273</v>
      </c>
      <c r="L46" s="204"/>
      <c r="M46" s="1085">
        <v>83</v>
      </c>
      <c r="N46" s="477">
        <v>6.48</v>
      </c>
      <c r="O46" s="711">
        <v>13.2</v>
      </c>
      <c r="P46" s="331">
        <v>8.01</v>
      </c>
      <c r="Q46" s="205"/>
    </row>
    <row r="47" spans="2:19">
      <c r="K47" s="201" t="s">
        <v>154</v>
      </c>
      <c r="L47" s="204"/>
      <c r="M47" s="1085">
        <v>83</v>
      </c>
      <c r="N47" s="331">
        <v>6.62</v>
      </c>
      <c r="O47" s="711">
        <v>13.1</v>
      </c>
      <c r="P47" s="331">
        <v>8</v>
      </c>
      <c r="Q47" s="205"/>
    </row>
    <row r="48" spans="2:19">
      <c r="K48" s="201" t="s">
        <v>155</v>
      </c>
      <c r="L48" s="204"/>
      <c r="M48" s="1085">
        <v>83</v>
      </c>
      <c r="N48" s="331">
        <v>6.54</v>
      </c>
      <c r="O48" s="711">
        <v>12.9</v>
      </c>
      <c r="P48" s="331">
        <v>7.98</v>
      </c>
      <c r="Q48" s="205"/>
    </row>
    <row r="49" spans="11:19">
      <c r="K49" s="201" t="s">
        <v>156</v>
      </c>
      <c r="L49" s="204"/>
      <c r="M49" s="1085">
        <v>83</v>
      </c>
      <c r="N49" s="475">
        <v>6.5</v>
      </c>
      <c r="O49" s="712">
        <v>12.7</v>
      </c>
      <c r="P49" s="475">
        <v>7.96</v>
      </c>
    </row>
    <row r="50" spans="11:19">
      <c r="K50" s="209" t="s">
        <v>144</v>
      </c>
      <c r="L50" s="199">
        <v>42264</v>
      </c>
    </row>
    <row r="51" spans="11:19">
      <c r="K51" s="200" t="s">
        <v>284</v>
      </c>
      <c r="L51" s="456" t="s">
        <v>146</v>
      </c>
      <c r="M51" s="456" t="s">
        <v>147</v>
      </c>
      <c r="N51" s="456" t="s">
        <v>148</v>
      </c>
      <c r="O51" s="456" t="s">
        <v>149</v>
      </c>
      <c r="P51" s="456" t="s">
        <v>150</v>
      </c>
      <c r="Q51" s="200" t="s">
        <v>160</v>
      </c>
      <c r="R51" s="200" t="s">
        <v>168</v>
      </c>
    </row>
    <row r="52" spans="11:19">
      <c r="K52" s="201" t="s">
        <v>270</v>
      </c>
      <c r="L52" s="202">
        <v>0.51736111111111105</v>
      </c>
      <c r="M52" s="1085">
        <v>82</v>
      </c>
      <c r="N52" s="331">
        <v>6.83</v>
      </c>
      <c r="O52" s="711">
        <v>13</v>
      </c>
      <c r="P52" s="331">
        <v>7.95</v>
      </c>
      <c r="Q52" s="715">
        <v>1.25</v>
      </c>
      <c r="R52" s="716">
        <v>5.9</v>
      </c>
    </row>
    <row r="53" spans="11:19">
      <c r="K53" s="201" t="s">
        <v>151</v>
      </c>
      <c r="L53" s="204"/>
      <c r="M53" s="1085">
        <v>82</v>
      </c>
      <c r="N53" s="331">
        <v>7.29</v>
      </c>
      <c r="O53" s="711">
        <v>12.9</v>
      </c>
      <c r="P53" s="331">
        <v>7.86</v>
      </c>
      <c r="Q53" s="205"/>
      <c r="R53" s="192" t="s">
        <v>286</v>
      </c>
      <c r="S53" s="221">
        <f>AVERAGE(N52:N55)</f>
        <v>7.2350000000000012</v>
      </c>
    </row>
    <row r="54" spans="11:19">
      <c r="K54" s="201" t="s">
        <v>271</v>
      </c>
      <c r="L54" s="204"/>
      <c r="M54" s="1085">
        <v>82</v>
      </c>
      <c r="N54" s="331">
        <v>7.4</v>
      </c>
      <c r="O54" s="711">
        <v>12.7</v>
      </c>
      <c r="P54" s="331">
        <v>7.83</v>
      </c>
      <c r="Q54" s="205"/>
      <c r="R54" s="192" t="s">
        <v>277</v>
      </c>
      <c r="S54" s="221">
        <f>AVERAGE(O52:O55)</f>
        <v>12.774999999999999</v>
      </c>
    </row>
    <row r="55" spans="11:19">
      <c r="K55" s="201" t="s">
        <v>152</v>
      </c>
      <c r="L55" s="204"/>
      <c r="M55" s="1085">
        <v>82</v>
      </c>
      <c r="N55" s="331">
        <v>7.42</v>
      </c>
      <c r="O55" s="711">
        <v>12.5</v>
      </c>
      <c r="P55" s="1089">
        <v>7.83</v>
      </c>
      <c r="Q55" s="205"/>
      <c r="R55" s="192" t="s">
        <v>287</v>
      </c>
      <c r="S55" s="221">
        <f>AVERAGE(P52:P61)</f>
        <v>7.7960000000000012</v>
      </c>
    </row>
    <row r="56" spans="11:19">
      <c r="K56" s="201" t="s">
        <v>272</v>
      </c>
      <c r="L56" s="204"/>
      <c r="M56" s="1085">
        <v>82</v>
      </c>
      <c r="N56" s="331">
        <v>7.44</v>
      </c>
      <c r="O56" s="711">
        <v>12.4</v>
      </c>
      <c r="P56" s="331">
        <v>7.81</v>
      </c>
      <c r="Q56" s="205"/>
      <c r="R56" s="192" t="s">
        <v>288</v>
      </c>
      <c r="S56" s="1087">
        <f>AVERAGE(M52:M61)</f>
        <v>83.1</v>
      </c>
    </row>
    <row r="57" spans="11:19">
      <c r="K57" s="201" t="s">
        <v>153</v>
      </c>
      <c r="L57" s="204"/>
      <c r="M57" s="1085">
        <v>82</v>
      </c>
      <c r="N57" s="331">
        <v>7.46</v>
      </c>
      <c r="O57" s="711">
        <v>12.4</v>
      </c>
      <c r="P57" s="331">
        <v>7.79</v>
      </c>
      <c r="Q57" s="205"/>
    </row>
    <row r="58" spans="11:19">
      <c r="K58" s="201" t="s">
        <v>273</v>
      </c>
      <c r="L58" s="204"/>
      <c r="M58" s="1085">
        <v>83</v>
      </c>
      <c r="N58" s="477">
        <v>7.2</v>
      </c>
      <c r="O58" s="711">
        <v>12.3</v>
      </c>
      <c r="P58" s="331">
        <v>7.78</v>
      </c>
      <c r="Q58" s="205"/>
    </row>
    <row r="59" spans="11:19">
      <c r="K59" s="201" t="s">
        <v>154</v>
      </c>
      <c r="L59" s="204"/>
      <c r="M59" s="1085">
        <v>83</v>
      </c>
      <c r="N59" s="331">
        <v>6.92</v>
      </c>
      <c r="O59" s="711">
        <v>12.2</v>
      </c>
      <c r="P59" s="331">
        <v>7.76</v>
      </c>
      <c r="Q59" s="205"/>
    </row>
    <row r="60" spans="11:19">
      <c r="K60" s="201" t="s">
        <v>155</v>
      </c>
      <c r="L60" s="204"/>
      <c r="M60" s="1085">
        <v>84</v>
      </c>
      <c r="N60" s="331">
        <v>6.55</v>
      </c>
      <c r="O60" s="711">
        <v>12.1</v>
      </c>
      <c r="P60" s="331">
        <v>7.7</v>
      </c>
      <c r="Q60" s="205"/>
    </row>
    <row r="61" spans="11:19">
      <c r="K61" s="201" t="s">
        <v>156</v>
      </c>
      <c r="L61" s="204"/>
      <c r="M61" s="1085">
        <v>89</v>
      </c>
      <c r="N61" s="475">
        <v>4.58</v>
      </c>
      <c r="O61" s="712">
        <v>11.8</v>
      </c>
      <c r="P61" s="475">
        <v>7.65</v>
      </c>
    </row>
    <row r="62" spans="11:19">
      <c r="K62" s="209" t="s">
        <v>144</v>
      </c>
      <c r="L62" s="199">
        <v>42305</v>
      </c>
    </row>
    <row r="63" spans="11:19">
      <c r="K63" s="200" t="s">
        <v>284</v>
      </c>
      <c r="L63" s="456" t="s">
        <v>146</v>
      </c>
      <c r="M63" s="456" t="s">
        <v>147</v>
      </c>
      <c r="N63" s="456" t="s">
        <v>148</v>
      </c>
      <c r="O63" s="456" t="s">
        <v>149</v>
      </c>
      <c r="P63" s="456" t="s">
        <v>150</v>
      </c>
      <c r="Q63" s="200" t="s">
        <v>160</v>
      </c>
      <c r="R63" s="200" t="s">
        <v>168</v>
      </c>
    </row>
    <row r="64" spans="11:19">
      <c r="K64" s="201" t="s">
        <v>270</v>
      </c>
      <c r="L64" s="202">
        <v>0.45069444444444445</v>
      </c>
      <c r="M64" s="1085">
        <v>99</v>
      </c>
      <c r="N64" s="331">
        <v>10.1</v>
      </c>
      <c r="O64" s="711">
        <v>5.5</v>
      </c>
      <c r="P64" s="331">
        <v>8.2799999999999994</v>
      </c>
      <c r="Q64" s="715">
        <v>2.1</v>
      </c>
      <c r="R64" s="716">
        <v>5.7</v>
      </c>
    </row>
    <row r="65" spans="11:19">
      <c r="K65" s="201" t="s">
        <v>151</v>
      </c>
      <c r="L65" s="204"/>
      <c r="M65" s="1085">
        <v>99</v>
      </c>
      <c r="N65" s="331">
        <v>10.050000000000001</v>
      </c>
      <c r="O65" s="711">
        <v>5.5</v>
      </c>
      <c r="P65" s="331">
        <v>8.26</v>
      </c>
      <c r="Q65" s="205"/>
      <c r="R65" s="192" t="s">
        <v>286</v>
      </c>
      <c r="S65" s="221">
        <f>AVERAGE(N64:N67)</f>
        <v>9.9674999999999994</v>
      </c>
    </row>
    <row r="66" spans="11:19">
      <c r="K66" s="201" t="s">
        <v>271</v>
      </c>
      <c r="L66" s="204"/>
      <c r="M66" s="1085">
        <v>98</v>
      </c>
      <c r="N66" s="331">
        <v>10.02</v>
      </c>
      <c r="O66" s="711">
        <v>5.4</v>
      </c>
      <c r="P66" s="331">
        <v>8.24</v>
      </c>
      <c r="Q66" s="205"/>
      <c r="R66" s="192" t="s">
        <v>277</v>
      </c>
      <c r="S66" s="221">
        <f>AVERAGE(O64:O67)</f>
        <v>5.4499999999999993</v>
      </c>
    </row>
    <row r="67" spans="11:19">
      <c r="K67" s="201" t="s">
        <v>152</v>
      </c>
      <c r="L67" s="204"/>
      <c r="M67" s="1085">
        <v>98</v>
      </c>
      <c r="N67" s="331">
        <v>9.6999999999999993</v>
      </c>
      <c r="O67" s="711">
        <v>5.4</v>
      </c>
      <c r="P67" s="331">
        <v>8.2200000000000006</v>
      </c>
      <c r="Q67" s="205"/>
      <c r="R67" s="192" t="s">
        <v>287</v>
      </c>
      <c r="S67" s="221">
        <f>AVERAGE(P64:P73)</f>
        <v>8.1720000000000006</v>
      </c>
    </row>
    <row r="68" spans="11:19">
      <c r="K68" s="201" t="s">
        <v>272</v>
      </c>
      <c r="L68" s="204"/>
      <c r="M68" s="1085">
        <v>98</v>
      </c>
      <c r="N68" s="331">
        <v>9.81</v>
      </c>
      <c r="O68" s="711">
        <v>5.4</v>
      </c>
      <c r="P68" s="331">
        <v>8.19</v>
      </c>
      <c r="Q68" s="205"/>
      <c r="R68" s="192" t="s">
        <v>288</v>
      </c>
      <c r="S68" s="1087">
        <f>AVERAGE(M64:M73)</f>
        <v>98.4</v>
      </c>
    </row>
    <row r="69" spans="11:19">
      <c r="K69" s="201" t="s">
        <v>153</v>
      </c>
      <c r="L69" s="204"/>
      <c r="M69" s="1085">
        <v>98</v>
      </c>
      <c r="N69" s="331">
        <v>9.65</v>
      </c>
      <c r="O69" s="711">
        <v>5.4</v>
      </c>
      <c r="P69" s="331">
        <v>8.17</v>
      </c>
      <c r="Q69" s="205"/>
    </row>
    <row r="70" spans="11:19">
      <c r="K70" s="201" t="s">
        <v>273</v>
      </c>
      <c r="L70" s="204"/>
      <c r="M70" s="1085">
        <v>98</v>
      </c>
      <c r="N70" s="477">
        <v>9.6199999999999992</v>
      </c>
      <c r="O70" s="711">
        <v>5.2</v>
      </c>
      <c r="P70" s="331">
        <v>8.1199999999999992</v>
      </c>
      <c r="Q70" s="205"/>
    </row>
    <row r="71" spans="11:19">
      <c r="K71" s="201" t="s">
        <v>154</v>
      </c>
      <c r="L71" s="204"/>
      <c r="M71" s="1085">
        <v>98</v>
      </c>
      <c r="N71" s="331">
        <v>9.5</v>
      </c>
      <c r="O71" s="711">
        <v>5.2</v>
      </c>
      <c r="P71" s="331">
        <v>8.1</v>
      </c>
      <c r="Q71" s="205"/>
    </row>
    <row r="72" spans="11:19">
      <c r="K72" s="201" t="s">
        <v>155</v>
      </c>
      <c r="L72" s="204"/>
      <c r="M72" s="1085">
        <v>99</v>
      </c>
      <c r="N72" s="331">
        <v>9.58</v>
      </c>
      <c r="O72" s="711">
        <v>5</v>
      </c>
      <c r="P72" s="331">
        <v>8.08</v>
      </c>
      <c r="Q72" s="205"/>
    </row>
    <row r="73" spans="11:19">
      <c r="K73" s="201" t="s">
        <v>156</v>
      </c>
      <c r="L73" s="204"/>
      <c r="M73" s="1085">
        <v>99</v>
      </c>
      <c r="N73" s="475">
        <v>9.36</v>
      </c>
      <c r="O73" s="711">
        <v>4.9000000000000004</v>
      </c>
      <c r="P73" s="475">
        <v>8.06</v>
      </c>
    </row>
    <row r="74" spans="11:19">
      <c r="K74" s="209" t="s">
        <v>144</v>
      </c>
      <c r="L74" s="199"/>
    </row>
    <row r="75" spans="11:19">
      <c r="K75" s="200" t="s">
        <v>284</v>
      </c>
      <c r="L75" s="456" t="s">
        <v>146</v>
      </c>
      <c r="M75" s="456" t="s">
        <v>147</v>
      </c>
      <c r="N75" s="456" t="s">
        <v>148</v>
      </c>
      <c r="O75" s="456" t="s">
        <v>149</v>
      </c>
      <c r="P75" s="456" t="s">
        <v>150</v>
      </c>
      <c r="Q75" s="200" t="s">
        <v>160</v>
      </c>
      <c r="R75" s="200" t="s">
        <v>168</v>
      </c>
    </row>
    <row r="76" spans="11:19">
      <c r="K76" s="201" t="s">
        <v>270</v>
      </c>
      <c r="L76" s="202"/>
      <c r="M76" s="276"/>
      <c r="N76" s="331"/>
      <c r="O76" s="455"/>
      <c r="P76" s="331"/>
      <c r="Q76" s="203"/>
      <c r="R76" s="204"/>
    </row>
    <row r="77" spans="11:19">
      <c r="K77" s="201" t="s">
        <v>151</v>
      </c>
      <c r="L77" s="204"/>
      <c r="M77" s="276"/>
      <c r="N77" s="331"/>
      <c r="O77" s="455"/>
      <c r="P77" s="331"/>
      <c r="Q77" s="205"/>
      <c r="R77" s="192" t="s">
        <v>286</v>
      </c>
      <c r="S77" s="221" t="e">
        <f>AVERAGE(N76:N79)</f>
        <v>#DIV/0!</v>
      </c>
    </row>
    <row r="78" spans="11:19">
      <c r="K78" s="201" t="s">
        <v>271</v>
      </c>
      <c r="L78" s="204"/>
      <c r="M78" s="276"/>
      <c r="N78" s="331"/>
      <c r="O78" s="455"/>
      <c r="P78" s="331"/>
      <c r="Q78" s="205"/>
      <c r="R78" s="192" t="s">
        <v>277</v>
      </c>
      <c r="S78" s="221" t="e">
        <f>AVERAGE(O76:O79)</f>
        <v>#DIV/0!</v>
      </c>
    </row>
    <row r="79" spans="11:19">
      <c r="K79" s="201" t="s">
        <v>152</v>
      </c>
      <c r="L79" s="204"/>
      <c r="M79" s="276"/>
      <c r="N79" s="331"/>
      <c r="O79" s="455"/>
      <c r="P79" s="331"/>
      <c r="Q79" s="205"/>
      <c r="R79" s="192" t="s">
        <v>287</v>
      </c>
      <c r="S79" s="221" t="e">
        <f>AVERAGE(P76:P85)</f>
        <v>#DIV/0!</v>
      </c>
    </row>
    <row r="80" spans="11:19">
      <c r="K80" s="201" t="s">
        <v>272</v>
      </c>
      <c r="L80" s="204"/>
      <c r="M80" s="276"/>
      <c r="N80" s="331"/>
      <c r="O80" s="455"/>
      <c r="P80" s="331"/>
      <c r="Q80" s="205"/>
      <c r="R80" s="192" t="s">
        <v>288</v>
      </c>
      <c r="S80" s="220" t="e">
        <f>AVERAGE(M76:M85)</f>
        <v>#DIV/0!</v>
      </c>
    </row>
    <row r="81" spans="2:17">
      <c r="K81" s="201" t="s">
        <v>153</v>
      </c>
      <c r="L81" s="204"/>
      <c r="M81" s="276"/>
      <c r="N81" s="331"/>
      <c r="O81" s="455"/>
      <c r="P81" s="331"/>
      <c r="Q81" s="205"/>
    </row>
    <row r="82" spans="2:17">
      <c r="K82" s="201" t="s">
        <v>273</v>
      </c>
      <c r="L82" s="204"/>
      <c r="M82" s="276"/>
      <c r="N82" s="477"/>
      <c r="O82" s="455"/>
      <c r="P82" s="331"/>
      <c r="Q82" s="205"/>
    </row>
    <row r="83" spans="2:17">
      <c r="K83" s="201" t="s">
        <v>154</v>
      </c>
      <c r="L83" s="204"/>
      <c r="M83" s="276"/>
      <c r="N83" s="331"/>
      <c r="O83" s="455"/>
      <c r="P83" s="331"/>
      <c r="Q83" s="205"/>
    </row>
    <row r="84" spans="2:17">
      <c r="K84" s="201" t="s">
        <v>155</v>
      </c>
      <c r="L84" s="204"/>
      <c r="M84" s="276"/>
      <c r="N84" s="331"/>
      <c r="O84" s="455"/>
      <c r="P84" s="331"/>
      <c r="Q84" s="205"/>
    </row>
    <row r="85" spans="2:17">
      <c r="K85" s="201" t="s">
        <v>156</v>
      </c>
      <c r="L85" s="204"/>
      <c r="M85" s="276"/>
      <c r="N85" s="475"/>
      <c r="O85" s="206"/>
      <c r="P85" s="475"/>
    </row>
    <row r="88" spans="2:17" ht="14">
      <c r="C88" s="710"/>
      <c r="D88" s="875"/>
      <c r="E88" s="1501" t="s">
        <v>1787</v>
      </c>
      <c r="F88" s="1578"/>
      <c r="G88" s="1578"/>
      <c r="H88" s="1501" t="s">
        <v>1788</v>
      </c>
      <c r="I88" s="1578"/>
      <c r="J88" s="1502"/>
    </row>
    <row r="89" spans="2:17" ht="36">
      <c r="C89" s="1237" t="s">
        <v>1790</v>
      </c>
      <c r="D89" s="1237" t="s">
        <v>1170</v>
      </c>
      <c r="E89" s="1237" t="s">
        <v>29</v>
      </c>
      <c r="F89" s="1237" t="s">
        <v>28</v>
      </c>
      <c r="G89" s="1237" t="s">
        <v>1789</v>
      </c>
      <c r="H89" s="1237" t="s">
        <v>315</v>
      </c>
      <c r="I89" s="1237" t="s">
        <v>113</v>
      </c>
      <c r="J89" s="1237" t="s">
        <v>1789</v>
      </c>
    </row>
    <row r="90" spans="2:17" ht="14">
      <c r="B90" s="1236">
        <v>42125</v>
      </c>
      <c r="C90" s="1233">
        <v>286</v>
      </c>
      <c r="D90" s="1220">
        <f>C90*1.983*31</f>
        <v>17581.278000000002</v>
      </c>
      <c r="E90" s="620">
        <v>407</v>
      </c>
      <c r="F90" s="620">
        <v>28</v>
      </c>
      <c r="G90" s="620">
        <v>79</v>
      </c>
      <c r="H90" s="1234">
        <f t="shared" ref="H90:H95" si="2">E90*D90*0.002723</f>
        <v>19484.644737558003</v>
      </c>
      <c r="I90" s="878">
        <f t="shared" ref="I90:I95" si="3">F90*D90*0.002723</f>
        <v>1340.4669598320002</v>
      </c>
      <c r="J90" s="878">
        <f>G90*D90*0.002723</f>
        <v>3782.0317795260003</v>
      </c>
    </row>
    <row r="91" spans="2:17" ht="14">
      <c r="B91" s="1236">
        <v>42156</v>
      </c>
      <c r="C91" s="1233">
        <v>302</v>
      </c>
      <c r="D91" s="1221">
        <f>C91*1.983*30</f>
        <v>17965.98</v>
      </c>
      <c r="E91" s="620">
        <v>436</v>
      </c>
      <c r="F91" s="1080">
        <v>28</v>
      </c>
      <c r="G91" s="620">
        <v>62</v>
      </c>
      <c r="H91" s="1234">
        <f t="shared" si="2"/>
        <v>21329.714503440002</v>
      </c>
      <c r="I91" s="878">
        <f t="shared" si="3"/>
        <v>1369.79817912</v>
      </c>
      <c r="J91" s="878">
        <f t="shared" ref="J91:J95" si="4">G91*D91*0.002723</f>
        <v>3033.1245394800003</v>
      </c>
    </row>
    <row r="92" spans="2:17" ht="14">
      <c r="B92" s="1236">
        <v>42186</v>
      </c>
      <c r="C92" s="1235">
        <v>144</v>
      </c>
      <c r="D92" s="1221">
        <f>C92*1.983*31</f>
        <v>8852.112000000001</v>
      </c>
      <c r="E92" s="620">
        <v>455</v>
      </c>
      <c r="F92" s="1080">
        <v>31</v>
      </c>
      <c r="G92" s="620">
        <v>61</v>
      </c>
      <c r="H92" s="1234">
        <f t="shared" si="2"/>
        <v>10967.456944080002</v>
      </c>
      <c r="I92" s="878">
        <f t="shared" si="3"/>
        <v>747.23333025600004</v>
      </c>
      <c r="J92" s="878">
        <f t="shared" si="4"/>
        <v>1470.3623595360002</v>
      </c>
    </row>
    <row r="93" spans="2:17" ht="14">
      <c r="B93" s="1236">
        <v>42217</v>
      </c>
      <c r="C93" s="1235">
        <v>54</v>
      </c>
      <c r="D93" s="1221">
        <f>C93*1.983*31</f>
        <v>3319.5420000000004</v>
      </c>
      <c r="E93" s="620">
        <v>278</v>
      </c>
      <c r="F93" s="1080">
        <v>18</v>
      </c>
      <c r="G93" s="620">
        <v>42</v>
      </c>
      <c r="H93" s="1234">
        <f t="shared" si="2"/>
        <v>2512.8733767480003</v>
      </c>
      <c r="I93" s="878">
        <f t="shared" si="3"/>
        <v>162.70403158800002</v>
      </c>
      <c r="J93" s="878">
        <f t="shared" si="4"/>
        <v>379.64274037200011</v>
      </c>
    </row>
    <row r="94" spans="2:17" ht="14">
      <c r="B94" s="1236">
        <v>42248</v>
      </c>
      <c r="C94" s="1235">
        <v>25</v>
      </c>
      <c r="D94" s="1221">
        <f>C94*1.983*30</f>
        <v>1487.25</v>
      </c>
      <c r="E94" s="620">
        <v>252</v>
      </c>
      <c r="F94" s="1080">
        <v>15</v>
      </c>
      <c r="G94" s="620">
        <v>34</v>
      </c>
      <c r="H94" s="1234">
        <f t="shared" si="2"/>
        <v>1020.5450010000001</v>
      </c>
      <c r="I94" s="878">
        <f t="shared" si="3"/>
        <v>60.746726250000002</v>
      </c>
      <c r="J94" s="878">
        <f t="shared" si="4"/>
        <v>137.69257950000002</v>
      </c>
    </row>
    <row r="95" spans="2:17" ht="14">
      <c r="B95" s="1236">
        <v>42278</v>
      </c>
      <c r="C95" s="1235">
        <v>24</v>
      </c>
      <c r="D95" s="1221">
        <f>C95*1.983*31</f>
        <v>1475.3519999999999</v>
      </c>
      <c r="E95" s="620">
        <v>281</v>
      </c>
      <c r="F95" s="1080">
        <v>11</v>
      </c>
      <c r="G95" s="620">
        <v>52</v>
      </c>
      <c r="H95" s="1234">
        <f t="shared" si="2"/>
        <v>1128.884762376</v>
      </c>
      <c r="I95" s="878">
        <f t="shared" si="3"/>
        <v>44.191218456000001</v>
      </c>
      <c r="J95" s="878">
        <f t="shared" si="4"/>
        <v>208.90394179199998</v>
      </c>
    </row>
    <row r="96" spans="2:17">
      <c r="D96" s="204">
        <f>SUM(D90:D95)</f>
        <v>50681.514000000003</v>
      </c>
      <c r="E96" s="205"/>
      <c r="F96" s="205"/>
      <c r="H96" s="204">
        <f>SUM(H90:H95)</f>
        <v>56444.119325202009</v>
      </c>
      <c r="I96" s="204">
        <f>SUM(I90:I95)</f>
        <v>3725.1404455020001</v>
      </c>
      <c r="J96" s="204">
        <f>SUM(J90:J95)</f>
        <v>9011.7579402060019</v>
      </c>
    </row>
  </sheetData>
  <mergeCells count="8">
    <mergeCell ref="B2:I2"/>
    <mergeCell ref="N1:O1"/>
    <mergeCell ref="A4:A12"/>
    <mergeCell ref="E88:G88"/>
    <mergeCell ref="H88:J88"/>
    <mergeCell ref="A24:A25"/>
    <mergeCell ref="A13:A18"/>
    <mergeCell ref="A20:A23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59999389629810485"/>
  </sheetPr>
  <dimension ref="A1:AP80"/>
  <sheetViews>
    <sheetView topLeftCell="AM1" workbookViewId="0">
      <selection activeCell="AO14" sqref="AO14"/>
    </sheetView>
  </sheetViews>
  <sheetFormatPr defaultRowHeight="14"/>
  <cols>
    <col min="1" max="1" width="7.6328125" bestFit="1" customWidth="1"/>
    <col min="2" max="2" width="8.453125" bestFit="1" customWidth="1"/>
    <col min="3" max="3" width="6.36328125" bestFit="1" customWidth="1"/>
    <col min="4" max="4" width="10.90625" bestFit="1" customWidth="1"/>
    <col min="5" max="5" width="12" bestFit="1" customWidth="1"/>
    <col min="7" max="7" width="17.6328125" customWidth="1"/>
    <col min="8" max="8" width="11.36328125" bestFit="1" customWidth="1"/>
    <col min="14" max="14" width="10.36328125" customWidth="1"/>
    <col min="17" max="17" width="12.1796875" customWidth="1"/>
    <col min="18" max="18" width="6.90625" bestFit="1" customWidth="1"/>
    <col min="19" max="19" width="7.36328125" bestFit="1" customWidth="1"/>
    <col min="20" max="20" width="6.6328125" bestFit="1" customWidth="1"/>
    <col min="21" max="21" width="8" bestFit="1" customWidth="1"/>
    <col min="22" max="22" width="5.6328125" bestFit="1" customWidth="1"/>
    <col min="24" max="24" width="20" bestFit="1" customWidth="1"/>
    <col min="25" max="25" width="8.6328125" bestFit="1" customWidth="1"/>
    <col min="26" max="27" width="11.08984375" bestFit="1" customWidth="1"/>
    <col min="28" max="28" width="14" bestFit="1" customWidth="1"/>
    <col min="29" max="29" width="14.08984375" bestFit="1" customWidth="1"/>
    <col min="30" max="30" width="11.08984375" bestFit="1" customWidth="1"/>
    <col min="31" max="31" width="8" bestFit="1" customWidth="1"/>
    <col min="32" max="32" width="11.08984375" bestFit="1" customWidth="1"/>
    <col min="33" max="33" width="10.54296875" customWidth="1"/>
    <col min="36" max="36" width="11.54296875" bestFit="1" customWidth="1"/>
    <col min="37" max="37" width="11.08984375" bestFit="1" customWidth="1"/>
    <col min="38" max="38" width="11.08984375" customWidth="1"/>
    <col min="39" max="39" width="11.08984375" bestFit="1" customWidth="1"/>
    <col min="40" max="40" width="13.08984375" bestFit="1" customWidth="1"/>
    <col min="41" max="42" width="11.08984375" bestFit="1" customWidth="1"/>
  </cols>
  <sheetData>
    <row r="1" spans="1:41">
      <c r="A1" s="1617" t="s">
        <v>1221</v>
      </c>
      <c r="B1" s="1618"/>
      <c r="C1" s="1618"/>
      <c r="D1" s="1618"/>
      <c r="E1" s="1618"/>
      <c r="G1" s="1" t="s">
        <v>182</v>
      </c>
      <c r="H1" s="17"/>
      <c r="I1" s="17" t="s">
        <v>183</v>
      </c>
      <c r="J1" s="281">
        <v>42282</v>
      </c>
      <c r="K1" s="17"/>
      <c r="L1" s="17"/>
      <c r="M1" s="17"/>
      <c r="N1" s="17"/>
      <c r="R1" s="1620" t="s">
        <v>1017</v>
      </c>
      <c r="S1" s="1620"/>
      <c r="T1" s="1620"/>
      <c r="U1" s="1620"/>
      <c r="V1" s="1620"/>
      <c r="X1" s="577" t="s">
        <v>1225</v>
      </c>
      <c r="Y1" s="577"/>
      <c r="Z1" s="577"/>
      <c r="AA1" s="577"/>
      <c r="AB1" s="577"/>
      <c r="AC1" s="577" t="s">
        <v>1025</v>
      </c>
      <c r="AD1" s="574">
        <v>0.3</v>
      </c>
      <c r="AE1" s="577"/>
      <c r="AF1" s="577"/>
    </row>
    <row r="2" spans="1:41">
      <c r="A2" s="50" t="s">
        <v>10</v>
      </c>
      <c r="B2" s="50" t="s">
        <v>1013</v>
      </c>
      <c r="C2" s="510" t="s">
        <v>1014</v>
      </c>
      <c r="D2" s="510" t="s">
        <v>1018</v>
      </c>
      <c r="E2" s="510" t="s">
        <v>1019</v>
      </c>
      <c r="F2" s="575"/>
      <c r="G2" s="86" t="s">
        <v>1008</v>
      </c>
      <c r="H2" s="228" t="s">
        <v>146</v>
      </c>
      <c r="I2" s="228" t="s">
        <v>147</v>
      </c>
      <c r="J2" s="228" t="s">
        <v>148</v>
      </c>
      <c r="K2" s="228" t="s">
        <v>149</v>
      </c>
      <c r="L2" s="228" t="s">
        <v>150</v>
      </c>
      <c r="M2" s="86" t="s">
        <v>160</v>
      </c>
      <c r="N2" s="86" t="s">
        <v>168</v>
      </c>
      <c r="P2" s="50" t="s">
        <v>10</v>
      </c>
      <c r="Q2" s="50" t="s">
        <v>1016</v>
      </c>
      <c r="R2" s="942">
        <v>25</v>
      </c>
      <c r="S2" s="50">
        <v>60</v>
      </c>
      <c r="T2" s="50">
        <v>120</v>
      </c>
      <c r="U2" s="50">
        <v>200</v>
      </c>
      <c r="V2" s="50" t="s">
        <v>1015</v>
      </c>
      <c r="X2" s="578"/>
      <c r="Y2" s="578"/>
      <c r="Z2" s="578"/>
      <c r="AA2" s="578"/>
      <c r="AB2" s="579" t="s">
        <v>1026</v>
      </c>
      <c r="AC2" s="578"/>
      <c r="AD2" s="573">
        <v>0.02</v>
      </c>
      <c r="AE2" s="578"/>
      <c r="AF2" s="574">
        <v>2015</v>
      </c>
      <c r="AO2" s="621" t="s">
        <v>1029</v>
      </c>
    </row>
    <row r="3" spans="1:41" ht="15.5">
      <c r="A3" s="576" t="s">
        <v>1001</v>
      </c>
      <c r="B3" s="50" t="s">
        <v>467</v>
      </c>
      <c r="C3" s="510" t="s">
        <v>467</v>
      </c>
      <c r="D3" s="917">
        <v>39.651482000000001</v>
      </c>
      <c r="E3" s="918">
        <v>-105.14570000000001</v>
      </c>
      <c r="G3" s="409" t="s">
        <v>270</v>
      </c>
      <c r="H3" s="590">
        <v>0.38541666666666669</v>
      </c>
      <c r="I3" s="587">
        <v>0.45500000000000002</v>
      </c>
      <c r="J3" s="586">
        <v>5.93</v>
      </c>
      <c r="K3" s="585"/>
      <c r="L3" s="586"/>
      <c r="M3" s="588"/>
      <c r="N3" s="589"/>
      <c r="P3" s="50" t="s">
        <v>1001</v>
      </c>
      <c r="Q3" s="50" t="s">
        <v>1231</v>
      </c>
      <c r="R3" s="282">
        <v>3</v>
      </c>
      <c r="S3" s="50">
        <v>8</v>
      </c>
      <c r="T3" s="50">
        <v>12</v>
      </c>
      <c r="U3" s="50">
        <v>14</v>
      </c>
      <c r="V3" s="50">
        <f>100-(R3+S3+T4+U3)</f>
        <v>71</v>
      </c>
      <c r="X3" s="1626" t="s">
        <v>1027</v>
      </c>
      <c r="Y3" s="1621"/>
      <c r="Z3" s="908"/>
      <c r="AA3" s="908"/>
      <c r="AB3" s="1627" t="s">
        <v>67</v>
      </c>
      <c r="AC3" s="1627"/>
      <c r="AD3" s="573"/>
      <c r="AE3" s="573" t="s">
        <v>1028</v>
      </c>
      <c r="AF3" s="621" t="s">
        <v>1029</v>
      </c>
      <c r="AH3" s="619"/>
      <c r="AM3" s="1626" t="s">
        <v>1034</v>
      </c>
      <c r="AN3" s="573" t="s">
        <v>1035</v>
      </c>
      <c r="AO3" s="605">
        <v>8.7326358005724707</v>
      </c>
    </row>
    <row r="4" spans="1:41" ht="15.5">
      <c r="A4" s="576" t="s">
        <v>1024</v>
      </c>
      <c r="B4" s="50" t="s">
        <v>467</v>
      </c>
      <c r="C4" s="50" t="s">
        <v>467</v>
      </c>
      <c r="D4" s="919">
        <v>39.653061000000001</v>
      </c>
      <c r="E4" s="919">
        <v>-105.141098</v>
      </c>
      <c r="G4" s="409" t="s">
        <v>151</v>
      </c>
      <c r="H4" s="83"/>
      <c r="I4" s="587">
        <v>0.45500000000000002</v>
      </c>
      <c r="J4" s="586">
        <v>5.91</v>
      </c>
      <c r="K4" s="585"/>
      <c r="L4" s="586"/>
      <c r="M4" s="148"/>
      <c r="N4" s="17"/>
      <c r="P4" s="50" t="s">
        <v>1002</v>
      </c>
      <c r="Q4" s="50" t="s">
        <v>1231</v>
      </c>
      <c r="R4" s="282">
        <v>1</v>
      </c>
      <c r="S4" s="50">
        <v>2</v>
      </c>
      <c r="T4" s="50">
        <v>4</v>
      </c>
      <c r="U4" s="50">
        <v>9</v>
      </c>
      <c r="V4" s="50">
        <f t="shared" ref="V4:V9" si="0">100-(R4+S4+T5+U4)</f>
        <v>78</v>
      </c>
      <c r="X4" s="1626"/>
      <c r="Y4" s="1621"/>
      <c r="Z4" s="908" t="s">
        <v>1046</v>
      </c>
      <c r="AA4" s="908" t="s">
        <v>1047</v>
      </c>
      <c r="AB4" s="573" t="s">
        <v>1030</v>
      </c>
      <c r="AC4" s="621" t="s">
        <v>1031</v>
      </c>
      <c r="AD4" s="573" t="s">
        <v>1032</v>
      </c>
      <c r="AE4" s="573" t="s">
        <v>1032</v>
      </c>
      <c r="AF4" s="621" t="s">
        <v>1033</v>
      </c>
      <c r="AH4" s="619"/>
      <c r="AM4" s="1626"/>
      <c r="AN4" s="573" t="s">
        <v>1036</v>
      </c>
      <c r="AO4" s="605">
        <v>8.4326387501941742</v>
      </c>
    </row>
    <row r="5" spans="1:41" ht="15.5">
      <c r="A5" s="576" t="s">
        <v>1022</v>
      </c>
      <c r="B5" s="50" t="s">
        <v>467</v>
      </c>
      <c r="C5" s="50" t="s">
        <v>467</v>
      </c>
      <c r="D5" s="919">
        <v>39.650140999999998</v>
      </c>
      <c r="E5" s="919">
        <v>-105.144222</v>
      </c>
      <c r="G5" s="409" t="s">
        <v>271</v>
      </c>
      <c r="H5" s="83"/>
      <c r="I5" s="587">
        <v>0.45500000000000002</v>
      </c>
      <c r="J5" s="586">
        <v>6.08</v>
      </c>
      <c r="K5" s="585"/>
      <c r="L5" s="586"/>
      <c r="M5" s="148"/>
      <c r="N5" s="17"/>
      <c r="P5" s="50" t="s">
        <v>1003</v>
      </c>
      <c r="Q5" s="50" t="s">
        <v>1231</v>
      </c>
      <c r="R5" s="282">
        <v>1</v>
      </c>
      <c r="S5" s="50">
        <v>6</v>
      </c>
      <c r="T5" s="50">
        <v>10</v>
      </c>
      <c r="U5" s="50">
        <v>18</v>
      </c>
      <c r="V5" s="50">
        <f t="shared" si="0"/>
        <v>69</v>
      </c>
      <c r="X5" s="1609" t="s">
        <v>1034</v>
      </c>
      <c r="Y5" s="582" t="s">
        <v>1035</v>
      </c>
      <c r="Z5" s="574">
        <v>19.114599999999999</v>
      </c>
      <c r="AA5" s="574">
        <v>25.298300000000001</v>
      </c>
      <c r="AB5" s="584">
        <f t="shared" ref="AB5:AB10" si="1">AA5-Z5</f>
        <v>6.1837000000000018</v>
      </c>
      <c r="AC5" s="617">
        <f t="shared" ref="AC5:AC10" si="2">AB5/1000</f>
        <v>6.183700000000002E-3</v>
      </c>
      <c r="AD5" s="618">
        <f>AH5*2.5</f>
        <v>3</v>
      </c>
      <c r="AE5" s="618">
        <f>AD5-$AD$1</f>
        <v>2.7</v>
      </c>
      <c r="AF5" s="618">
        <f t="shared" ref="AF5:AF11" si="3">(AE5*$AD$2)/$AC5</f>
        <v>8.7326358005724707</v>
      </c>
      <c r="AH5" s="915">
        <v>1.2</v>
      </c>
      <c r="AI5" s="619"/>
      <c r="AJ5" s="673" t="s">
        <v>1226</v>
      </c>
      <c r="AK5" s="914">
        <f>5/2</f>
        <v>2.5</v>
      </c>
      <c r="AM5" s="1626" t="s">
        <v>1037</v>
      </c>
      <c r="AN5" s="573" t="s">
        <v>1038</v>
      </c>
      <c r="AO5" s="605">
        <v>1.890442275564935</v>
      </c>
    </row>
    <row r="6" spans="1:41" ht="15.5">
      <c r="A6" s="576" t="s">
        <v>1020</v>
      </c>
      <c r="B6" s="50" t="s">
        <v>467</v>
      </c>
      <c r="C6" s="510" t="s">
        <v>467</v>
      </c>
      <c r="D6" s="919">
        <v>39.651350999999998</v>
      </c>
      <c r="E6" s="919">
        <v>-105.14048699999999</v>
      </c>
      <c r="G6" s="409" t="s">
        <v>152</v>
      </c>
      <c r="H6" s="83"/>
      <c r="I6" s="587">
        <v>0.45500000000000002</v>
      </c>
      <c r="J6" s="586">
        <v>6.08</v>
      </c>
      <c r="K6" s="585"/>
      <c r="L6" s="586"/>
      <c r="M6" s="148"/>
      <c r="N6" s="17"/>
      <c r="P6" s="50" t="s">
        <v>1004</v>
      </c>
      <c r="Q6" s="50" t="s">
        <v>1231</v>
      </c>
      <c r="R6" s="282">
        <v>0</v>
      </c>
      <c r="S6" s="50">
        <v>2</v>
      </c>
      <c r="T6" s="50">
        <v>6</v>
      </c>
      <c r="U6" s="50">
        <v>15</v>
      </c>
      <c r="V6" s="50">
        <f t="shared" si="0"/>
        <v>76</v>
      </c>
      <c r="X6" s="1611"/>
      <c r="Y6" s="582" t="s">
        <v>1036</v>
      </c>
      <c r="Z6" s="574">
        <v>19.129799999999999</v>
      </c>
      <c r="AA6" s="574">
        <v>23.636099999999999</v>
      </c>
      <c r="AB6" s="584">
        <f t="shared" si="1"/>
        <v>4.5062999999999995</v>
      </c>
      <c r="AC6" s="617">
        <f t="shared" si="2"/>
        <v>4.5062999999999995E-3</v>
      </c>
      <c r="AD6" s="618">
        <f>AH6*2.5</f>
        <v>2.2000000000000002</v>
      </c>
      <c r="AE6" s="618">
        <f t="shared" ref="AE6:AE11" si="4">AD6-$AD$1</f>
        <v>1.9000000000000001</v>
      </c>
      <c r="AF6" s="618">
        <f t="shared" si="3"/>
        <v>8.4326387501941742</v>
      </c>
      <c r="AH6" s="915">
        <v>0.88</v>
      </c>
      <c r="AI6" s="619"/>
      <c r="AJ6" s="673" t="s">
        <v>1226</v>
      </c>
      <c r="AM6" s="1626"/>
      <c r="AN6" s="573" t="s">
        <v>1039</v>
      </c>
      <c r="AO6" s="605">
        <v>1.4156508061344864</v>
      </c>
    </row>
    <row r="7" spans="1:41">
      <c r="A7" s="576" t="s">
        <v>1021</v>
      </c>
      <c r="B7" s="50" t="s">
        <v>467</v>
      </c>
      <c r="C7" s="510" t="s">
        <v>467</v>
      </c>
      <c r="D7" s="919">
        <v>39.648722999999997</v>
      </c>
      <c r="E7" s="919">
        <v>-105.14428700000001</v>
      </c>
      <c r="G7" s="409" t="s">
        <v>272</v>
      </c>
      <c r="H7" s="83"/>
      <c r="I7" s="587">
        <v>0.45500000000000002</v>
      </c>
      <c r="J7" s="586"/>
      <c r="K7" s="585"/>
      <c r="L7" s="586"/>
      <c r="M7" s="148"/>
      <c r="N7" s="17"/>
      <c r="P7" s="50" t="s">
        <v>1005</v>
      </c>
      <c r="Q7" s="50" t="s">
        <v>1231</v>
      </c>
      <c r="R7" s="943">
        <v>21</v>
      </c>
      <c r="S7" s="50">
        <v>32</v>
      </c>
      <c r="T7" s="50">
        <v>7</v>
      </c>
      <c r="U7" s="50">
        <v>10</v>
      </c>
      <c r="V7" s="50">
        <f t="shared" si="0"/>
        <v>23</v>
      </c>
      <c r="X7" s="1609" t="s">
        <v>1037</v>
      </c>
      <c r="Y7" s="582" t="s">
        <v>1038</v>
      </c>
      <c r="Z7" s="574">
        <v>19.228400000000001</v>
      </c>
      <c r="AA7" s="574">
        <v>23.7776</v>
      </c>
      <c r="AB7" s="584">
        <f t="shared" si="1"/>
        <v>4.549199999999999</v>
      </c>
      <c r="AC7" s="617">
        <f t="shared" si="2"/>
        <v>4.5491999999999989E-3</v>
      </c>
      <c r="AD7" s="618">
        <v>0.73</v>
      </c>
      <c r="AE7" s="618">
        <f t="shared" si="4"/>
        <v>0.43</v>
      </c>
      <c r="AF7" s="618">
        <f t="shared" si="3"/>
        <v>1.890442275564935</v>
      </c>
      <c r="AH7" s="619"/>
      <c r="AI7" s="619"/>
      <c r="AJ7" s="710" t="s">
        <v>1227</v>
      </c>
      <c r="AM7" s="1626" t="s">
        <v>1040</v>
      </c>
      <c r="AN7" s="573" t="s">
        <v>1041</v>
      </c>
      <c r="AO7" s="605">
        <v>0.88460782386475301</v>
      </c>
    </row>
    <row r="8" spans="1:41">
      <c r="A8" s="576" t="s">
        <v>1023</v>
      </c>
      <c r="B8" s="50" t="s">
        <v>467</v>
      </c>
      <c r="C8" s="510" t="s">
        <v>467</v>
      </c>
      <c r="D8" s="919">
        <v>39.650404999999999</v>
      </c>
      <c r="E8" s="919">
        <v>-105.139538</v>
      </c>
      <c r="G8" s="409" t="s">
        <v>153</v>
      </c>
      <c r="H8" s="83"/>
      <c r="I8" s="587">
        <v>0.45500000000000002</v>
      </c>
      <c r="J8" s="586"/>
      <c r="K8" s="585"/>
      <c r="L8" s="586"/>
      <c r="M8" s="148"/>
      <c r="N8" s="17"/>
      <c r="P8" s="50" t="s">
        <v>1006</v>
      </c>
      <c r="Q8" s="50" t="s">
        <v>1231</v>
      </c>
      <c r="R8" s="943">
        <v>1</v>
      </c>
      <c r="S8" s="50">
        <v>3</v>
      </c>
      <c r="T8" s="50">
        <v>14</v>
      </c>
      <c r="U8" s="50">
        <v>18</v>
      </c>
      <c r="V8" s="50">
        <f t="shared" si="0"/>
        <v>70</v>
      </c>
      <c r="X8" s="1611"/>
      <c r="Y8" s="582" t="s">
        <v>1039</v>
      </c>
      <c r="Z8" s="583">
        <v>19.116599999999998</v>
      </c>
      <c r="AA8" s="583">
        <v>24.2026</v>
      </c>
      <c r="AB8" s="584">
        <f t="shared" si="1"/>
        <v>5.0860000000000021</v>
      </c>
      <c r="AC8" s="617">
        <f t="shared" si="2"/>
        <v>5.086000000000002E-3</v>
      </c>
      <c r="AD8" s="618">
        <v>0.66</v>
      </c>
      <c r="AE8" s="618">
        <f t="shared" si="4"/>
        <v>0.36000000000000004</v>
      </c>
      <c r="AF8" s="618">
        <f t="shared" si="3"/>
        <v>1.4156508061344864</v>
      </c>
      <c r="AH8" s="619"/>
      <c r="AI8" s="619"/>
      <c r="AJ8" s="710" t="s">
        <v>1227</v>
      </c>
      <c r="AM8" s="1626"/>
      <c r="AN8" s="573" t="s">
        <v>1042</v>
      </c>
      <c r="AO8" s="605">
        <v>7.252683492892368</v>
      </c>
    </row>
    <row r="9" spans="1:41">
      <c r="A9" s="510" t="s">
        <v>1150</v>
      </c>
      <c r="B9" s="916" t="s">
        <v>467</v>
      </c>
      <c r="C9" s="916"/>
      <c r="D9" s="919">
        <v>39.631785999999998</v>
      </c>
      <c r="E9" s="919">
        <v>-105.32311799999999</v>
      </c>
      <c r="G9" s="409" t="s">
        <v>273</v>
      </c>
      <c r="H9" s="83"/>
      <c r="I9" s="587">
        <v>0.45500000000000002</v>
      </c>
      <c r="J9" s="586"/>
      <c r="K9" s="585"/>
      <c r="L9" s="586"/>
      <c r="M9" s="148"/>
      <c r="N9" s="17"/>
      <c r="P9" s="510" t="s">
        <v>1150</v>
      </c>
      <c r="Q9" s="50" t="s">
        <v>1231</v>
      </c>
      <c r="R9" s="943">
        <v>1</v>
      </c>
      <c r="S9" s="50">
        <v>2</v>
      </c>
      <c r="T9" s="50">
        <v>8</v>
      </c>
      <c r="U9" s="50">
        <v>10</v>
      </c>
      <c r="V9" s="50">
        <f t="shared" si="0"/>
        <v>87</v>
      </c>
      <c r="X9" s="1609" t="s">
        <v>1040</v>
      </c>
      <c r="Y9" s="582" t="s">
        <v>1041</v>
      </c>
      <c r="Z9" s="583">
        <v>19.116599999999998</v>
      </c>
      <c r="AA9" s="583">
        <v>23.186199999999999</v>
      </c>
      <c r="AB9" s="584">
        <f t="shared" si="1"/>
        <v>4.0696000000000012</v>
      </c>
      <c r="AC9" s="617">
        <f t="shared" si="2"/>
        <v>4.0696000000000013E-3</v>
      </c>
      <c r="AD9" s="618">
        <v>0.48</v>
      </c>
      <c r="AE9" s="618">
        <f t="shared" si="4"/>
        <v>0.18</v>
      </c>
      <c r="AF9" s="618">
        <f t="shared" si="3"/>
        <v>0.88460782386475301</v>
      </c>
      <c r="AH9" s="619"/>
      <c r="AI9" s="619"/>
      <c r="AJ9" s="710" t="s">
        <v>1227</v>
      </c>
      <c r="AM9" s="949" t="s">
        <v>1224</v>
      </c>
      <c r="AN9" s="573" t="s">
        <v>1150</v>
      </c>
      <c r="AO9" s="605">
        <v>0.53961246014226116</v>
      </c>
    </row>
    <row r="10" spans="1:41" ht="14.5">
      <c r="A10" s="1619" t="s">
        <v>1228</v>
      </c>
      <c r="B10" s="1619"/>
      <c r="C10" s="1619"/>
      <c r="D10" s="1619"/>
      <c r="E10" s="1619"/>
      <c r="G10" s="409" t="s">
        <v>154</v>
      </c>
      <c r="H10" s="83"/>
      <c r="I10" s="587">
        <v>0.45500000000000002</v>
      </c>
      <c r="J10" s="586"/>
      <c r="K10" s="585"/>
      <c r="L10" s="586"/>
      <c r="M10" s="148"/>
      <c r="N10" s="17"/>
      <c r="R10" s="1620" t="s">
        <v>1237</v>
      </c>
      <c r="S10" s="1620"/>
      <c r="T10" s="1620"/>
      <c r="U10" s="1620"/>
      <c r="V10" s="1620"/>
      <c r="X10" s="1611"/>
      <c r="Y10" s="582" t="s">
        <v>1042</v>
      </c>
      <c r="Z10" s="583">
        <v>19.206399999999999</v>
      </c>
      <c r="AA10" s="583">
        <v>23.6875</v>
      </c>
      <c r="AB10" s="584">
        <f t="shared" si="1"/>
        <v>4.4811000000000014</v>
      </c>
      <c r="AC10" s="617">
        <f t="shared" si="2"/>
        <v>4.4811000000000017E-3</v>
      </c>
      <c r="AD10" s="618">
        <f>AH10*2.5</f>
        <v>1.925</v>
      </c>
      <c r="AE10" s="618">
        <f t="shared" si="4"/>
        <v>1.625</v>
      </c>
      <c r="AF10" s="618">
        <f t="shared" si="3"/>
        <v>7.252683492892368</v>
      </c>
      <c r="AH10" s="915">
        <v>0.77</v>
      </c>
      <c r="AI10" s="619"/>
      <c r="AJ10" s="673" t="s">
        <v>1226</v>
      </c>
    </row>
    <row r="11" spans="1:41" ht="28">
      <c r="G11" s="409" t="s">
        <v>155</v>
      </c>
      <c r="H11" s="83"/>
      <c r="I11" s="587">
        <v>0.45600000000000002</v>
      </c>
      <c r="J11" s="586"/>
      <c r="K11" s="585"/>
      <c r="L11" s="586"/>
      <c r="M11" s="148"/>
      <c r="N11" s="17"/>
      <c r="P11" s="50"/>
      <c r="Q11" s="943" t="s">
        <v>10</v>
      </c>
      <c r="R11" s="945" t="s">
        <v>1232</v>
      </c>
      <c r="S11" s="943" t="s">
        <v>1233</v>
      </c>
      <c r="T11" s="943" t="s">
        <v>1234</v>
      </c>
      <c r="U11" s="943" t="s">
        <v>1235</v>
      </c>
      <c r="V11" s="943" t="s">
        <v>1236</v>
      </c>
      <c r="X11" s="916" t="s">
        <v>1222</v>
      </c>
      <c r="Y11" s="583" t="s">
        <v>1223</v>
      </c>
      <c r="Z11" s="583">
        <v>19.053899999999999</v>
      </c>
      <c r="AA11" s="583">
        <v>23.1309</v>
      </c>
      <c r="AB11" s="911">
        <f>AA11-Z11</f>
        <v>4.0770000000000017</v>
      </c>
      <c r="AC11" s="910">
        <f>AB11/1000</f>
        <v>4.0770000000000016E-3</v>
      </c>
      <c r="AD11" s="928">
        <v>0.41</v>
      </c>
      <c r="AE11" s="618">
        <f t="shared" si="4"/>
        <v>0.10999999999999999</v>
      </c>
      <c r="AF11" s="618">
        <f t="shared" si="3"/>
        <v>0.53961246014226116</v>
      </c>
      <c r="AJ11" s="710" t="s">
        <v>1227</v>
      </c>
    </row>
    <row r="12" spans="1:41">
      <c r="G12" s="409" t="s">
        <v>156</v>
      </c>
      <c r="H12" s="83"/>
      <c r="I12" s="587"/>
      <c r="J12" s="586"/>
      <c r="K12" s="585"/>
      <c r="L12" s="586"/>
      <c r="M12" s="148"/>
      <c r="N12" s="17"/>
      <c r="Q12" s="943" t="s">
        <v>1001</v>
      </c>
      <c r="R12" s="946">
        <f t="shared" ref="R12:V16" si="5">R3/100</f>
        <v>0.03</v>
      </c>
      <c r="S12" s="946">
        <f t="shared" si="5"/>
        <v>0.08</v>
      </c>
      <c r="T12" s="946">
        <f t="shared" si="5"/>
        <v>0.12</v>
      </c>
      <c r="U12" s="946">
        <f t="shared" si="5"/>
        <v>0.14000000000000001</v>
      </c>
      <c r="V12" s="946">
        <f t="shared" si="5"/>
        <v>0.71</v>
      </c>
      <c r="X12" s="920"/>
    </row>
    <row r="13" spans="1:41" s="710" customFormat="1">
      <c r="G13" s="409" t="s">
        <v>157</v>
      </c>
      <c r="H13" s="83"/>
      <c r="I13" s="587"/>
      <c r="J13" s="586"/>
      <c r="K13" s="585"/>
      <c r="L13" s="586"/>
      <c r="M13" s="148"/>
      <c r="N13" s="17"/>
      <c r="Q13" s="943" t="s">
        <v>1002</v>
      </c>
      <c r="R13" s="946">
        <f t="shared" si="5"/>
        <v>0.01</v>
      </c>
      <c r="S13" s="946">
        <f t="shared" si="5"/>
        <v>0.02</v>
      </c>
      <c r="T13" s="946">
        <f t="shared" si="5"/>
        <v>0.04</v>
      </c>
      <c r="U13" s="946">
        <f t="shared" si="5"/>
        <v>0.09</v>
      </c>
      <c r="V13" s="946">
        <f t="shared" si="5"/>
        <v>0.78</v>
      </c>
      <c r="X13" s="54"/>
      <c r="Y13" s="921"/>
      <c r="Z13" s="921"/>
      <c r="AE13" s="54"/>
      <c r="AF13" s="54"/>
      <c r="AK13" s="126" t="s">
        <v>1052</v>
      </c>
      <c r="AL13" s="126" t="s">
        <v>1238</v>
      </c>
    </row>
    <row r="14" spans="1:41">
      <c r="G14" s="409" t="s">
        <v>158</v>
      </c>
      <c r="H14" s="95"/>
      <c r="I14" s="587"/>
      <c r="J14" s="586"/>
      <c r="K14" s="585"/>
      <c r="L14" s="586"/>
      <c r="M14" s="148"/>
      <c r="N14" s="17"/>
      <c r="Q14" s="943" t="s">
        <v>1003</v>
      </c>
      <c r="R14" s="946">
        <f t="shared" si="5"/>
        <v>0.01</v>
      </c>
      <c r="S14" s="946">
        <f t="shared" si="5"/>
        <v>0.06</v>
      </c>
      <c r="T14" s="946">
        <f t="shared" si="5"/>
        <v>0.1</v>
      </c>
      <c r="U14" s="946">
        <f t="shared" si="5"/>
        <v>0.18</v>
      </c>
      <c r="V14" s="946">
        <f t="shared" si="5"/>
        <v>0.69</v>
      </c>
      <c r="Y14" s="50"/>
      <c r="Z14" s="1576" t="s">
        <v>1048</v>
      </c>
      <c r="AA14" s="1576"/>
      <c r="AB14" s="1576"/>
      <c r="AC14" s="1576" t="s">
        <v>1049</v>
      </c>
      <c r="AD14" s="1576"/>
      <c r="AE14" s="1576"/>
      <c r="AF14" s="1612" t="s">
        <v>1051</v>
      </c>
      <c r="AG14" s="1613"/>
      <c r="AJ14" s="574" t="s">
        <v>1035</v>
      </c>
      <c r="AK14" s="927">
        <v>0.25848339847317092</v>
      </c>
      <c r="AL14" s="948">
        <v>9.524482441884996E-2</v>
      </c>
    </row>
    <row r="15" spans="1:41" ht="15" customHeight="1">
      <c r="H15" s="95"/>
      <c r="I15" s="587"/>
      <c r="J15" s="586"/>
      <c r="K15" s="585"/>
      <c r="L15" s="586"/>
      <c r="M15" s="148"/>
      <c r="N15" s="17"/>
      <c r="Q15" s="943" t="s">
        <v>1004</v>
      </c>
      <c r="R15" s="946">
        <f t="shared" si="5"/>
        <v>0</v>
      </c>
      <c r="S15" s="946">
        <f t="shared" si="5"/>
        <v>0.02</v>
      </c>
      <c r="T15" s="946">
        <f t="shared" si="5"/>
        <v>0.06</v>
      </c>
      <c r="U15" s="946">
        <f t="shared" si="5"/>
        <v>0.15</v>
      </c>
      <c r="V15" s="946">
        <f t="shared" si="5"/>
        <v>0.76</v>
      </c>
      <c r="X15" s="922" t="s">
        <v>1027</v>
      </c>
      <c r="Y15" s="573"/>
      <c r="Z15" s="126" t="s">
        <v>1046</v>
      </c>
      <c r="AA15" s="126" t="s">
        <v>1047</v>
      </c>
      <c r="AB15" s="126" t="s">
        <v>1043</v>
      </c>
      <c r="AC15" s="126" t="s">
        <v>1050</v>
      </c>
      <c r="AD15" s="126" t="s">
        <v>1044</v>
      </c>
      <c r="AE15" s="126" t="s">
        <v>1052</v>
      </c>
      <c r="AF15" s="126" t="s">
        <v>1051</v>
      </c>
      <c r="AG15" s="126" t="s">
        <v>1053</v>
      </c>
      <c r="AH15" s="947" t="s">
        <v>1045</v>
      </c>
      <c r="AJ15" s="574" t="s">
        <v>1036</v>
      </c>
      <c r="AK15" s="927">
        <v>0.21886997246286424</v>
      </c>
      <c r="AL15" s="948">
        <v>0.12232528239508011</v>
      </c>
    </row>
    <row r="16" spans="1:41" ht="15" customHeight="1">
      <c r="G16" s="83"/>
      <c r="H16" s="83"/>
      <c r="I16" s="83"/>
      <c r="J16" s="83"/>
      <c r="K16" s="83"/>
      <c r="L16" s="83"/>
      <c r="M16" s="17"/>
      <c r="N16" s="17"/>
      <c r="Q16" s="943" t="s">
        <v>1005</v>
      </c>
      <c r="R16" s="946">
        <f t="shared" si="5"/>
        <v>0.21</v>
      </c>
      <c r="S16" s="946">
        <f t="shared" si="5"/>
        <v>0.32</v>
      </c>
      <c r="T16" s="946">
        <f t="shared" si="5"/>
        <v>7.0000000000000007E-2</v>
      </c>
      <c r="U16" s="946">
        <f t="shared" si="5"/>
        <v>0.1</v>
      </c>
      <c r="V16" s="946">
        <f t="shared" si="5"/>
        <v>0.23</v>
      </c>
      <c r="X16" s="1628" t="s">
        <v>1034</v>
      </c>
      <c r="Y16" s="574" t="s">
        <v>1035</v>
      </c>
      <c r="Z16" s="615">
        <v>81.947699999999998</v>
      </c>
      <c r="AA16" s="615">
        <v>87.423100000000005</v>
      </c>
      <c r="AB16" s="584">
        <f t="shared" ref="AB16:AB22" si="6">AA16-Z16</f>
        <v>5.4754000000000076</v>
      </c>
      <c r="AC16" s="616">
        <v>83.363</v>
      </c>
      <c r="AD16" s="616">
        <f>AC16-Z16</f>
        <v>1.415300000000002</v>
      </c>
      <c r="AE16" s="927">
        <f t="shared" ref="AE16:AE22" si="7">AD16/AB16</f>
        <v>0.25848339847317092</v>
      </c>
      <c r="AF16" s="584">
        <v>83.228200000000001</v>
      </c>
      <c r="AG16" s="616">
        <f>AC16-AF16</f>
        <v>0.13479999999999848</v>
      </c>
      <c r="AH16" s="926">
        <f t="shared" ref="AH16:AH22" si="8">1-(AD16-AG16)/AD16</f>
        <v>9.524482441884996E-2</v>
      </c>
      <c r="AJ16" s="574" t="s">
        <v>1038</v>
      </c>
      <c r="AK16" s="927">
        <v>0.17486251182478418</v>
      </c>
      <c r="AL16" s="948">
        <v>0.12158444892719344</v>
      </c>
    </row>
    <row r="17" spans="1:42" ht="13.75" customHeight="1">
      <c r="A17" s="875"/>
      <c r="B17" s="875"/>
      <c r="C17" s="875"/>
      <c r="D17" s="875"/>
      <c r="E17" s="875"/>
      <c r="G17" s="86" t="s">
        <v>1007</v>
      </c>
      <c r="H17" s="228" t="s">
        <v>146</v>
      </c>
      <c r="I17" s="228" t="s">
        <v>147</v>
      </c>
      <c r="J17" s="228" t="s">
        <v>148</v>
      </c>
      <c r="K17" s="228" t="s">
        <v>149</v>
      </c>
      <c r="L17" s="228" t="s">
        <v>150</v>
      </c>
      <c r="M17" s="86" t="s">
        <v>160</v>
      </c>
      <c r="N17" s="86" t="s">
        <v>168</v>
      </c>
      <c r="Q17" s="943" t="s">
        <v>1006</v>
      </c>
      <c r="R17" s="946">
        <f>R8/100</f>
        <v>0.01</v>
      </c>
      <c r="S17" s="946">
        <v>0.12</v>
      </c>
      <c r="T17" s="946">
        <f>T8/100</f>
        <v>0.14000000000000001</v>
      </c>
      <c r="U17" s="946">
        <v>0.22</v>
      </c>
      <c r="V17" s="946">
        <f>V8/100</f>
        <v>0.7</v>
      </c>
      <c r="X17" s="1628"/>
      <c r="Y17" s="574" t="s">
        <v>1036</v>
      </c>
      <c r="Z17" s="615">
        <v>82.502700000000004</v>
      </c>
      <c r="AA17" s="615">
        <v>87.477800000000002</v>
      </c>
      <c r="AB17" s="584">
        <f t="shared" si="6"/>
        <v>4.9750999999999976</v>
      </c>
      <c r="AC17" s="924">
        <v>83.5916</v>
      </c>
      <c r="AD17" s="616">
        <f t="shared" ref="AD17:AD22" si="9">AC17-Z17</f>
        <v>1.0888999999999953</v>
      </c>
      <c r="AE17" s="927">
        <f t="shared" si="7"/>
        <v>0.21886997246286424</v>
      </c>
      <c r="AF17" s="593">
        <v>83.458399999999997</v>
      </c>
      <c r="AG17" s="616">
        <f t="shared" ref="AG17:AG22" si="10">AC17-AF17</f>
        <v>0.13320000000000221</v>
      </c>
      <c r="AH17" s="926">
        <f t="shared" si="8"/>
        <v>0.12232528239508011</v>
      </c>
      <c r="AJ17" s="574" t="s">
        <v>1039</v>
      </c>
      <c r="AK17" s="927">
        <v>0.20518011097655692</v>
      </c>
      <c r="AL17" s="948">
        <v>0.10103946441155687</v>
      </c>
    </row>
    <row r="18" spans="1:42" ht="13.75" customHeight="1">
      <c r="A18" s="875"/>
      <c r="G18" s="409" t="s">
        <v>270</v>
      </c>
      <c r="H18" s="590"/>
      <c r="I18" s="587"/>
      <c r="J18" s="586"/>
      <c r="K18" s="585"/>
      <c r="L18" s="586"/>
      <c r="M18" s="591"/>
      <c r="N18" s="592"/>
      <c r="Q18" s="944" t="s">
        <v>1150</v>
      </c>
      <c r="R18" s="946">
        <f>R9/100</f>
        <v>0.01</v>
      </c>
      <c r="S18" s="946">
        <f>S9/100</f>
        <v>0.02</v>
      </c>
      <c r="T18" s="946">
        <f>T9/100</f>
        <v>0.08</v>
      </c>
      <c r="U18" s="946">
        <f>U9/100</f>
        <v>0.1</v>
      </c>
      <c r="V18" s="946">
        <f>V9/100</f>
        <v>0.87</v>
      </c>
      <c r="X18" s="1628" t="s">
        <v>1037</v>
      </c>
      <c r="Y18" s="574" t="s">
        <v>1038</v>
      </c>
      <c r="Z18" s="615">
        <v>89.218800000000002</v>
      </c>
      <c r="AA18" s="615">
        <v>95.455699999999993</v>
      </c>
      <c r="AB18" s="584">
        <f t="shared" si="6"/>
        <v>6.2368999999999915</v>
      </c>
      <c r="AC18" s="924">
        <v>90.309399999999997</v>
      </c>
      <c r="AD18" s="616">
        <f t="shared" si="9"/>
        <v>1.0905999999999949</v>
      </c>
      <c r="AE18" s="927">
        <f t="shared" si="7"/>
        <v>0.17486251182478418</v>
      </c>
      <c r="AF18" s="593">
        <v>90.1768</v>
      </c>
      <c r="AG18" s="616">
        <f t="shared" si="10"/>
        <v>0.1325999999999965</v>
      </c>
      <c r="AH18" s="926">
        <f t="shared" si="8"/>
        <v>0.12158444892719344</v>
      </c>
      <c r="AJ18" s="574" t="s">
        <v>1041</v>
      </c>
      <c r="AK18" s="927">
        <v>0.74317845621914447</v>
      </c>
      <c r="AL18" s="948">
        <v>1.7890117269000139E-2</v>
      </c>
    </row>
    <row r="19" spans="1:42">
      <c r="A19" s="1616"/>
      <c r="B19" s="1616"/>
      <c r="G19" s="409" t="s">
        <v>151</v>
      </c>
      <c r="H19" s="83"/>
      <c r="I19" s="587"/>
      <c r="J19" s="586"/>
      <c r="K19" s="585"/>
      <c r="L19" s="586"/>
      <c r="M19" s="148"/>
      <c r="N19" s="17"/>
      <c r="X19" s="1628"/>
      <c r="Y19" s="574" t="s">
        <v>1039</v>
      </c>
      <c r="Z19" s="615">
        <v>82.0578</v>
      </c>
      <c r="AA19" s="615">
        <v>87.590500000000006</v>
      </c>
      <c r="AB19" s="584">
        <f t="shared" si="6"/>
        <v>5.5327000000000055</v>
      </c>
      <c r="AC19" s="924">
        <v>83.192999999999998</v>
      </c>
      <c r="AD19" s="616">
        <f t="shared" si="9"/>
        <v>1.1351999999999975</v>
      </c>
      <c r="AE19" s="927">
        <f t="shared" si="7"/>
        <v>0.20518011097655692</v>
      </c>
      <c r="AF19" s="593">
        <v>83.078299999999999</v>
      </c>
      <c r="AG19" s="616">
        <f t="shared" si="10"/>
        <v>0.11469999999999914</v>
      </c>
      <c r="AH19" s="926">
        <f t="shared" si="8"/>
        <v>0.10103946441155687</v>
      </c>
      <c r="AJ19" s="574" t="s">
        <v>1042</v>
      </c>
      <c r="AK19" s="927">
        <v>0.33233126055265089</v>
      </c>
      <c r="AL19" s="948">
        <v>9.2131350681539548E-2</v>
      </c>
    </row>
    <row r="20" spans="1:42">
      <c r="G20" s="409" t="s">
        <v>271</v>
      </c>
      <c r="H20" s="83"/>
      <c r="I20" s="587"/>
      <c r="J20" s="586"/>
      <c r="K20" s="585"/>
      <c r="L20" s="586"/>
      <c r="M20" s="148"/>
      <c r="N20" s="17"/>
      <c r="X20" s="1628" t="s">
        <v>1040</v>
      </c>
      <c r="Y20" s="574" t="s">
        <v>1041</v>
      </c>
      <c r="Z20" s="923">
        <v>78.912000000000006</v>
      </c>
      <c r="AA20" s="615">
        <v>84.522900000000007</v>
      </c>
      <c r="AB20" s="584">
        <f t="shared" si="6"/>
        <v>5.6109000000000009</v>
      </c>
      <c r="AC20" s="616">
        <v>83.081900000000005</v>
      </c>
      <c r="AD20" s="616">
        <f t="shared" si="9"/>
        <v>4.1698999999999984</v>
      </c>
      <c r="AE20" s="927">
        <f t="shared" si="7"/>
        <v>0.74317845621914447</v>
      </c>
      <c r="AF20" s="594">
        <v>83.007300000000001</v>
      </c>
      <c r="AG20" s="616">
        <f t="shared" si="10"/>
        <v>7.4600000000003774E-2</v>
      </c>
      <c r="AH20" s="926">
        <f t="shared" si="8"/>
        <v>1.7890117269000139E-2</v>
      </c>
      <c r="AJ20" s="583" t="s">
        <v>1150</v>
      </c>
      <c r="AK20" s="927">
        <v>0.2548636763412479</v>
      </c>
      <c r="AL20" s="948">
        <v>0.15950031058043945</v>
      </c>
    </row>
    <row r="21" spans="1:42" ht="15.5">
      <c r="G21" s="409" t="s">
        <v>152</v>
      </c>
      <c r="H21" s="83"/>
      <c r="I21" s="587"/>
      <c r="J21" s="586"/>
      <c r="K21" s="585"/>
      <c r="L21" s="586"/>
      <c r="M21" s="148"/>
      <c r="N21" s="17"/>
      <c r="O21" s="54"/>
      <c r="P21" s="941"/>
      <c r="Q21" s="54"/>
      <c r="X21" s="1628"/>
      <c r="Y21" s="574" t="s">
        <v>1042</v>
      </c>
      <c r="Z21" s="615">
        <v>48.387799999999999</v>
      </c>
      <c r="AA21" s="615">
        <v>53.244399999999999</v>
      </c>
      <c r="AB21" s="584">
        <f t="shared" si="6"/>
        <v>4.8566000000000003</v>
      </c>
      <c r="AC21" s="924">
        <v>50.001800000000003</v>
      </c>
      <c r="AD21" s="616">
        <f t="shared" si="9"/>
        <v>1.6140000000000043</v>
      </c>
      <c r="AE21" s="927">
        <f t="shared" si="7"/>
        <v>0.33233126055265089</v>
      </c>
      <c r="AF21" s="593">
        <v>49.853099999999998</v>
      </c>
      <c r="AG21" s="616">
        <f t="shared" si="10"/>
        <v>0.14870000000000516</v>
      </c>
      <c r="AH21" s="926">
        <f t="shared" si="8"/>
        <v>9.2131350681539548E-2</v>
      </c>
    </row>
    <row r="22" spans="1:42" ht="15.5">
      <c r="G22" s="409" t="s">
        <v>272</v>
      </c>
      <c r="H22" s="83"/>
      <c r="I22" s="587"/>
      <c r="J22" s="586"/>
      <c r="K22" s="585"/>
      <c r="L22" s="586"/>
      <c r="M22" s="148"/>
      <c r="N22" s="17"/>
      <c r="O22" s="54"/>
      <c r="P22" s="941"/>
      <c r="Q22" s="54"/>
      <c r="X22" s="912" t="s">
        <v>1224</v>
      </c>
      <c r="Y22" s="583" t="s">
        <v>1150</v>
      </c>
      <c r="Z22" s="907">
        <v>59.625100000000003</v>
      </c>
      <c r="AA22" s="907">
        <v>65.310100000000006</v>
      </c>
      <c r="AB22" s="616">
        <f t="shared" si="6"/>
        <v>5.6850000000000023</v>
      </c>
      <c r="AC22" s="925">
        <v>61.073999999999998</v>
      </c>
      <c r="AD22" s="616">
        <f t="shared" si="9"/>
        <v>1.4488999999999947</v>
      </c>
      <c r="AE22" s="927">
        <f t="shared" si="7"/>
        <v>0.2548636763412479</v>
      </c>
      <c r="AF22" s="616">
        <v>60.8429</v>
      </c>
      <c r="AG22" s="616">
        <f t="shared" si="10"/>
        <v>0.23109999999999786</v>
      </c>
      <c r="AH22" s="926">
        <f t="shared" si="8"/>
        <v>0.15950031058043945</v>
      </c>
    </row>
    <row r="23" spans="1:42" ht="15.5">
      <c r="G23" s="409" t="s">
        <v>153</v>
      </c>
      <c r="H23" s="83"/>
      <c r="I23" s="587"/>
      <c r="J23" s="586"/>
      <c r="K23" s="585"/>
      <c r="L23" s="586"/>
      <c r="M23" s="148"/>
      <c r="N23" s="17"/>
      <c r="O23" s="54"/>
      <c r="P23" s="941"/>
      <c r="Q23" s="54"/>
    </row>
    <row r="24" spans="1:42" ht="15.5">
      <c r="G24" s="409" t="s">
        <v>273</v>
      </c>
      <c r="H24" s="83"/>
      <c r="I24" s="587"/>
      <c r="J24" s="586"/>
      <c r="K24" s="585"/>
      <c r="L24" s="586"/>
      <c r="M24" s="148"/>
      <c r="N24" s="17"/>
      <c r="O24" s="54"/>
      <c r="P24" s="941"/>
      <c r="Q24" s="54"/>
    </row>
    <row r="25" spans="1:42" ht="13.75" customHeight="1">
      <c r="G25" s="409" t="s">
        <v>154</v>
      </c>
      <c r="H25" s="83"/>
      <c r="I25" s="587"/>
      <c r="J25" s="586"/>
      <c r="K25" s="585"/>
      <c r="L25" s="586"/>
      <c r="M25" s="148"/>
      <c r="N25" s="17"/>
      <c r="O25" s="54"/>
      <c r="P25" s="941"/>
      <c r="Q25" s="54"/>
      <c r="X25" s="578"/>
      <c r="Y25" s="578"/>
      <c r="Z25" s="574">
        <v>2010</v>
      </c>
      <c r="AA25" s="574">
        <v>2011</v>
      </c>
      <c r="AB25" s="583">
        <v>2012</v>
      </c>
      <c r="AC25" s="936" t="s">
        <v>1054</v>
      </c>
      <c r="AD25" s="583">
        <v>2014</v>
      </c>
      <c r="AE25" s="583">
        <v>2015</v>
      </c>
      <c r="AF25" s="625"/>
      <c r="AI25" s="578"/>
    </row>
    <row r="26" spans="1:42" ht="13.75" customHeight="1">
      <c r="G26" s="409" t="s">
        <v>155</v>
      </c>
      <c r="H26" s="83"/>
      <c r="I26" s="587"/>
      <c r="J26" s="586"/>
      <c r="K26" s="585"/>
      <c r="L26" s="586"/>
      <c r="M26" s="148"/>
      <c r="N26" s="17"/>
      <c r="X26" s="1609" t="s">
        <v>1027</v>
      </c>
      <c r="Y26" s="1614"/>
      <c r="Z26" s="580" t="s">
        <v>1029</v>
      </c>
      <c r="AA26" s="580" t="s">
        <v>1029</v>
      </c>
      <c r="AB26" s="580" t="s">
        <v>1029</v>
      </c>
      <c r="AC26" s="937" t="s">
        <v>1055</v>
      </c>
      <c r="AD26" s="580" t="s">
        <v>1029</v>
      </c>
      <c r="AE26" s="580" t="s">
        <v>1029</v>
      </c>
      <c r="AJ26" s="578"/>
      <c r="AK26" s="909" t="s">
        <v>1230</v>
      </c>
      <c r="AL26" s="909"/>
      <c r="AM26" s="909"/>
      <c r="AN26" s="909"/>
      <c r="AO26" s="909"/>
      <c r="AP26" s="909"/>
    </row>
    <row r="27" spans="1:42">
      <c r="G27" s="140" t="s">
        <v>156</v>
      </c>
      <c r="H27" s="95"/>
      <c r="I27" s="587"/>
      <c r="J27" s="586"/>
      <c r="K27" s="585"/>
      <c r="L27" s="586"/>
      <c r="M27" s="148"/>
      <c r="N27" s="17"/>
      <c r="X27" s="1611"/>
      <c r="Y27" s="1615"/>
      <c r="Z27" s="581" t="s">
        <v>1033</v>
      </c>
      <c r="AA27" s="581" t="s">
        <v>1033</v>
      </c>
      <c r="AB27" s="581" t="s">
        <v>1033</v>
      </c>
      <c r="AC27" s="938" t="s">
        <v>1056</v>
      </c>
      <c r="AD27" s="581" t="s">
        <v>1033</v>
      </c>
      <c r="AE27" s="581" t="s">
        <v>1033</v>
      </c>
      <c r="AJ27" s="940"/>
      <c r="AK27" s="933">
        <v>2010</v>
      </c>
      <c r="AL27" s="933">
        <v>2011</v>
      </c>
      <c r="AM27" s="933">
        <v>2012</v>
      </c>
      <c r="AN27" s="933" t="s">
        <v>1054</v>
      </c>
      <c r="AO27" s="933">
        <v>2014</v>
      </c>
      <c r="AP27" s="933">
        <v>2015</v>
      </c>
    </row>
    <row r="28" spans="1:42">
      <c r="G28" s="140" t="s">
        <v>157</v>
      </c>
      <c r="H28" s="95"/>
      <c r="I28" s="587"/>
      <c r="J28" s="586"/>
      <c r="K28" s="585"/>
      <c r="L28" s="586"/>
      <c r="M28" s="148"/>
      <c r="N28" s="17"/>
      <c r="X28" s="1609" t="s">
        <v>1034</v>
      </c>
      <c r="Y28" s="582" t="s">
        <v>1057</v>
      </c>
      <c r="Z28" s="618">
        <v>2.6370406543767548</v>
      </c>
      <c r="AA28" s="618">
        <v>2.4166805029663672</v>
      </c>
      <c r="AB28" s="618">
        <v>1.2993262752646777</v>
      </c>
      <c r="AC28" s="618"/>
      <c r="AD28" s="50"/>
      <c r="AJ28" s="573" t="s">
        <v>1035</v>
      </c>
      <c r="AK28" s="618">
        <v>4.1211823868514657</v>
      </c>
      <c r="AL28" s="618">
        <v>6.1080592218524057</v>
      </c>
      <c r="AM28" s="618">
        <v>3.0610045268376802</v>
      </c>
      <c r="AN28" s="618">
        <v>844.92</v>
      </c>
      <c r="AO28" s="626">
        <v>4.4800000000000004</v>
      </c>
      <c r="AP28" s="605">
        <v>8.73</v>
      </c>
    </row>
    <row r="29" spans="1:42">
      <c r="G29" s="140" t="s">
        <v>158</v>
      </c>
      <c r="H29" s="95"/>
      <c r="I29" s="587"/>
      <c r="J29" s="586"/>
      <c r="K29" s="585"/>
      <c r="L29" s="586"/>
      <c r="M29" s="148"/>
      <c r="N29" s="17"/>
      <c r="X29" s="1610"/>
      <c r="Y29" s="582" t="s">
        <v>1058</v>
      </c>
      <c r="Z29" s="618">
        <v>6.4286420729898124</v>
      </c>
      <c r="AA29" s="618">
        <v>4.3739860395091013</v>
      </c>
      <c r="AB29" s="618">
        <v>4.9860062560267178</v>
      </c>
      <c r="AC29" s="618"/>
      <c r="AD29" s="50"/>
      <c r="AJ29" s="624" t="s">
        <v>1036</v>
      </c>
      <c r="AK29" s="618">
        <v>3.5015041672831289</v>
      </c>
      <c r="AL29" s="618">
        <v>5.2067836979534228</v>
      </c>
      <c r="AM29" s="618">
        <v>4.3813192103996146</v>
      </c>
      <c r="AN29" s="618">
        <v>1129.92</v>
      </c>
      <c r="AO29" s="626">
        <v>3.06</v>
      </c>
      <c r="AP29" s="605">
        <v>8.43</v>
      </c>
    </row>
    <row r="30" spans="1:42">
      <c r="G30" s="83"/>
      <c r="H30" s="83"/>
      <c r="I30" s="83"/>
      <c r="J30" s="83"/>
      <c r="K30" s="83"/>
      <c r="L30" s="83"/>
      <c r="M30" s="17"/>
      <c r="N30" s="17"/>
      <c r="X30" s="1610"/>
      <c r="Y30" s="624" t="s">
        <v>1035</v>
      </c>
      <c r="Z30" s="618">
        <v>4.1211823868514657</v>
      </c>
      <c r="AA30" s="618">
        <v>6.1080592218524057</v>
      </c>
      <c r="AB30" s="618">
        <v>3.0610045268376802</v>
      </c>
      <c r="AC30" s="618">
        <v>844.92</v>
      </c>
      <c r="AD30" s="626">
        <v>4.4800000000000004</v>
      </c>
      <c r="AE30" s="571">
        <v>8.73</v>
      </c>
      <c r="AJ30" s="624" t="s">
        <v>1038</v>
      </c>
      <c r="AK30" s="618">
        <v>7.4663283232480975</v>
      </c>
      <c r="AL30" s="618">
        <v>3.3936332651670083</v>
      </c>
      <c r="AM30" s="618">
        <v>4.8877805486284291</v>
      </c>
      <c r="AN30" s="618">
        <v>1100.76</v>
      </c>
      <c r="AO30" s="626">
        <v>8.07</v>
      </c>
      <c r="AP30" s="605">
        <v>1.89</v>
      </c>
    </row>
    <row r="31" spans="1:42">
      <c r="G31" s="86" t="s">
        <v>1009</v>
      </c>
      <c r="H31" s="228" t="s">
        <v>146</v>
      </c>
      <c r="I31" s="228" t="s">
        <v>147</v>
      </c>
      <c r="J31" s="228" t="s">
        <v>148</v>
      </c>
      <c r="K31" s="228" t="s">
        <v>149</v>
      </c>
      <c r="L31" s="228" t="s">
        <v>150</v>
      </c>
      <c r="M31" s="86" t="s">
        <v>160</v>
      </c>
      <c r="N31" s="86" t="s">
        <v>168</v>
      </c>
      <c r="X31" s="1610"/>
      <c r="Y31" s="582" t="s">
        <v>1059</v>
      </c>
      <c r="Z31" s="618">
        <v>5.3199349785724852</v>
      </c>
      <c r="AA31" s="618">
        <v>2.7492439653545286</v>
      </c>
      <c r="AB31" s="618">
        <v>4.6117707906816365</v>
      </c>
      <c r="AC31" s="618"/>
      <c r="AD31" s="50"/>
      <c r="AE31" s="619"/>
      <c r="AJ31" s="624" t="s">
        <v>1039</v>
      </c>
      <c r="AK31" s="618">
        <v>3.1283605435526449</v>
      </c>
      <c r="AL31" s="618">
        <v>2.2027169018312818</v>
      </c>
      <c r="AM31" s="618">
        <v>3.1931106219308645</v>
      </c>
      <c r="AN31" s="618">
        <v>1052.08</v>
      </c>
      <c r="AO31" s="626">
        <v>5.69</v>
      </c>
      <c r="AP31" s="605">
        <v>1.42</v>
      </c>
    </row>
    <row r="32" spans="1:42">
      <c r="G32" s="409" t="s">
        <v>270</v>
      </c>
      <c r="H32" s="590"/>
      <c r="I32" s="598"/>
      <c r="J32" s="599"/>
      <c r="K32" s="600"/>
      <c r="L32" s="599"/>
      <c r="M32" s="591"/>
      <c r="N32" s="592"/>
      <c r="X32" s="1610"/>
      <c r="Y32" s="624" t="s">
        <v>1036</v>
      </c>
      <c r="Z32" s="618">
        <v>3.5015041672831289</v>
      </c>
      <c r="AA32" s="618">
        <v>5.2067836979534228</v>
      </c>
      <c r="AB32" s="618">
        <v>4.3813192103996146</v>
      </c>
      <c r="AC32" s="618">
        <v>1129.92</v>
      </c>
      <c r="AD32" s="626">
        <v>3.06</v>
      </c>
      <c r="AE32" s="571">
        <v>8.43</v>
      </c>
      <c r="AJ32" s="624" t="s">
        <v>1041</v>
      </c>
      <c r="AK32" s="618">
        <v>7.3158675234799802</v>
      </c>
      <c r="AL32" s="618">
        <v>8.1071638861629065</v>
      </c>
      <c r="AM32" s="618">
        <v>3.88</v>
      </c>
      <c r="AN32" s="618">
        <v>632.82000000000005</v>
      </c>
      <c r="AO32" s="626">
        <v>3.79</v>
      </c>
      <c r="AP32" s="605">
        <v>0.88</v>
      </c>
    </row>
    <row r="33" spans="7:42">
      <c r="G33" s="409" t="s">
        <v>151</v>
      </c>
      <c r="H33" s="83"/>
      <c r="I33" s="598"/>
      <c r="J33" s="599"/>
      <c r="K33" s="600"/>
      <c r="L33" s="599"/>
      <c r="M33" s="148"/>
      <c r="N33" s="17"/>
      <c r="X33" s="1611"/>
      <c r="Y33" s="582" t="s">
        <v>1060</v>
      </c>
      <c r="Z33" s="618">
        <v>4.0864126778461616</v>
      </c>
      <c r="AA33" s="618">
        <v>1.0770068764942204</v>
      </c>
      <c r="AB33" s="618">
        <v>4.5645645645645656</v>
      </c>
      <c r="AC33" s="618"/>
      <c r="AD33" s="50"/>
      <c r="AE33" s="619"/>
      <c r="AJ33" s="624" t="s">
        <v>1042</v>
      </c>
      <c r="AK33" s="618">
        <v>5.761255556383321</v>
      </c>
      <c r="AL33" s="618">
        <v>1.9119371482176362</v>
      </c>
      <c r="AM33" s="618">
        <v>3.9</v>
      </c>
      <c r="AN33" s="618">
        <v>831.88</v>
      </c>
      <c r="AO33" s="626">
        <v>4.8499999999999996</v>
      </c>
      <c r="AP33" s="605">
        <v>7.25</v>
      </c>
    </row>
    <row r="34" spans="7:42">
      <c r="G34" s="409" t="s">
        <v>271</v>
      </c>
      <c r="H34" s="83"/>
      <c r="I34" s="598"/>
      <c r="J34" s="599"/>
      <c r="K34" s="600"/>
      <c r="L34" s="599"/>
      <c r="M34" s="148"/>
      <c r="N34" s="17"/>
      <c r="X34" s="1609" t="s">
        <v>1037</v>
      </c>
      <c r="Y34" s="582" t="s">
        <v>1061</v>
      </c>
      <c r="Z34" s="618">
        <v>5.3938754995464242</v>
      </c>
      <c r="AA34" s="618">
        <v>4.1364767922466621</v>
      </c>
      <c r="AB34" s="618">
        <v>2.4698261801575097</v>
      </c>
      <c r="AC34" s="618"/>
      <c r="AD34" s="50"/>
      <c r="AE34" s="619"/>
      <c r="AJ34" s="573" t="s">
        <v>1150</v>
      </c>
      <c r="AK34" s="710"/>
      <c r="AL34" s="710"/>
      <c r="AM34" s="710"/>
      <c r="AN34" s="710"/>
      <c r="AO34" s="710"/>
      <c r="AP34" s="939">
        <v>0.54</v>
      </c>
    </row>
    <row r="35" spans="7:42">
      <c r="G35" s="409" t="s">
        <v>152</v>
      </c>
      <c r="H35" s="83"/>
      <c r="I35" s="598"/>
      <c r="J35" s="599"/>
      <c r="K35" s="600"/>
      <c r="L35" s="599"/>
      <c r="M35" s="148"/>
      <c r="N35" s="17"/>
      <c r="X35" s="1610"/>
      <c r="Y35" s="624" t="s">
        <v>1038</v>
      </c>
      <c r="Z35" s="618">
        <v>7.4663283232480975</v>
      </c>
      <c r="AA35" s="618">
        <v>3.3936332651670083</v>
      </c>
      <c r="AB35" s="618">
        <v>4.8877805486284291</v>
      </c>
      <c r="AC35" s="618">
        <v>1100.76</v>
      </c>
      <c r="AD35" s="626">
        <v>8.07</v>
      </c>
      <c r="AE35" s="571">
        <v>1.89</v>
      </c>
    </row>
    <row r="36" spans="7:42">
      <c r="G36" s="409" t="s">
        <v>272</v>
      </c>
      <c r="H36" s="83"/>
      <c r="I36" s="598"/>
      <c r="J36" s="599"/>
      <c r="K36" s="600"/>
      <c r="L36" s="599"/>
      <c r="M36" s="148"/>
      <c r="N36" s="17"/>
      <c r="X36" s="1610"/>
      <c r="Y36" s="582" t="s">
        <v>1062</v>
      </c>
      <c r="Z36" s="618">
        <v>6.2458504438488198</v>
      </c>
      <c r="AA36" s="618">
        <v>11.49762708547385</v>
      </c>
      <c r="AB36" s="618">
        <v>3.34</v>
      </c>
      <c r="AC36" s="618"/>
      <c r="AD36" s="50"/>
      <c r="AE36" s="619"/>
      <c r="AK36" s="1576" t="s">
        <v>1229</v>
      </c>
      <c r="AL36" s="1576"/>
      <c r="AM36" s="1576"/>
      <c r="AN36" s="1576"/>
      <c r="AO36" s="1576"/>
    </row>
    <row r="37" spans="7:42">
      <c r="G37" s="409" t="s">
        <v>153</v>
      </c>
      <c r="H37" s="83"/>
      <c r="I37" s="598"/>
      <c r="J37" s="599"/>
      <c r="K37" s="600"/>
      <c r="L37" s="599"/>
      <c r="M37" s="148"/>
      <c r="N37" s="17"/>
      <c r="X37" s="1610"/>
      <c r="Y37" s="624" t="s">
        <v>1039</v>
      </c>
      <c r="Z37" s="618">
        <v>3.1283605435526449</v>
      </c>
      <c r="AA37" s="618">
        <v>2.2027169018312818</v>
      </c>
      <c r="AB37" s="618">
        <v>3.1931106219308645</v>
      </c>
      <c r="AC37" s="618">
        <v>1052.08</v>
      </c>
      <c r="AD37" s="626">
        <v>5.69</v>
      </c>
      <c r="AE37" s="571">
        <v>1.42</v>
      </c>
      <c r="AJ37" s="921"/>
      <c r="AK37" s="932">
        <v>2010</v>
      </c>
      <c r="AL37" s="932">
        <v>2011</v>
      </c>
      <c r="AM37" s="932">
        <v>2012</v>
      </c>
      <c r="AN37" s="932">
        <v>2014</v>
      </c>
      <c r="AO37" s="932">
        <v>2015</v>
      </c>
      <c r="AP37" s="673"/>
    </row>
    <row r="38" spans="7:42">
      <c r="G38" s="409" t="s">
        <v>273</v>
      </c>
      <c r="H38" s="83"/>
      <c r="I38" s="598"/>
      <c r="J38" s="599"/>
      <c r="K38" s="600"/>
      <c r="L38" s="599"/>
      <c r="M38" s="148"/>
      <c r="N38" s="17"/>
      <c r="X38" s="1611"/>
      <c r="Y38" s="582" t="s">
        <v>1063</v>
      </c>
      <c r="Z38" s="618">
        <v>7.7125842038465304</v>
      </c>
      <c r="AA38" s="618">
        <v>6.8606966890027588</v>
      </c>
      <c r="AB38" s="618">
        <v>4.6649897095815236</v>
      </c>
      <c r="AC38" s="618"/>
      <c r="AD38" s="50"/>
      <c r="AE38" s="619"/>
      <c r="AJ38" s="624" t="s">
        <v>1035</v>
      </c>
      <c r="AK38" s="614">
        <v>0.107</v>
      </c>
      <c r="AL38" s="614">
        <v>0.107</v>
      </c>
      <c r="AM38" s="614">
        <v>9.4E-2</v>
      </c>
      <c r="AN38" s="926">
        <v>0.1014961938927289</v>
      </c>
      <c r="AO38" s="926">
        <v>9.5000000000000001E-2</v>
      </c>
      <c r="AP38" s="913"/>
    </row>
    <row r="39" spans="7:42">
      <c r="G39" s="409" t="s">
        <v>154</v>
      </c>
      <c r="H39" s="83"/>
      <c r="I39" s="598"/>
      <c r="J39" s="599"/>
      <c r="K39" s="600"/>
      <c r="L39" s="599"/>
      <c r="M39" s="148"/>
      <c r="N39" s="17"/>
      <c r="X39" s="1609" t="s">
        <v>1040</v>
      </c>
      <c r="Y39" s="582" t="s">
        <v>1064</v>
      </c>
      <c r="Z39" s="618">
        <v>2.6890920647337797</v>
      </c>
      <c r="AA39" s="618">
        <v>0.51812424813310021</v>
      </c>
      <c r="AB39" s="618">
        <v>0.38</v>
      </c>
      <c r="AC39" s="618"/>
      <c r="AD39" s="50"/>
      <c r="AE39" s="619"/>
      <c r="AJ39" s="624" t="s">
        <v>1036</v>
      </c>
      <c r="AK39" s="614">
        <v>0.1</v>
      </c>
      <c r="AL39" s="614">
        <v>3.5999999999999997E-2</v>
      </c>
      <c r="AM39" s="614">
        <v>0.105</v>
      </c>
      <c r="AN39" s="926">
        <v>9.451671332125966E-2</v>
      </c>
      <c r="AO39" s="926">
        <v>0.122</v>
      </c>
      <c r="AP39" s="913"/>
    </row>
    <row r="40" spans="7:42">
      <c r="G40" s="409" t="s">
        <v>155</v>
      </c>
      <c r="H40" s="83"/>
      <c r="I40" s="598"/>
      <c r="J40" s="599"/>
      <c r="K40" s="600"/>
      <c r="L40" s="599"/>
      <c r="M40" s="148"/>
      <c r="N40" s="17"/>
      <c r="X40" s="1610"/>
      <c r="Y40" s="582" t="s">
        <v>1065</v>
      </c>
      <c r="Z40" s="618">
        <v>1.7363694994294789</v>
      </c>
      <c r="AA40" s="618">
        <v>3.224198541895535</v>
      </c>
      <c r="AB40" s="618">
        <v>0.93</v>
      </c>
      <c r="AC40" s="618">
        <v>632.82000000000005</v>
      </c>
      <c r="AD40" s="50"/>
      <c r="AE40" s="619"/>
      <c r="AJ40" s="624" t="s">
        <v>1038</v>
      </c>
      <c r="AK40" s="614">
        <v>0.11</v>
      </c>
      <c r="AL40" s="614">
        <v>0.11799999999999999</v>
      </c>
      <c r="AM40" s="614">
        <v>0.13200000000000001</v>
      </c>
      <c r="AN40" s="926">
        <v>0.10307328605201516</v>
      </c>
      <c r="AO40" s="926">
        <v>0.122</v>
      </c>
      <c r="AP40" s="913"/>
    </row>
    <row r="41" spans="7:42">
      <c r="G41" s="409" t="s">
        <v>156</v>
      </c>
      <c r="H41" s="83"/>
      <c r="I41" s="598"/>
      <c r="J41" s="599"/>
      <c r="K41" s="600"/>
      <c r="L41" s="599"/>
      <c r="M41" s="148"/>
      <c r="N41" s="17"/>
      <c r="X41" s="1610"/>
      <c r="Y41" s="624" t="s">
        <v>1041</v>
      </c>
      <c r="Z41" s="618">
        <v>7.3158675234799802</v>
      </c>
      <c r="AA41" s="618">
        <v>8.1071638861629065</v>
      </c>
      <c r="AB41" s="618">
        <v>3.88</v>
      </c>
      <c r="AC41" s="618"/>
      <c r="AD41" s="626">
        <v>3.79</v>
      </c>
      <c r="AE41" s="571">
        <v>0.88</v>
      </c>
      <c r="AJ41" s="624" t="s">
        <v>1039</v>
      </c>
      <c r="AK41" s="614">
        <v>0.128</v>
      </c>
      <c r="AL41" s="614">
        <v>0.104</v>
      </c>
      <c r="AM41" s="614">
        <v>0.109</v>
      </c>
      <c r="AN41" s="926">
        <v>0.11220741807706158</v>
      </c>
      <c r="AO41" s="926">
        <v>0.10100000000000001</v>
      </c>
      <c r="AP41" s="913"/>
    </row>
    <row r="42" spans="7:42">
      <c r="G42" s="409" t="s">
        <v>157</v>
      </c>
      <c r="H42" s="83"/>
      <c r="I42" s="598"/>
      <c r="J42" s="599"/>
      <c r="K42" s="600"/>
      <c r="L42" s="599"/>
      <c r="M42" s="148"/>
      <c r="N42" s="17"/>
      <c r="X42" s="1610"/>
      <c r="Y42" s="582" t="s">
        <v>1066</v>
      </c>
      <c r="Z42" s="618">
        <v>6.9890765132816881</v>
      </c>
      <c r="AA42" s="618">
        <v>8.1487420849608192</v>
      </c>
      <c r="AB42" s="618">
        <v>3.18</v>
      </c>
      <c r="AC42" s="618"/>
      <c r="AD42" s="50"/>
      <c r="AE42" s="619"/>
      <c r="AJ42" s="624" t="s">
        <v>1041</v>
      </c>
      <c r="AK42" s="614">
        <v>0.11899999999999999</v>
      </c>
      <c r="AL42" s="614">
        <v>0.109</v>
      </c>
      <c r="AM42" s="614">
        <v>0.10299999999999999</v>
      </c>
      <c r="AN42" s="926">
        <v>9.8831834607947311E-2</v>
      </c>
      <c r="AO42" s="926">
        <v>1.7999999999999999E-2</v>
      </c>
      <c r="AP42" s="913"/>
    </row>
    <row r="43" spans="7:42">
      <c r="G43" s="409" t="s">
        <v>158</v>
      </c>
      <c r="H43" s="83"/>
      <c r="I43" s="598"/>
      <c r="J43" s="595"/>
      <c r="K43" s="596"/>
      <c r="L43" s="595"/>
      <c r="M43" s="17"/>
      <c r="N43" s="17"/>
      <c r="X43" s="1610"/>
      <c r="Y43" s="624" t="s">
        <v>1042</v>
      </c>
      <c r="Z43" s="618">
        <v>5.761255556383321</v>
      </c>
      <c r="AA43" s="618">
        <v>1.9119371482176362</v>
      </c>
      <c r="AB43" s="618">
        <v>3.9</v>
      </c>
      <c r="AC43" s="618">
        <v>831.88</v>
      </c>
      <c r="AD43" s="626">
        <v>4.8499999999999996</v>
      </c>
      <c r="AE43" s="571">
        <v>7.25</v>
      </c>
      <c r="AJ43" s="624" t="s">
        <v>1042</v>
      </c>
      <c r="AK43" s="614">
        <v>0.104</v>
      </c>
      <c r="AL43" s="614">
        <v>0.107</v>
      </c>
      <c r="AM43" s="614">
        <v>0.129</v>
      </c>
      <c r="AN43" s="926">
        <v>0.10322069693769864</v>
      </c>
      <c r="AO43" s="935">
        <v>9.1999999999999998E-2</v>
      </c>
      <c r="AP43" s="913"/>
    </row>
    <row r="44" spans="7:42">
      <c r="G44" s="409" t="s">
        <v>159</v>
      </c>
      <c r="H44" s="83"/>
      <c r="I44" s="597"/>
      <c r="J44" s="595"/>
      <c r="K44" s="596"/>
      <c r="L44" s="595"/>
      <c r="M44" s="17"/>
      <c r="N44" s="17"/>
      <c r="X44" s="1611"/>
      <c r="Y44" s="582" t="s">
        <v>1067</v>
      </c>
      <c r="Z44" s="618">
        <v>8.1622495956202545</v>
      </c>
      <c r="AA44" s="618">
        <v>3.1827308037048101</v>
      </c>
      <c r="AB44" s="618">
        <v>1.34</v>
      </c>
      <c r="AC44" s="618"/>
      <c r="AD44" s="50"/>
      <c r="AE44" s="619"/>
      <c r="AJ44" s="573" t="s">
        <v>1150</v>
      </c>
      <c r="AK44" s="934"/>
      <c r="AL44" s="934"/>
      <c r="AM44" s="934"/>
      <c r="AN44" s="934"/>
      <c r="AO44" s="935">
        <v>0.16</v>
      </c>
      <c r="AP44" s="913"/>
    </row>
    <row r="45" spans="7:42">
      <c r="G45" s="86" t="s">
        <v>1010</v>
      </c>
      <c r="H45" s="228" t="s">
        <v>146</v>
      </c>
      <c r="I45" s="228" t="s">
        <v>147</v>
      </c>
      <c r="J45" s="228" t="s">
        <v>148</v>
      </c>
      <c r="K45" s="228" t="s">
        <v>149</v>
      </c>
      <c r="L45" s="228" t="s">
        <v>150</v>
      </c>
      <c r="M45" s="86" t="s">
        <v>160</v>
      </c>
      <c r="N45" s="86" t="s">
        <v>168</v>
      </c>
      <c r="X45" s="912" t="s">
        <v>1224</v>
      </c>
      <c r="Y45" s="573" t="s">
        <v>1150</v>
      </c>
      <c r="AE45" s="571">
        <v>0.54</v>
      </c>
    </row>
    <row r="46" spans="7:42">
      <c r="G46" s="409" t="s">
        <v>270</v>
      </c>
      <c r="H46" s="590"/>
      <c r="I46" s="606"/>
      <c r="J46" s="602"/>
      <c r="K46" s="613"/>
      <c r="L46" s="602"/>
      <c r="M46" s="601"/>
      <c r="N46" s="589"/>
    </row>
    <row r="47" spans="7:42">
      <c r="G47" s="409" t="s">
        <v>151</v>
      </c>
      <c r="H47" s="83"/>
      <c r="I47" s="606"/>
      <c r="J47" s="602"/>
      <c r="K47" s="613"/>
      <c r="L47" s="602"/>
      <c r="M47" s="148"/>
      <c r="N47" s="17"/>
      <c r="X47" s="1622" t="s">
        <v>1027</v>
      </c>
      <c r="Y47" s="1624"/>
      <c r="Z47" s="1621">
        <v>2010</v>
      </c>
      <c r="AA47" s="1621"/>
      <c r="AB47" s="1621">
        <v>2011</v>
      </c>
      <c r="AC47" s="1621"/>
      <c r="AD47" s="1621">
        <v>2012</v>
      </c>
      <c r="AE47" s="1621"/>
      <c r="AF47" s="1621">
        <v>2014</v>
      </c>
      <c r="AG47" s="1621"/>
      <c r="AH47" s="1621">
        <v>2015</v>
      </c>
      <c r="AI47" s="1621"/>
      <c r="AK47" s="578"/>
      <c r="AL47" s="1576" t="s">
        <v>1230</v>
      </c>
      <c r="AM47" s="1576"/>
      <c r="AN47" s="1576"/>
      <c r="AO47" s="1576"/>
      <c r="AP47" s="1576"/>
    </row>
    <row r="48" spans="7:42">
      <c r="G48" s="409" t="s">
        <v>271</v>
      </c>
      <c r="H48" s="83"/>
      <c r="I48" s="606"/>
      <c r="J48" s="602"/>
      <c r="K48" s="613"/>
      <c r="L48" s="602"/>
      <c r="M48" s="148"/>
      <c r="N48" s="17"/>
      <c r="X48" s="1623"/>
      <c r="Y48" s="1625"/>
      <c r="Z48" s="621" t="s">
        <v>1068</v>
      </c>
      <c r="AA48" s="573" t="s">
        <v>1069</v>
      </c>
      <c r="AB48" s="621" t="s">
        <v>1068</v>
      </c>
      <c r="AC48" s="573" t="s">
        <v>1069</v>
      </c>
      <c r="AD48" s="621" t="s">
        <v>1068</v>
      </c>
      <c r="AE48" s="573" t="s">
        <v>1069</v>
      </c>
      <c r="AF48" s="621" t="s">
        <v>1068</v>
      </c>
      <c r="AG48" s="573" t="s">
        <v>1069</v>
      </c>
      <c r="AH48" s="621" t="s">
        <v>1068</v>
      </c>
      <c r="AI48" s="573" t="s">
        <v>1069</v>
      </c>
      <c r="AK48" s="930"/>
      <c r="AL48" s="933">
        <v>2010</v>
      </c>
      <c r="AM48" s="933">
        <v>2011</v>
      </c>
      <c r="AN48" s="933">
        <v>2012</v>
      </c>
      <c r="AO48" s="933">
        <v>2014</v>
      </c>
      <c r="AP48" s="933">
        <v>2015</v>
      </c>
    </row>
    <row r="49" spans="7:42">
      <c r="G49" s="409" t="s">
        <v>152</v>
      </c>
      <c r="H49" s="83"/>
      <c r="I49" s="606"/>
      <c r="J49" s="602"/>
      <c r="K49" s="613"/>
      <c r="L49" s="602"/>
      <c r="M49" s="148"/>
      <c r="N49" s="17"/>
      <c r="X49" s="1609" t="s">
        <v>1034</v>
      </c>
      <c r="Y49" s="582" t="s">
        <v>1057</v>
      </c>
      <c r="Z49" s="574">
        <v>9.1999999999999993</v>
      </c>
      <c r="AA49" s="622">
        <v>90.77</v>
      </c>
      <c r="AB49" s="623">
        <v>0.47</v>
      </c>
      <c r="AC49" s="574">
        <v>99.86</v>
      </c>
      <c r="AD49" s="574">
        <v>0.04</v>
      </c>
      <c r="AE49" s="574">
        <v>83.62</v>
      </c>
      <c r="AF49" s="50"/>
      <c r="AG49" s="50"/>
      <c r="AK49" s="624" t="s">
        <v>1035</v>
      </c>
      <c r="AL49" s="618">
        <v>4.1211823868514657</v>
      </c>
      <c r="AM49" s="618">
        <v>6.1080592218524057</v>
      </c>
      <c r="AN49" s="618">
        <v>3.0610045268376802</v>
      </c>
      <c r="AO49" s="626">
        <v>4.4800000000000004</v>
      </c>
      <c r="AP49" s="571">
        <v>8.73</v>
      </c>
    </row>
    <row r="50" spans="7:42">
      <c r="G50" s="409" t="s">
        <v>272</v>
      </c>
      <c r="H50" s="83"/>
      <c r="I50" s="606"/>
      <c r="J50" s="602"/>
      <c r="K50" s="613"/>
      <c r="L50" s="602"/>
      <c r="M50" s="148"/>
      <c r="N50" s="17"/>
      <c r="X50" s="1610"/>
      <c r="Y50" s="582" t="s">
        <v>1058</v>
      </c>
      <c r="Z50" s="574">
        <v>12</v>
      </c>
      <c r="AA50" s="622">
        <v>88.02</v>
      </c>
      <c r="AB50" s="574">
        <v>12.11</v>
      </c>
      <c r="AC50" s="574">
        <v>60.71</v>
      </c>
      <c r="AD50" s="574">
        <v>9.7899999999999991</v>
      </c>
      <c r="AE50" s="574">
        <v>26.63</v>
      </c>
      <c r="AF50" s="50"/>
      <c r="AG50" s="50"/>
      <c r="AK50" s="624" t="s">
        <v>1036</v>
      </c>
      <c r="AL50" s="618">
        <v>3.5015041672831289</v>
      </c>
      <c r="AM50" s="618">
        <v>5.2067836979534228</v>
      </c>
      <c r="AN50" s="618">
        <v>4.3813192103996146</v>
      </c>
      <c r="AO50" s="626">
        <v>3.06</v>
      </c>
      <c r="AP50" s="571">
        <v>8.43</v>
      </c>
    </row>
    <row r="51" spans="7:42">
      <c r="G51" s="409" t="s">
        <v>153</v>
      </c>
      <c r="H51" s="83"/>
      <c r="I51" s="606"/>
      <c r="J51" s="602"/>
      <c r="K51" s="613"/>
      <c r="L51" s="602"/>
      <c r="M51" s="148"/>
      <c r="N51" s="17"/>
      <c r="X51" s="1610"/>
      <c r="Y51" s="624" t="s">
        <v>1035</v>
      </c>
      <c r="Z51" s="573">
        <v>10.7</v>
      </c>
      <c r="AA51" s="931">
        <v>89.3</v>
      </c>
      <c r="AB51" s="573">
        <v>10.72</v>
      </c>
      <c r="AC51" s="573">
        <v>45.92</v>
      </c>
      <c r="AD51" s="573">
        <v>9.35</v>
      </c>
      <c r="AE51" s="573">
        <v>22.62</v>
      </c>
      <c r="AF51" s="931">
        <v>10.1</v>
      </c>
      <c r="AG51" s="573"/>
      <c r="AK51" s="624" t="s">
        <v>1038</v>
      </c>
      <c r="AL51" s="618">
        <v>7.4663283232480975</v>
      </c>
      <c r="AM51" s="618">
        <v>3.3936332651670083</v>
      </c>
      <c r="AN51" s="618">
        <v>4.8877805486284291</v>
      </c>
      <c r="AO51" s="626">
        <v>8.07</v>
      </c>
      <c r="AP51" s="571">
        <v>1.89</v>
      </c>
    </row>
    <row r="52" spans="7:42">
      <c r="G52" s="409" t="s">
        <v>273</v>
      </c>
      <c r="H52" s="83"/>
      <c r="I52" s="606"/>
      <c r="J52" s="602"/>
      <c r="K52" s="613"/>
      <c r="L52" s="602"/>
      <c r="M52" s="148"/>
      <c r="N52" s="17"/>
      <c r="X52" s="1610"/>
      <c r="Y52" s="582" t="s">
        <v>1059</v>
      </c>
      <c r="Z52" s="574">
        <v>9.5</v>
      </c>
      <c r="AA52" s="622">
        <v>90.5</v>
      </c>
      <c r="AB52" s="574">
        <v>10.78</v>
      </c>
      <c r="AC52" s="574">
        <v>31.17</v>
      </c>
      <c r="AD52" s="574">
        <v>10.66</v>
      </c>
      <c r="AE52" s="574">
        <v>22.6</v>
      </c>
      <c r="AF52" s="48"/>
      <c r="AG52" s="50"/>
      <c r="AK52" s="624" t="s">
        <v>1039</v>
      </c>
      <c r="AL52" s="618">
        <v>3.1283605435526449</v>
      </c>
      <c r="AM52" s="618">
        <v>2.2027169018312818</v>
      </c>
      <c r="AN52" s="618">
        <v>3.1931106219308645</v>
      </c>
      <c r="AO52" s="626">
        <v>5.69</v>
      </c>
      <c r="AP52" s="571">
        <v>1.42</v>
      </c>
    </row>
    <row r="53" spans="7:42">
      <c r="G53" s="409" t="s">
        <v>154</v>
      </c>
      <c r="H53" s="83"/>
      <c r="I53" s="606"/>
      <c r="J53" s="602"/>
      <c r="K53" s="613"/>
      <c r="L53" s="602"/>
      <c r="M53" s="148"/>
      <c r="N53" s="17"/>
      <c r="X53" s="1610"/>
      <c r="Y53" s="624" t="s">
        <v>1036</v>
      </c>
      <c r="Z53" s="573">
        <v>10</v>
      </c>
      <c r="AA53" s="931">
        <v>90</v>
      </c>
      <c r="AB53" s="573">
        <v>3.55</v>
      </c>
      <c r="AC53" s="573">
        <v>88.11</v>
      </c>
      <c r="AD53" s="573">
        <v>10.51</v>
      </c>
      <c r="AE53" s="573">
        <v>19.510000000000002</v>
      </c>
      <c r="AF53" s="931">
        <v>9.5</v>
      </c>
      <c r="AG53" s="573"/>
      <c r="AK53" s="624" t="s">
        <v>1041</v>
      </c>
      <c r="AL53" s="618">
        <v>7.3158675234799802</v>
      </c>
      <c r="AM53" s="618">
        <v>8.1071638861629065</v>
      </c>
      <c r="AN53" s="618">
        <v>3.88</v>
      </c>
      <c r="AO53" s="626">
        <v>3.79</v>
      </c>
      <c r="AP53" s="571">
        <v>0.88</v>
      </c>
    </row>
    <row r="54" spans="7:42">
      <c r="G54" s="409" t="s">
        <v>155</v>
      </c>
      <c r="H54" s="83"/>
      <c r="I54" s="606"/>
      <c r="J54" s="602"/>
      <c r="K54" s="613"/>
      <c r="L54" s="602"/>
      <c r="M54" s="148"/>
      <c r="N54" s="17"/>
      <c r="X54" s="1611"/>
      <c r="Y54" s="582" t="s">
        <v>1060</v>
      </c>
      <c r="Z54" s="574">
        <v>10</v>
      </c>
      <c r="AA54" s="622">
        <v>90</v>
      </c>
      <c r="AB54" s="574">
        <v>9.59</v>
      </c>
      <c r="AC54" s="574">
        <v>40.130000000000003</v>
      </c>
      <c r="AD54" s="574">
        <v>12.07</v>
      </c>
      <c r="AE54" s="574">
        <v>25.5</v>
      </c>
      <c r="AF54" s="48"/>
      <c r="AG54" s="50"/>
      <c r="AK54" s="624" t="s">
        <v>1042</v>
      </c>
      <c r="AL54" s="618">
        <v>5.761255556383321</v>
      </c>
      <c r="AM54" s="618">
        <v>1.9119371482176362</v>
      </c>
      <c r="AN54" s="618">
        <v>3.9</v>
      </c>
      <c r="AO54" s="626">
        <v>4.8499999999999996</v>
      </c>
      <c r="AP54" s="571">
        <v>7.25</v>
      </c>
    </row>
    <row r="55" spans="7:42">
      <c r="G55" s="409" t="s">
        <v>156</v>
      </c>
      <c r="H55" s="83"/>
      <c r="I55" s="607"/>
      <c r="J55" s="603"/>
      <c r="K55" s="610"/>
      <c r="L55" s="603"/>
      <c r="M55" s="17"/>
      <c r="N55" s="17"/>
      <c r="X55" s="1609" t="s">
        <v>1037</v>
      </c>
      <c r="Y55" s="582" t="s">
        <v>1061</v>
      </c>
      <c r="Z55" s="574">
        <v>9.4499999999999993</v>
      </c>
      <c r="AA55" s="622">
        <v>90.6</v>
      </c>
      <c r="AB55" s="574">
        <v>2.89</v>
      </c>
      <c r="AC55" s="574">
        <v>80.349999999999994</v>
      </c>
      <c r="AD55" s="574">
        <v>4.93</v>
      </c>
      <c r="AE55" s="574">
        <v>73.02</v>
      </c>
      <c r="AF55" s="48"/>
      <c r="AG55" s="50"/>
      <c r="AK55" s="573" t="s">
        <v>1150</v>
      </c>
      <c r="AL55" s="710"/>
      <c r="AM55" s="710"/>
      <c r="AN55" s="710"/>
      <c r="AO55" s="710"/>
      <c r="AP55" s="929">
        <v>0.54</v>
      </c>
    </row>
    <row r="56" spans="7:42">
      <c r="G56" s="409" t="s">
        <v>157</v>
      </c>
      <c r="H56" s="224"/>
      <c r="I56" s="607"/>
      <c r="J56" s="604"/>
      <c r="K56" s="611"/>
      <c r="L56" s="604"/>
      <c r="M56" s="66"/>
      <c r="N56" s="66"/>
      <c r="X56" s="1610"/>
      <c r="Y56" s="624" t="s">
        <v>1038</v>
      </c>
      <c r="Z56" s="573">
        <v>11</v>
      </c>
      <c r="AA56" s="931">
        <v>89</v>
      </c>
      <c r="AB56" s="573">
        <v>11.87</v>
      </c>
      <c r="AC56" s="573">
        <v>31.66</v>
      </c>
      <c r="AD56" s="573">
        <v>13.15</v>
      </c>
      <c r="AE56" s="573">
        <v>27.18</v>
      </c>
      <c r="AF56" s="931">
        <v>10.3</v>
      </c>
      <c r="AG56" s="573"/>
    </row>
    <row r="57" spans="7:42">
      <c r="G57" s="409" t="s">
        <v>158</v>
      </c>
      <c r="H57" s="141"/>
      <c r="I57" s="608"/>
      <c r="J57" s="604"/>
      <c r="K57" s="611"/>
      <c r="L57" s="604"/>
      <c r="M57" s="178"/>
      <c r="N57" s="178"/>
      <c r="X57" s="1610"/>
      <c r="Y57" s="582" t="s">
        <v>1062</v>
      </c>
      <c r="Z57" s="574">
        <v>11.7</v>
      </c>
      <c r="AA57" s="622">
        <v>88.3</v>
      </c>
      <c r="AB57" s="574">
        <v>10.7</v>
      </c>
      <c r="AC57" s="574">
        <v>38.56</v>
      </c>
      <c r="AD57" s="574">
        <v>11.67</v>
      </c>
      <c r="AE57" s="574">
        <v>19.98</v>
      </c>
      <c r="AF57" s="48"/>
      <c r="AG57" s="50"/>
    </row>
    <row r="58" spans="7:42">
      <c r="G58" s="609" t="s">
        <v>159</v>
      </c>
      <c r="H58" s="50"/>
      <c r="I58" s="608"/>
      <c r="J58" s="605"/>
      <c r="K58" s="612"/>
      <c r="L58" s="605"/>
      <c r="X58" s="1610"/>
      <c r="Y58" s="624" t="s">
        <v>1039</v>
      </c>
      <c r="Z58" s="573">
        <v>12.8</v>
      </c>
      <c r="AA58" s="931">
        <v>87.2</v>
      </c>
      <c r="AB58" s="573">
        <v>10.44</v>
      </c>
      <c r="AC58" s="573">
        <v>56.14</v>
      </c>
      <c r="AD58" s="573">
        <v>10.87</v>
      </c>
      <c r="AE58" s="573">
        <v>21.96</v>
      </c>
      <c r="AF58" s="931">
        <v>11.2</v>
      </c>
      <c r="AG58" s="573"/>
    </row>
    <row r="59" spans="7:42">
      <c r="G59" s="609" t="s">
        <v>179</v>
      </c>
      <c r="H59" s="50"/>
      <c r="I59" s="608"/>
      <c r="J59" s="605"/>
      <c r="K59" s="612"/>
      <c r="L59" s="605"/>
      <c r="X59" s="1611"/>
      <c r="Y59" s="582" t="s">
        <v>1063</v>
      </c>
      <c r="Z59" s="574">
        <v>11.5</v>
      </c>
      <c r="AA59" s="622">
        <v>88.5</v>
      </c>
      <c r="AB59" s="574">
        <v>9.5399999999999991</v>
      </c>
      <c r="AC59" s="574">
        <v>37.53</v>
      </c>
      <c r="AD59" s="574">
        <v>11.29</v>
      </c>
      <c r="AE59" s="574">
        <v>22.24</v>
      </c>
      <c r="AF59" s="48"/>
      <c r="AG59" s="50"/>
    </row>
    <row r="60" spans="7:42">
      <c r="G60" s="86" t="s">
        <v>1011</v>
      </c>
      <c r="H60" s="228" t="s">
        <v>146</v>
      </c>
      <c r="I60" s="228" t="s">
        <v>147</v>
      </c>
      <c r="J60" s="228" t="s">
        <v>148</v>
      </c>
      <c r="K60" s="228" t="s">
        <v>149</v>
      </c>
      <c r="L60" s="228" t="s">
        <v>150</v>
      </c>
      <c r="M60" s="86" t="s">
        <v>160</v>
      </c>
      <c r="N60" s="86" t="s">
        <v>168</v>
      </c>
      <c r="X60" s="1609" t="s">
        <v>1040</v>
      </c>
      <c r="Y60" s="582" t="s">
        <v>1064</v>
      </c>
      <c r="Z60" s="574">
        <v>11.2</v>
      </c>
      <c r="AA60" s="622">
        <v>88.8</v>
      </c>
      <c r="AB60" s="574">
        <v>8.48</v>
      </c>
      <c r="AC60" s="574">
        <v>61.08</v>
      </c>
      <c r="AD60" s="574">
        <v>7.68</v>
      </c>
      <c r="AE60" s="574">
        <v>48.06</v>
      </c>
      <c r="AF60" s="48"/>
      <c r="AG60" s="50"/>
    </row>
    <row r="61" spans="7:42">
      <c r="G61" s="409" t="s">
        <v>270</v>
      </c>
      <c r="H61" s="590"/>
      <c r="I61" s="587"/>
      <c r="J61" s="586"/>
      <c r="K61" s="585"/>
      <c r="L61" s="586"/>
      <c r="M61" s="588"/>
      <c r="N61" s="589"/>
      <c r="X61" s="1610"/>
      <c r="Y61" s="582" t="s">
        <v>1065</v>
      </c>
      <c r="Z61" s="574">
        <v>11.7</v>
      </c>
      <c r="AA61" s="622">
        <v>88.3</v>
      </c>
      <c r="AB61" s="574">
        <v>8.3699999999999992</v>
      </c>
      <c r="AC61" s="574">
        <v>96.98</v>
      </c>
      <c r="AD61" s="574">
        <v>10.54</v>
      </c>
      <c r="AE61" s="574">
        <v>42.81</v>
      </c>
      <c r="AF61" s="48"/>
      <c r="AG61" s="50"/>
    </row>
    <row r="62" spans="7:42">
      <c r="G62" s="409" t="s">
        <v>151</v>
      </c>
      <c r="H62" s="83"/>
      <c r="I62" s="587"/>
      <c r="J62" s="586"/>
      <c r="K62" s="585"/>
      <c r="L62" s="586"/>
      <c r="M62" s="148"/>
      <c r="N62" s="17"/>
      <c r="X62" s="1610"/>
      <c r="Y62" s="624" t="s">
        <v>1041</v>
      </c>
      <c r="Z62" s="573">
        <v>11.9</v>
      </c>
      <c r="AA62" s="931">
        <v>88.1</v>
      </c>
      <c r="AB62" s="573">
        <v>10.94</v>
      </c>
      <c r="AC62" s="573">
        <v>93.25</v>
      </c>
      <c r="AD62" s="573">
        <v>10.31</v>
      </c>
      <c r="AE62" s="573">
        <v>42.05</v>
      </c>
      <c r="AF62" s="931">
        <v>9.9</v>
      </c>
      <c r="AG62" s="573"/>
    </row>
    <row r="63" spans="7:42">
      <c r="G63" s="409" t="s">
        <v>271</v>
      </c>
      <c r="H63" s="83"/>
      <c r="I63" s="587"/>
      <c r="J63" s="586"/>
      <c r="K63" s="585"/>
      <c r="L63" s="586"/>
      <c r="M63" s="148"/>
      <c r="N63" s="17"/>
      <c r="X63" s="1610"/>
      <c r="Y63" s="582" t="s">
        <v>1066</v>
      </c>
      <c r="Z63" s="574">
        <v>12.7</v>
      </c>
      <c r="AA63" s="622">
        <v>87.3</v>
      </c>
      <c r="AB63" s="574">
        <v>10.95</v>
      </c>
      <c r="AC63" s="574">
        <v>94.5</v>
      </c>
      <c r="AD63" s="574">
        <v>19.010000000000002</v>
      </c>
      <c r="AE63" s="574">
        <v>36.15</v>
      </c>
      <c r="AF63" s="50"/>
      <c r="AG63" s="50"/>
    </row>
    <row r="64" spans="7:42">
      <c r="G64" s="409" t="s">
        <v>152</v>
      </c>
      <c r="H64" s="83"/>
      <c r="I64" s="587"/>
      <c r="J64" s="586"/>
      <c r="K64" s="585"/>
      <c r="L64" s="586"/>
      <c r="M64" s="148"/>
      <c r="N64" s="17"/>
      <c r="X64" s="1610"/>
      <c r="Y64" s="624" t="s">
        <v>1042</v>
      </c>
      <c r="Z64" s="573">
        <v>10.4</v>
      </c>
      <c r="AA64" s="931">
        <v>89.6</v>
      </c>
      <c r="AB64" s="573">
        <v>10.66</v>
      </c>
      <c r="AC64" s="573">
        <v>60.57</v>
      </c>
      <c r="AD64" s="573">
        <v>12.86</v>
      </c>
      <c r="AE64" s="573">
        <v>39.340000000000003</v>
      </c>
      <c r="AF64" s="573">
        <v>10.3</v>
      </c>
      <c r="AG64" s="573"/>
    </row>
    <row r="65" spans="7:33">
      <c r="G65" s="409" t="s">
        <v>272</v>
      </c>
      <c r="H65" s="83"/>
      <c r="I65" s="587"/>
      <c r="J65" s="586"/>
      <c r="K65" s="585"/>
      <c r="L65" s="586"/>
      <c r="M65" s="148"/>
      <c r="N65" s="17"/>
      <c r="X65" s="1611"/>
      <c r="Y65" s="582" t="s">
        <v>1067</v>
      </c>
      <c r="Z65" s="574">
        <v>10.7</v>
      </c>
      <c r="AA65" s="622">
        <v>89.3</v>
      </c>
      <c r="AB65" s="574">
        <v>10.75</v>
      </c>
      <c r="AC65" s="574">
        <v>96.31</v>
      </c>
      <c r="AD65" s="574">
        <v>4.82</v>
      </c>
      <c r="AE65" s="574">
        <v>85.74</v>
      </c>
      <c r="AF65" s="50"/>
      <c r="AG65" s="50"/>
    </row>
    <row r="66" spans="7:33">
      <c r="G66" s="409" t="s">
        <v>153</v>
      </c>
      <c r="H66" s="83"/>
      <c r="I66" s="587"/>
      <c r="J66" s="586"/>
      <c r="K66" s="585"/>
      <c r="L66" s="586"/>
      <c r="M66" s="148"/>
      <c r="N66" s="17"/>
    </row>
    <row r="67" spans="7:33">
      <c r="G67" s="409" t="s">
        <v>273</v>
      </c>
      <c r="H67" s="83"/>
      <c r="I67" s="587"/>
      <c r="J67" s="586"/>
      <c r="K67" s="585"/>
      <c r="L67" s="586"/>
      <c r="M67" s="148"/>
      <c r="N67" s="17"/>
    </row>
    <row r="68" spans="7:33">
      <c r="G68" s="409" t="s">
        <v>154</v>
      </c>
      <c r="H68" s="83"/>
      <c r="I68" s="587"/>
      <c r="J68" s="586"/>
      <c r="K68" s="585"/>
      <c r="L68" s="586"/>
      <c r="M68" s="148"/>
      <c r="N68" s="17"/>
    </row>
    <row r="69" spans="7:33">
      <c r="G69" s="409" t="s">
        <v>155</v>
      </c>
      <c r="H69" s="83"/>
      <c r="I69" s="587"/>
      <c r="J69" s="586"/>
      <c r="K69" s="585"/>
      <c r="L69" s="586"/>
      <c r="M69" s="148"/>
      <c r="N69" s="17"/>
    </row>
    <row r="70" spans="7:33">
      <c r="G70" s="409" t="s">
        <v>156</v>
      </c>
      <c r="H70" s="83"/>
      <c r="I70" s="587"/>
      <c r="J70" s="586"/>
      <c r="K70" s="585"/>
      <c r="L70" s="586"/>
      <c r="M70" s="148"/>
      <c r="N70" s="17"/>
    </row>
    <row r="71" spans="7:33">
      <c r="G71" s="86" t="s">
        <v>1012</v>
      </c>
      <c r="H71" s="228" t="s">
        <v>146</v>
      </c>
      <c r="I71" s="228" t="s">
        <v>147</v>
      </c>
      <c r="J71" s="228" t="s">
        <v>148</v>
      </c>
      <c r="K71" s="228" t="s">
        <v>149</v>
      </c>
      <c r="L71" s="228" t="s">
        <v>150</v>
      </c>
      <c r="M71" s="86" t="s">
        <v>160</v>
      </c>
      <c r="N71" s="86" t="s">
        <v>168</v>
      </c>
    </row>
    <row r="72" spans="7:33">
      <c r="G72" s="409" t="s">
        <v>270</v>
      </c>
      <c r="H72" s="590"/>
      <c r="I72" s="587"/>
      <c r="J72" s="586"/>
      <c r="K72" s="585"/>
      <c r="L72" s="586"/>
      <c r="M72" s="591"/>
      <c r="N72" s="592"/>
    </row>
    <row r="73" spans="7:33">
      <c r="G73" s="409" t="s">
        <v>151</v>
      </c>
      <c r="H73" s="83"/>
      <c r="I73" s="587"/>
      <c r="J73" s="586"/>
      <c r="K73" s="585"/>
      <c r="L73" s="586"/>
      <c r="M73" s="148"/>
      <c r="N73" s="17"/>
    </row>
    <row r="74" spans="7:33">
      <c r="G74" s="409" t="s">
        <v>271</v>
      </c>
      <c r="H74" s="83"/>
      <c r="I74" s="587"/>
      <c r="J74" s="586"/>
      <c r="K74" s="585"/>
      <c r="L74" s="586"/>
      <c r="M74" s="148"/>
      <c r="N74" s="17"/>
    </row>
    <row r="75" spans="7:33">
      <c r="G75" s="409" t="s">
        <v>152</v>
      </c>
      <c r="H75" s="83"/>
      <c r="I75" s="587"/>
      <c r="J75" s="586"/>
      <c r="K75" s="585"/>
      <c r="L75" s="586"/>
      <c r="M75" s="148"/>
      <c r="N75" s="17"/>
    </row>
    <row r="76" spans="7:33">
      <c r="G76" s="409" t="s">
        <v>272</v>
      </c>
      <c r="H76" s="83"/>
      <c r="I76" s="587"/>
      <c r="J76" s="586"/>
      <c r="K76" s="585"/>
      <c r="L76" s="586"/>
      <c r="M76" s="148"/>
      <c r="N76" s="17"/>
    </row>
    <row r="77" spans="7:33">
      <c r="G77" s="409" t="s">
        <v>153</v>
      </c>
      <c r="H77" s="83"/>
      <c r="I77" s="587"/>
      <c r="J77" s="586"/>
      <c r="K77" s="585"/>
      <c r="L77" s="586"/>
      <c r="M77" s="148"/>
      <c r="N77" s="17"/>
    </row>
    <row r="78" spans="7:33">
      <c r="G78" s="409" t="s">
        <v>273</v>
      </c>
      <c r="H78" s="83"/>
      <c r="I78" s="587"/>
      <c r="J78" s="586"/>
      <c r="K78" s="585"/>
      <c r="L78" s="586"/>
      <c r="M78" s="148"/>
      <c r="N78" s="17"/>
    </row>
    <row r="79" spans="7:33">
      <c r="G79" s="409" t="s">
        <v>154</v>
      </c>
      <c r="H79" s="83"/>
      <c r="I79" s="587"/>
      <c r="J79" s="586"/>
      <c r="K79" s="585"/>
      <c r="L79" s="586"/>
      <c r="M79" s="148"/>
      <c r="N79" s="17"/>
    </row>
    <row r="80" spans="7:33">
      <c r="G80" s="409" t="s">
        <v>155</v>
      </c>
      <c r="H80" s="83"/>
      <c r="I80" s="587"/>
      <c r="J80" s="586"/>
      <c r="K80" s="585"/>
      <c r="L80" s="586"/>
      <c r="M80" s="148"/>
      <c r="N80" s="17"/>
    </row>
  </sheetData>
  <mergeCells count="37">
    <mergeCell ref="AM3:AM4"/>
    <mergeCell ref="AM5:AM6"/>
    <mergeCell ref="AM7:AM8"/>
    <mergeCell ref="X49:X54"/>
    <mergeCell ref="X55:X59"/>
    <mergeCell ref="AB3:AC3"/>
    <mergeCell ref="X5:X6"/>
    <mergeCell ref="X7:X8"/>
    <mergeCell ref="X9:X10"/>
    <mergeCell ref="X3:X4"/>
    <mergeCell ref="Y3:Y4"/>
    <mergeCell ref="X16:X17"/>
    <mergeCell ref="AH47:AI47"/>
    <mergeCell ref="AK36:AO36"/>
    <mergeCell ref="X18:X19"/>
    <mergeCell ref="X20:X21"/>
    <mergeCell ref="X60:X65"/>
    <mergeCell ref="AF47:AG47"/>
    <mergeCell ref="X47:X48"/>
    <mergeCell ref="Y47:Y48"/>
    <mergeCell ref="Z47:AA47"/>
    <mergeCell ref="AB47:AC47"/>
    <mergeCell ref="AD47:AE47"/>
    <mergeCell ref="A19:B19"/>
    <mergeCell ref="A1:E1"/>
    <mergeCell ref="A10:E10"/>
    <mergeCell ref="R1:V1"/>
    <mergeCell ref="R10:V10"/>
    <mergeCell ref="X28:X33"/>
    <mergeCell ref="X34:X38"/>
    <mergeCell ref="X39:X44"/>
    <mergeCell ref="AL47:AP47"/>
    <mergeCell ref="Z14:AB14"/>
    <mergeCell ref="AC14:AE14"/>
    <mergeCell ref="AF14:AG14"/>
    <mergeCell ref="X26:X27"/>
    <mergeCell ref="Y26:Y27"/>
  </mergeCells>
  <pageMargins left="0.7" right="0.7" top="0.75" bottom="1.78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 tint="0.59999389629810485"/>
  </sheetPr>
  <dimension ref="A1:U52"/>
  <sheetViews>
    <sheetView topLeftCell="G1" workbookViewId="0">
      <selection activeCell="N30" sqref="N30"/>
    </sheetView>
  </sheetViews>
  <sheetFormatPr defaultRowHeight="14"/>
  <cols>
    <col min="2" max="2" width="18.54296875" customWidth="1"/>
    <col min="3" max="3" width="20.36328125" customWidth="1"/>
    <col min="6" max="6" width="6.81640625" customWidth="1"/>
    <col min="7" max="7" width="9.08984375" bestFit="1" customWidth="1"/>
    <col min="8" max="8" width="11.453125" bestFit="1" customWidth="1"/>
    <col min="9" max="9" width="18.08984375" customWidth="1"/>
    <col min="10" max="10" width="6.81640625" bestFit="1" customWidth="1"/>
    <col min="12" max="12" width="17" customWidth="1"/>
    <col min="13" max="13" width="18.54296875" customWidth="1"/>
    <col min="14" max="14" width="18.08984375" bestFit="1" customWidth="1"/>
    <col min="15" max="15" width="14.453125" bestFit="1" customWidth="1"/>
    <col min="16" max="16" width="15.54296875" customWidth="1"/>
    <col min="18" max="18" width="13.90625" bestFit="1" customWidth="1"/>
    <col min="19" max="19" width="13.81640625" bestFit="1" customWidth="1"/>
    <col min="20" max="20" width="18.08984375" bestFit="1" customWidth="1"/>
    <col min="21" max="21" width="8" bestFit="1" customWidth="1"/>
  </cols>
  <sheetData>
    <row r="1" spans="1:21" ht="14.5" thickBot="1"/>
    <row r="2" spans="1:21" ht="36.5" thickBot="1">
      <c r="A2" s="1162" t="s">
        <v>1628</v>
      </c>
      <c r="B2" s="1163" t="s">
        <v>1629</v>
      </c>
      <c r="C2" s="1163" t="s">
        <v>1733</v>
      </c>
      <c r="D2" s="1163" t="s">
        <v>1630</v>
      </c>
      <c r="E2" s="1163" t="s">
        <v>442</v>
      </c>
      <c r="F2" s="1163" t="s">
        <v>1631</v>
      </c>
      <c r="G2" s="1163" t="s">
        <v>1632</v>
      </c>
      <c r="H2" s="1163" t="s">
        <v>146</v>
      </c>
      <c r="I2" s="1164" t="s">
        <v>1633</v>
      </c>
      <c r="J2" s="1163" t="s">
        <v>1634</v>
      </c>
      <c r="L2" s="1189" t="s">
        <v>1666</v>
      </c>
      <c r="M2" s="1190" t="s">
        <v>1667</v>
      </c>
      <c r="N2" s="1191" t="s">
        <v>264</v>
      </c>
      <c r="O2" s="1192" t="s">
        <v>1679</v>
      </c>
      <c r="P2" s="1193" t="s">
        <v>1680</v>
      </c>
    </row>
    <row r="3" spans="1:21" ht="17.399999999999999" customHeight="1" thickBot="1">
      <c r="A3" s="1161" t="s">
        <v>1120</v>
      </c>
      <c r="B3" s="1155" t="s">
        <v>1730</v>
      </c>
      <c r="C3" s="1156" t="s">
        <v>1635</v>
      </c>
      <c r="D3" s="1156" t="s">
        <v>579</v>
      </c>
      <c r="E3" s="1155" t="s">
        <v>1636</v>
      </c>
      <c r="F3" s="1157" t="s">
        <v>1646</v>
      </c>
      <c r="G3" s="1159">
        <v>42269</v>
      </c>
      <c r="H3" s="1160">
        <v>0.34722222222222227</v>
      </c>
      <c r="I3" s="1155" t="s">
        <v>1654</v>
      </c>
      <c r="J3" s="1155">
        <v>24</v>
      </c>
      <c r="L3" s="1177" t="s">
        <v>1669</v>
      </c>
      <c r="M3" s="1178" t="s">
        <v>1120</v>
      </c>
      <c r="N3" s="1179" t="s">
        <v>1729</v>
      </c>
      <c r="O3" s="1182">
        <v>27</v>
      </c>
      <c r="P3" s="1200">
        <v>59.1</v>
      </c>
      <c r="R3" s="1202" t="s">
        <v>1666</v>
      </c>
      <c r="S3" s="1202" t="s">
        <v>1667</v>
      </c>
      <c r="T3" s="1203" t="s">
        <v>264</v>
      </c>
      <c r="U3" s="1204" t="s">
        <v>1668</v>
      </c>
    </row>
    <row r="4" spans="1:21" ht="13.75" customHeight="1" thickBot="1">
      <c r="A4" s="1161" t="s">
        <v>679</v>
      </c>
      <c r="B4" s="1155" t="s">
        <v>1731</v>
      </c>
      <c r="C4" s="1156" t="s">
        <v>1637</v>
      </c>
      <c r="D4" s="1156" t="s">
        <v>579</v>
      </c>
      <c r="E4" s="1155" t="s">
        <v>1636</v>
      </c>
      <c r="F4" s="1157" t="s">
        <v>1646</v>
      </c>
      <c r="G4" s="1159">
        <v>42269</v>
      </c>
      <c r="H4" s="1160">
        <v>0.38194444444444442</v>
      </c>
      <c r="I4" s="1155" t="s">
        <v>1647</v>
      </c>
      <c r="J4" s="1155">
        <v>26</v>
      </c>
      <c r="L4" s="1181">
        <v>122</v>
      </c>
      <c r="M4" s="1182" t="s">
        <v>679</v>
      </c>
      <c r="N4" s="1180" t="s">
        <v>1731</v>
      </c>
      <c r="O4" s="1182">
        <v>23</v>
      </c>
      <c r="P4" s="1200">
        <v>73.5</v>
      </c>
      <c r="R4" s="1205" t="s">
        <v>1669</v>
      </c>
      <c r="S4" s="1183" t="s">
        <v>1120</v>
      </c>
      <c r="T4" s="1179" t="s">
        <v>1729</v>
      </c>
      <c r="U4" s="1185" t="s">
        <v>1670</v>
      </c>
    </row>
    <row r="5" spans="1:21" ht="15" customHeight="1" thickBot="1">
      <c r="A5" s="1161" t="s">
        <v>303</v>
      </c>
      <c r="B5" s="1155" t="s">
        <v>1638</v>
      </c>
      <c r="C5" s="1156" t="s">
        <v>1637</v>
      </c>
      <c r="D5" s="1156" t="s">
        <v>579</v>
      </c>
      <c r="E5" s="1155" t="s">
        <v>1636</v>
      </c>
      <c r="F5" s="1157" t="s">
        <v>1646</v>
      </c>
      <c r="G5" s="1159">
        <v>42269</v>
      </c>
      <c r="H5" s="1160">
        <v>0.41666666666666669</v>
      </c>
      <c r="I5" s="1155" t="s">
        <v>1648</v>
      </c>
      <c r="J5" s="1155">
        <v>23</v>
      </c>
      <c r="L5" s="1181" t="s">
        <v>1674</v>
      </c>
      <c r="M5" s="1182" t="s">
        <v>303</v>
      </c>
      <c r="N5" s="1180" t="s">
        <v>1638</v>
      </c>
      <c r="O5" s="1182">
        <v>21</v>
      </c>
      <c r="P5" s="1200">
        <v>59.2</v>
      </c>
      <c r="R5" s="1206">
        <v>122</v>
      </c>
      <c r="S5" s="1186" t="s">
        <v>679</v>
      </c>
      <c r="T5" s="1180" t="s">
        <v>1731</v>
      </c>
      <c r="U5" s="1185" t="s">
        <v>1670</v>
      </c>
    </row>
    <row r="6" spans="1:21" ht="14.4" customHeight="1" thickBot="1">
      <c r="A6" s="1161">
        <v>12</v>
      </c>
      <c r="B6" s="1155" t="s">
        <v>1639</v>
      </c>
      <c r="C6" s="1156" t="s">
        <v>1637</v>
      </c>
      <c r="D6" s="1156" t="s">
        <v>579</v>
      </c>
      <c r="E6" s="1155" t="s">
        <v>1636</v>
      </c>
      <c r="F6" s="1157" t="s">
        <v>1646</v>
      </c>
      <c r="G6" s="1159">
        <v>42269</v>
      </c>
      <c r="H6" s="1160">
        <v>0.43472222222222223</v>
      </c>
      <c r="I6" s="1155" t="s">
        <v>1649</v>
      </c>
      <c r="J6" s="1155">
        <v>24</v>
      </c>
      <c r="L6" s="1181" t="s">
        <v>1671</v>
      </c>
      <c r="M6" s="1182">
        <v>12</v>
      </c>
      <c r="N6" s="1180" t="s">
        <v>1732</v>
      </c>
      <c r="O6" s="1182">
        <v>22</v>
      </c>
      <c r="P6" s="1200">
        <v>72.2</v>
      </c>
      <c r="R6" s="1206" t="s">
        <v>1671</v>
      </c>
      <c r="S6" s="1186">
        <v>12</v>
      </c>
      <c r="T6" s="1180" t="s">
        <v>1638</v>
      </c>
      <c r="U6" s="1185" t="s">
        <v>1670</v>
      </c>
    </row>
    <row r="7" spans="1:21" ht="13.75" customHeight="1" thickBot="1">
      <c r="A7" s="1161">
        <v>9</v>
      </c>
      <c r="B7" s="1155" t="s">
        <v>1640</v>
      </c>
      <c r="C7" s="1156" t="s">
        <v>1637</v>
      </c>
      <c r="D7" s="1156" t="s">
        <v>579</v>
      </c>
      <c r="E7" s="1155" t="s">
        <v>1636</v>
      </c>
      <c r="F7" s="1157" t="s">
        <v>1646</v>
      </c>
      <c r="G7" s="1159">
        <v>42269</v>
      </c>
      <c r="H7" s="1160">
        <v>0.45694444444444443</v>
      </c>
      <c r="I7" s="1155" t="s">
        <v>1650</v>
      </c>
      <c r="J7" s="1155">
        <v>22</v>
      </c>
      <c r="L7" s="1181" t="s">
        <v>1672</v>
      </c>
      <c r="M7" s="1182">
        <v>9</v>
      </c>
      <c r="N7" s="1180" t="s">
        <v>886</v>
      </c>
      <c r="O7" s="1182">
        <v>22</v>
      </c>
      <c r="P7" s="1200">
        <v>59.1</v>
      </c>
      <c r="R7" s="1206" t="s">
        <v>1672</v>
      </c>
      <c r="S7" s="1186">
        <v>9</v>
      </c>
      <c r="T7" s="1180" t="s">
        <v>1732</v>
      </c>
      <c r="U7" s="1185" t="s">
        <v>1670</v>
      </c>
    </row>
    <row r="8" spans="1:21" ht="13.75" customHeight="1" thickBot="1">
      <c r="A8" s="1161" t="s">
        <v>1218</v>
      </c>
      <c r="B8" s="1155" t="s">
        <v>1727</v>
      </c>
      <c r="C8" s="1156" t="s">
        <v>1637</v>
      </c>
      <c r="D8" s="1156" t="s">
        <v>579</v>
      </c>
      <c r="E8" s="1155" t="s">
        <v>1636</v>
      </c>
      <c r="F8" s="1157" t="s">
        <v>1646</v>
      </c>
      <c r="G8" s="1159">
        <v>42269</v>
      </c>
      <c r="H8" s="1160">
        <v>0.4777777777777778</v>
      </c>
      <c r="I8" s="1155" t="s">
        <v>1651</v>
      </c>
      <c r="J8" s="1155">
        <v>22</v>
      </c>
      <c r="L8" s="1201">
        <v>5762</v>
      </c>
      <c r="M8" s="1182">
        <v>8</v>
      </c>
      <c r="N8" s="1180" t="s">
        <v>1727</v>
      </c>
      <c r="O8" s="1182">
        <v>23</v>
      </c>
      <c r="P8" s="1200">
        <v>62.3</v>
      </c>
      <c r="R8" s="1206" t="s">
        <v>1674</v>
      </c>
      <c r="S8" s="1186" t="s">
        <v>303</v>
      </c>
      <c r="T8" s="1180" t="s">
        <v>886</v>
      </c>
      <c r="U8" s="1185" t="s">
        <v>1670</v>
      </c>
    </row>
    <row r="9" spans="1:21" ht="18" customHeight="1" thickBot="1">
      <c r="A9" s="1161">
        <v>5</v>
      </c>
      <c r="B9" s="1155" t="s">
        <v>1641</v>
      </c>
      <c r="C9" s="1156" t="s">
        <v>1637</v>
      </c>
      <c r="D9" s="1156" t="s">
        <v>579</v>
      </c>
      <c r="E9" s="1155" t="s">
        <v>1636</v>
      </c>
      <c r="F9" s="1157" t="s">
        <v>1646</v>
      </c>
      <c r="G9" s="1159">
        <v>42268</v>
      </c>
      <c r="H9" s="1160">
        <v>0.47916666666666669</v>
      </c>
      <c r="I9" s="1155" t="s">
        <v>1652</v>
      </c>
      <c r="J9" s="1155">
        <v>25</v>
      </c>
      <c r="L9" s="1201">
        <v>5763</v>
      </c>
      <c r="M9" s="1182">
        <v>5</v>
      </c>
      <c r="N9" s="1180" t="s">
        <v>1641</v>
      </c>
      <c r="O9" s="1182">
        <v>21</v>
      </c>
      <c r="P9" s="1200">
        <v>68.900000000000006</v>
      </c>
      <c r="R9" s="1206">
        <v>5762</v>
      </c>
      <c r="S9" s="1186">
        <v>8</v>
      </c>
      <c r="T9" s="1180" t="s">
        <v>1727</v>
      </c>
      <c r="U9" s="1185" t="s">
        <v>1670</v>
      </c>
    </row>
    <row r="10" spans="1:21" ht="15" customHeight="1" thickBot="1">
      <c r="A10" s="1161" t="s">
        <v>677</v>
      </c>
      <c r="B10" s="1155" t="s">
        <v>1726</v>
      </c>
      <c r="C10" s="1156" t="s">
        <v>1643</v>
      </c>
      <c r="D10" s="1156" t="s">
        <v>579</v>
      </c>
      <c r="E10" s="1155" t="s">
        <v>1636</v>
      </c>
      <c r="F10" s="1157" t="s">
        <v>1646</v>
      </c>
      <c r="G10" s="1159">
        <v>42268</v>
      </c>
      <c r="H10" s="1160">
        <v>0.45833333333333331</v>
      </c>
      <c r="I10" s="1155" t="s">
        <v>1653</v>
      </c>
      <c r="J10" s="1155">
        <v>24</v>
      </c>
      <c r="L10" s="1201">
        <v>5764</v>
      </c>
      <c r="M10" s="1182" t="s">
        <v>677</v>
      </c>
      <c r="N10" s="1180" t="s">
        <v>1726</v>
      </c>
      <c r="O10" s="1182">
        <v>34</v>
      </c>
      <c r="P10" s="1200">
        <v>63.6</v>
      </c>
      <c r="R10" s="1206">
        <v>5763</v>
      </c>
      <c r="S10" s="1186">
        <v>5</v>
      </c>
      <c r="T10" s="1180" t="s">
        <v>1641</v>
      </c>
      <c r="U10" s="1185" t="s">
        <v>1670</v>
      </c>
    </row>
    <row r="11" spans="1:21" ht="17.399999999999999" customHeight="1" thickBot="1">
      <c r="A11" s="1161" t="s">
        <v>678</v>
      </c>
      <c r="B11" s="1155" t="s">
        <v>1644</v>
      </c>
      <c r="C11" s="1156" t="s">
        <v>1643</v>
      </c>
      <c r="D11" s="1156" t="s">
        <v>579</v>
      </c>
      <c r="E11" s="1155" t="s">
        <v>1636</v>
      </c>
      <c r="F11" s="1157" t="s">
        <v>1646</v>
      </c>
      <c r="G11" s="1159">
        <v>42268</v>
      </c>
      <c r="H11" s="1160">
        <v>0.43402777777777773</v>
      </c>
      <c r="I11" s="1155" t="s">
        <v>1655</v>
      </c>
      <c r="J11" s="1155">
        <v>23</v>
      </c>
      <c r="L11" s="1177" t="s">
        <v>1678</v>
      </c>
      <c r="M11" s="1178" t="s">
        <v>678</v>
      </c>
      <c r="N11" s="1179" t="s">
        <v>1644</v>
      </c>
      <c r="O11" s="1182">
        <v>32</v>
      </c>
      <c r="P11" s="1200">
        <v>56.6</v>
      </c>
      <c r="R11" s="1206">
        <v>5764</v>
      </c>
      <c r="S11" s="1186" t="s">
        <v>677</v>
      </c>
      <c r="T11" s="1180" t="s">
        <v>1726</v>
      </c>
      <c r="U11" s="1185" t="s">
        <v>1677</v>
      </c>
    </row>
    <row r="12" spans="1:21" ht="13.75" customHeight="1" thickBot="1">
      <c r="A12" s="1161">
        <v>58</v>
      </c>
      <c r="B12" s="1180" t="s">
        <v>1728</v>
      </c>
      <c r="C12" s="1156" t="s">
        <v>1643</v>
      </c>
      <c r="D12" s="1156" t="s">
        <v>579</v>
      </c>
      <c r="E12" s="1155" t="s">
        <v>1636</v>
      </c>
      <c r="F12" s="1157" t="s">
        <v>1646</v>
      </c>
      <c r="G12" s="1159">
        <v>42268</v>
      </c>
      <c r="H12" s="1160">
        <v>0.39583333333333331</v>
      </c>
      <c r="I12" s="1155" t="s">
        <v>1656</v>
      </c>
      <c r="J12" s="1155">
        <v>15</v>
      </c>
      <c r="L12" s="1181" t="s">
        <v>1734</v>
      </c>
      <c r="M12" s="1182">
        <v>58</v>
      </c>
      <c r="N12" s="1180" t="s">
        <v>1728</v>
      </c>
      <c r="O12" s="1182">
        <v>27</v>
      </c>
      <c r="P12" s="1200">
        <v>53.8</v>
      </c>
      <c r="R12" s="1207" t="s">
        <v>1678</v>
      </c>
      <c r="S12" s="1187" t="s">
        <v>678</v>
      </c>
      <c r="T12" s="1179" t="s">
        <v>1644</v>
      </c>
      <c r="U12" s="1185" t="s">
        <v>1677</v>
      </c>
    </row>
    <row r="13" spans="1:21" ht="14.5" thickBot="1">
      <c r="A13" s="1154" t="s">
        <v>292</v>
      </c>
      <c r="B13" s="1635" t="s">
        <v>1645</v>
      </c>
      <c r="C13" s="1636"/>
      <c r="D13" s="1636"/>
      <c r="E13" s="1636"/>
      <c r="F13" s="1636"/>
      <c r="G13" s="1636"/>
      <c r="H13" s="1636"/>
      <c r="I13" s="1636"/>
      <c r="J13" s="1637"/>
      <c r="R13" s="1208" t="s">
        <v>1734</v>
      </c>
      <c r="S13" s="1188">
        <v>58</v>
      </c>
      <c r="T13" s="1180" t="s">
        <v>1728</v>
      </c>
      <c r="U13" s="1185" t="s">
        <v>1677</v>
      </c>
    </row>
    <row r="15" spans="1:21" ht="14.5" thickBot="1">
      <c r="P15" s="710"/>
    </row>
    <row r="16" spans="1:21" ht="14.5" thickBot="1">
      <c r="A16" s="1632" t="s">
        <v>1657</v>
      </c>
      <c r="B16" s="1633"/>
      <c r="C16" s="1632" t="s">
        <v>1658</v>
      </c>
      <c r="D16" s="1633"/>
      <c r="E16" s="1629" t="s">
        <v>298</v>
      </c>
      <c r="F16" s="1634"/>
      <c r="G16" s="1629" t="s">
        <v>1659</v>
      </c>
      <c r="H16" s="1634"/>
      <c r="L16" s="1194" t="s">
        <v>1667</v>
      </c>
      <c r="M16" s="1195" t="s">
        <v>264</v>
      </c>
      <c r="N16" s="1196" t="s">
        <v>1680</v>
      </c>
      <c r="O16" s="1195" t="s">
        <v>1683</v>
      </c>
      <c r="P16" s="1195" t="s">
        <v>1684</v>
      </c>
    </row>
    <row r="17" spans="1:16" ht="14.5" thickBot="1">
      <c r="A17" s="1165" t="s">
        <v>150</v>
      </c>
      <c r="B17" s="1168">
        <v>7.48</v>
      </c>
      <c r="C17" s="1166" t="s">
        <v>150</v>
      </c>
      <c r="D17" s="1168">
        <v>7.81</v>
      </c>
      <c r="E17" s="1166" t="s">
        <v>150</v>
      </c>
      <c r="F17" s="1168">
        <v>7.78</v>
      </c>
      <c r="G17" s="1166" t="s">
        <v>150</v>
      </c>
      <c r="H17" s="1168">
        <v>7.85</v>
      </c>
      <c r="L17" s="1161" t="s">
        <v>1120</v>
      </c>
      <c r="M17" s="1155" t="s">
        <v>1730</v>
      </c>
      <c r="N17" s="1210">
        <v>59.1</v>
      </c>
      <c r="O17" s="1209"/>
      <c r="P17" s="1197"/>
    </row>
    <row r="18" spans="1:16" ht="14.5" thickBot="1">
      <c r="A18" s="1165" t="s">
        <v>149</v>
      </c>
      <c r="B18" s="1167">
        <v>10.7</v>
      </c>
      <c r="C18" s="1166" t="s">
        <v>149</v>
      </c>
      <c r="D18" s="1167">
        <v>10.5</v>
      </c>
      <c r="E18" s="1166" t="s">
        <v>149</v>
      </c>
      <c r="F18" s="1167">
        <v>10.1</v>
      </c>
      <c r="G18" s="1166" t="s">
        <v>149</v>
      </c>
      <c r="H18" s="1167">
        <v>10.7</v>
      </c>
      <c r="L18" s="1161" t="s">
        <v>679</v>
      </c>
      <c r="M18" s="1155" t="s">
        <v>1731</v>
      </c>
      <c r="N18" s="1210">
        <v>73.5</v>
      </c>
      <c r="O18" s="1209"/>
      <c r="P18" s="1197"/>
    </row>
    <row r="19" spans="1:16" ht="14.5" thickBot="1">
      <c r="A19" s="1165" t="s">
        <v>148</v>
      </c>
      <c r="B19" s="1168">
        <v>8.18</v>
      </c>
      <c r="C19" s="1166" t="s">
        <v>148</v>
      </c>
      <c r="D19" s="1168">
        <v>10.39</v>
      </c>
      <c r="E19" s="1166" t="s">
        <v>148</v>
      </c>
      <c r="F19" s="1168">
        <v>10.71</v>
      </c>
      <c r="G19" s="1166" t="s">
        <v>148</v>
      </c>
      <c r="H19" s="1168">
        <v>10.32</v>
      </c>
      <c r="L19" s="1161" t="s">
        <v>303</v>
      </c>
      <c r="M19" s="1155" t="s">
        <v>1638</v>
      </c>
      <c r="N19" s="1210">
        <v>59.2</v>
      </c>
      <c r="O19" s="1209"/>
      <c r="P19" s="1197"/>
    </row>
    <row r="20" spans="1:16" ht="14.5" thickBot="1">
      <c r="A20" s="1165" t="s">
        <v>147</v>
      </c>
      <c r="B20" s="1155">
        <v>315</v>
      </c>
      <c r="C20" s="1166" t="s">
        <v>147</v>
      </c>
      <c r="D20" s="1155">
        <v>215</v>
      </c>
      <c r="E20" s="1166" t="s">
        <v>147</v>
      </c>
      <c r="F20" s="1155">
        <v>212</v>
      </c>
      <c r="G20" s="1166" t="s">
        <v>147</v>
      </c>
      <c r="H20" s="1155">
        <v>319</v>
      </c>
      <c r="L20" s="1161">
        <v>12</v>
      </c>
      <c r="M20" s="1155" t="s">
        <v>1639</v>
      </c>
      <c r="N20" s="1210">
        <v>72.2</v>
      </c>
      <c r="O20" s="1209"/>
      <c r="P20" s="1197"/>
    </row>
    <row r="21" spans="1:16" ht="14.5" thickBot="1">
      <c r="A21" s="1629" t="s">
        <v>1660</v>
      </c>
      <c r="B21" s="1634"/>
      <c r="C21" s="1629" t="s">
        <v>1661</v>
      </c>
      <c r="D21" s="1634"/>
      <c r="E21" s="1629" t="s">
        <v>1662</v>
      </c>
      <c r="F21" s="1634"/>
      <c r="G21" s="1629" t="s">
        <v>1663</v>
      </c>
      <c r="H21" s="1634"/>
      <c r="L21" s="1161">
        <v>9</v>
      </c>
      <c r="M21" s="1155" t="s">
        <v>1640</v>
      </c>
      <c r="N21" s="1210">
        <v>59.1</v>
      </c>
      <c r="O21" s="1209"/>
      <c r="P21" s="1197"/>
    </row>
    <row r="22" spans="1:16" ht="14.5" thickBot="1">
      <c r="A22" s="1165" t="s">
        <v>150</v>
      </c>
      <c r="B22" s="1168">
        <v>7.91</v>
      </c>
      <c r="C22" s="1166" t="s">
        <v>150</v>
      </c>
      <c r="D22" s="1168">
        <v>7.82</v>
      </c>
      <c r="E22" s="1166" t="s">
        <v>150</v>
      </c>
      <c r="F22" s="1168">
        <v>7.64</v>
      </c>
      <c r="G22" s="1166" t="s">
        <v>150</v>
      </c>
      <c r="H22" s="1168">
        <v>7.75</v>
      </c>
      <c r="L22" s="1161" t="s">
        <v>1218</v>
      </c>
      <c r="M22" s="1155" t="s">
        <v>1727</v>
      </c>
      <c r="N22" s="1210">
        <v>62.3</v>
      </c>
      <c r="O22" s="1209"/>
      <c r="P22" s="1197"/>
    </row>
    <row r="23" spans="1:16" ht="14.5" thickBot="1">
      <c r="A23" s="1165" t="s">
        <v>149</v>
      </c>
      <c r="B23" s="1167">
        <v>12</v>
      </c>
      <c r="C23" s="1166" t="s">
        <v>149</v>
      </c>
      <c r="D23" s="1167">
        <v>13.4</v>
      </c>
      <c r="E23" s="1166" t="s">
        <v>149</v>
      </c>
      <c r="F23" s="1167">
        <v>12.5</v>
      </c>
      <c r="G23" s="1166" t="s">
        <v>149</v>
      </c>
      <c r="H23" s="1167">
        <v>7.4</v>
      </c>
      <c r="L23" s="1161">
        <v>5</v>
      </c>
      <c r="M23" s="1155" t="s">
        <v>1641</v>
      </c>
      <c r="N23" s="1210">
        <v>68.900000000000006</v>
      </c>
      <c r="O23" s="1209"/>
      <c r="P23" s="1197"/>
    </row>
    <row r="24" spans="1:16" ht="14.5" thickBot="1">
      <c r="A24" s="1165" t="s">
        <v>148</v>
      </c>
      <c r="B24" s="1168">
        <v>8.5500000000000007</v>
      </c>
      <c r="C24" s="1166" t="s">
        <v>148</v>
      </c>
      <c r="D24" s="1168">
        <v>8.61</v>
      </c>
      <c r="E24" s="1171" t="s">
        <v>148</v>
      </c>
      <c r="F24" s="1173">
        <v>9.2799999999999994</v>
      </c>
      <c r="G24" s="1171" t="s">
        <v>148</v>
      </c>
      <c r="H24" s="1173">
        <v>10.92</v>
      </c>
      <c r="L24" s="1161" t="s">
        <v>677</v>
      </c>
      <c r="M24" s="1155" t="s">
        <v>1642</v>
      </c>
      <c r="N24" s="1210">
        <v>63.6</v>
      </c>
      <c r="O24" s="1209"/>
      <c r="P24" s="1197"/>
    </row>
    <row r="25" spans="1:16" ht="14.5" thickBot="1">
      <c r="A25" s="1165" t="s">
        <v>147</v>
      </c>
      <c r="B25" s="1155">
        <v>147</v>
      </c>
      <c r="C25" s="1171" t="s">
        <v>147</v>
      </c>
      <c r="D25" s="1172">
        <v>116</v>
      </c>
      <c r="E25" s="1174" t="s">
        <v>147</v>
      </c>
      <c r="F25" s="1153">
        <v>89</v>
      </c>
      <c r="G25" s="1174" t="s">
        <v>147</v>
      </c>
      <c r="H25" s="1153">
        <v>73</v>
      </c>
      <c r="L25" s="1161" t="s">
        <v>678</v>
      </c>
      <c r="M25" s="1155" t="s">
        <v>1644</v>
      </c>
      <c r="N25" s="1210">
        <v>56.6</v>
      </c>
      <c r="O25" s="1209"/>
      <c r="P25" s="1197"/>
    </row>
    <row r="26" spans="1:16" ht="14.5" thickBot="1">
      <c r="A26" s="1629" t="s">
        <v>1664</v>
      </c>
      <c r="B26" s="1630"/>
      <c r="C26" s="1631" t="s">
        <v>1665</v>
      </c>
      <c r="D26" s="1631"/>
      <c r="E26" s="1172"/>
      <c r="F26" s="1172"/>
      <c r="G26" s="1172"/>
      <c r="H26" s="1172"/>
      <c r="L26" s="1161">
        <v>58</v>
      </c>
      <c r="M26" s="1180" t="s">
        <v>1728</v>
      </c>
      <c r="N26" s="1210">
        <v>53.8</v>
      </c>
      <c r="O26" s="1209"/>
      <c r="P26" s="1184"/>
    </row>
    <row r="27" spans="1:16" ht="14.5" thickBot="1">
      <c r="A27" s="1165" t="s">
        <v>150</v>
      </c>
      <c r="B27" s="1169">
        <v>7.68</v>
      </c>
      <c r="C27" s="1174" t="s">
        <v>150</v>
      </c>
      <c r="D27" s="1175">
        <v>8.2899999999999991</v>
      </c>
      <c r="E27" s="1172"/>
      <c r="F27" s="1172"/>
      <c r="G27" s="1172"/>
      <c r="H27" s="1172"/>
    </row>
    <row r="28" spans="1:16" ht="14.5" thickBot="1">
      <c r="A28" s="1165" t="s">
        <v>149</v>
      </c>
      <c r="B28" s="1170">
        <v>6.8</v>
      </c>
      <c r="C28" s="1174" t="s">
        <v>149</v>
      </c>
      <c r="D28" s="1176">
        <v>3.6</v>
      </c>
      <c r="E28" s="1172"/>
      <c r="F28" s="1172"/>
      <c r="G28" s="1172"/>
      <c r="H28" s="1172"/>
    </row>
    <row r="29" spans="1:16" ht="14.5" thickBot="1">
      <c r="A29" s="1165" t="s">
        <v>148</v>
      </c>
      <c r="B29" s="1169">
        <v>12.25</v>
      </c>
      <c r="C29" s="1174" t="s">
        <v>148</v>
      </c>
      <c r="D29" s="1175">
        <v>11.24</v>
      </c>
      <c r="E29" s="1172"/>
      <c r="F29" s="1172"/>
      <c r="G29" s="1172"/>
      <c r="H29" s="1172"/>
    </row>
    <row r="30" spans="1:16" ht="14.5" thickBot="1">
      <c r="A30" s="1165" t="s">
        <v>147</v>
      </c>
      <c r="B30" s="1158">
        <v>67</v>
      </c>
      <c r="C30" s="1174" t="s">
        <v>147</v>
      </c>
      <c r="D30" s="1153">
        <v>45</v>
      </c>
      <c r="E30" s="1172"/>
      <c r="F30" s="1172"/>
      <c r="G30" s="1172"/>
      <c r="H30" s="1172"/>
    </row>
    <row r="32" spans="1:16">
      <c r="E32" t="s">
        <v>1680</v>
      </c>
      <c r="F32" t="s">
        <v>1725</v>
      </c>
    </row>
    <row r="33" spans="1:6">
      <c r="A33" s="1198" t="s">
        <v>1685</v>
      </c>
      <c r="B33" s="1198" t="s">
        <v>117</v>
      </c>
      <c r="C33" s="1198" t="s">
        <v>1681</v>
      </c>
      <c r="D33" s="1199">
        <v>41934</v>
      </c>
      <c r="E33" s="1198" t="s">
        <v>1686</v>
      </c>
      <c r="F33" s="1198" t="s">
        <v>1715</v>
      </c>
    </row>
    <row r="34" spans="1:6">
      <c r="A34" s="1198" t="s">
        <v>1685</v>
      </c>
      <c r="B34" s="1198" t="s">
        <v>117</v>
      </c>
      <c r="C34" s="1198" t="s">
        <v>1681</v>
      </c>
      <c r="D34" s="1199">
        <v>42269</v>
      </c>
      <c r="E34" s="1198" t="s">
        <v>1687</v>
      </c>
      <c r="F34" s="1198" t="s">
        <v>1716</v>
      </c>
    </row>
    <row r="35" spans="1:6">
      <c r="A35" s="1198" t="s">
        <v>1671</v>
      </c>
      <c r="B35" s="1198" t="s">
        <v>117</v>
      </c>
      <c r="C35" s="1198" t="s">
        <v>1682</v>
      </c>
      <c r="D35" s="1199">
        <v>41934</v>
      </c>
      <c r="E35" s="1198" t="s">
        <v>1688</v>
      </c>
      <c r="F35" s="1198" t="s">
        <v>1717</v>
      </c>
    </row>
    <row r="36" spans="1:6">
      <c r="A36" s="1198" t="s">
        <v>1671</v>
      </c>
      <c r="B36" s="1198" t="s">
        <v>117</v>
      </c>
      <c r="C36" s="1198" t="s">
        <v>1682</v>
      </c>
      <c r="D36" s="1199">
        <v>42269</v>
      </c>
      <c r="E36" s="1198" t="s">
        <v>1689</v>
      </c>
      <c r="F36" s="1198" t="s">
        <v>1717</v>
      </c>
    </row>
    <row r="37" spans="1:6">
      <c r="A37" s="1198" t="s">
        <v>1672</v>
      </c>
      <c r="B37" s="1198" t="s">
        <v>117</v>
      </c>
      <c r="C37" s="1198" t="s">
        <v>1673</v>
      </c>
      <c r="D37" s="1199">
        <v>41936</v>
      </c>
      <c r="E37" s="1198" t="s">
        <v>1690</v>
      </c>
      <c r="F37" s="1198" t="s">
        <v>1715</v>
      </c>
    </row>
    <row r="38" spans="1:6">
      <c r="A38" s="1198" t="s">
        <v>1672</v>
      </c>
      <c r="B38" s="1198" t="s">
        <v>117</v>
      </c>
      <c r="C38" s="1198" t="s">
        <v>1673</v>
      </c>
      <c r="D38" s="1199">
        <v>42269</v>
      </c>
      <c r="E38" s="1198" t="s">
        <v>1691</v>
      </c>
      <c r="F38" s="1198" t="s">
        <v>1717</v>
      </c>
    </row>
    <row r="39" spans="1:6">
      <c r="A39" s="1198" t="s">
        <v>1674</v>
      </c>
      <c r="B39" s="1198" t="s">
        <v>117</v>
      </c>
      <c r="C39" s="1198" t="s">
        <v>1675</v>
      </c>
      <c r="D39" s="1199">
        <v>41934</v>
      </c>
      <c r="E39" s="1198" t="s">
        <v>1692</v>
      </c>
      <c r="F39" s="1198" t="s">
        <v>1715</v>
      </c>
    </row>
    <row r="40" spans="1:6">
      <c r="A40" s="1198" t="s">
        <v>1674</v>
      </c>
      <c r="B40" s="1198" t="s">
        <v>117</v>
      </c>
      <c r="C40" s="1198" t="s">
        <v>1675</v>
      </c>
      <c r="D40" s="1199">
        <v>42269</v>
      </c>
      <c r="E40" s="1198" t="s">
        <v>1693</v>
      </c>
      <c r="F40" s="1198" t="s">
        <v>1718</v>
      </c>
    </row>
    <row r="41" spans="1:6" ht="24">
      <c r="A41" s="1198" t="s">
        <v>1669</v>
      </c>
      <c r="B41" s="1198" t="s">
        <v>117</v>
      </c>
      <c r="C41" s="1198" t="s">
        <v>1694</v>
      </c>
      <c r="D41" s="1199">
        <v>41934</v>
      </c>
      <c r="E41" s="1198" t="s">
        <v>1695</v>
      </c>
      <c r="F41" s="1198" t="s">
        <v>1719</v>
      </c>
    </row>
    <row r="42" spans="1:6" ht="24">
      <c r="A42" s="1198" t="s">
        <v>1669</v>
      </c>
      <c r="B42" s="1198" t="s">
        <v>117</v>
      </c>
      <c r="C42" s="1198" t="s">
        <v>1694</v>
      </c>
      <c r="D42" s="1199">
        <v>42269</v>
      </c>
      <c r="E42" s="1198" t="s">
        <v>1691</v>
      </c>
      <c r="F42" s="1198" t="s">
        <v>1719</v>
      </c>
    </row>
    <row r="43" spans="1:6">
      <c r="A43" s="1198" t="s">
        <v>1696</v>
      </c>
      <c r="B43" s="1198" t="s">
        <v>117</v>
      </c>
      <c r="C43" s="1198" t="s">
        <v>1697</v>
      </c>
      <c r="D43" s="1199">
        <v>41936</v>
      </c>
      <c r="E43" s="1198" t="s">
        <v>1698</v>
      </c>
      <c r="F43" s="1198" t="s">
        <v>1720</v>
      </c>
    </row>
    <row r="44" spans="1:6">
      <c r="A44" s="1198" t="s">
        <v>1696</v>
      </c>
      <c r="B44" s="1198" t="s">
        <v>117</v>
      </c>
      <c r="C44" s="1198" t="s">
        <v>1697</v>
      </c>
      <c r="D44" s="1199">
        <v>42269</v>
      </c>
      <c r="E44" s="1198" t="s">
        <v>1699</v>
      </c>
      <c r="F44" s="1198" t="s">
        <v>1716</v>
      </c>
    </row>
    <row r="45" spans="1:6">
      <c r="A45" s="1198" t="s">
        <v>1700</v>
      </c>
      <c r="B45" s="1198" t="s">
        <v>117</v>
      </c>
      <c r="C45" s="1198" t="s">
        <v>1701</v>
      </c>
      <c r="D45" s="1199">
        <v>41936</v>
      </c>
      <c r="E45" s="1198" t="s">
        <v>1702</v>
      </c>
      <c r="F45" s="1198" t="s">
        <v>1721</v>
      </c>
    </row>
    <row r="46" spans="1:6">
      <c r="A46" s="1198" t="s">
        <v>1700</v>
      </c>
      <c r="B46" s="1198" t="s">
        <v>117</v>
      </c>
      <c r="C46" s="1198" t="s">
        <v>1701</v>
      </c>
      <c r="D46" s="1199">
        <v>42268</v>
      </c>
      <c r="E46" s="1198" t="s">
        <v>1703</v>
      </c>
      <c r="F46" s="1198" t="s">
        <v>1718</v>
      </c>
    </row>
    <row r="47" spans="1:6">
      <c r="A47" s="1198" t="s">
        <v>1704</v>
      </c>
      <c r="B47" s="1198" t="s">
        <v>117</v>
      </c>
      <c r="C47" s="1198" t="s">
        <v>1676</v>
      </c>
      <c r="D47" s="1199">
        <v>41936</v>
      </c>
      <c r="E47" s="1198" t="s">
        <v>1705</v>
      </c>
      <c r="F47" s="1198" t="s">
        <v>1721</v>
      </c>
    </row>
    <row r="48" spans="1:6">
      <c r="A48" s="1198" t="s">
        <v>1704</v>
      </c>
      <c r="B48" s="1198" t="s">
        <v>117</v>
      </c>
      <c r="C48" s="1198" t="s">
        <v>1676</v>
      </c>
      <c r="D48" s="1199">
        <v>42268</v>
      </c>
      <c r="E48" s="1198" t="s">
        <v>1706</v>
      </c>
      <c r="F48" s="1198" t="s">
        <v>1722</v>
      </c>
    </row>
    <row r="49" spans="1:6" ht="24">
      <c r="A49" s="1198" t="s">
        <v>1707</v>
      </c>
      <c r="B49" s="1198" t="s">
        <v>117</v>
      </c>
      <c r="C49" s="1198" t="s">
        <v>1708</v>
      </c>
      <c r="D49" s="1199">
        <v>41936</v>
      </c>
      <c r="E49" s="1198" t="s">
        <v>1709</v>
      </c>
      <c r="F49" s="1198" t="s">
        <v>1723</v>
      </c>
    </row>
    <row r="50" spans="1:6" ht="24">
      <c r="A50" s="1198" t="s">
        <v>1707</v>
      </c>
      <c r="B50" s="1198" t="s">
        <v>117</v>
      </c>
      <c r="C50" s="1198" t="s">
        <v>1708</v>
      </c>
      <c r="D50" s="1199">
        <v>42268</v>
      </c>
      <c r="E50" s="1198" t="s">
        <v>1710</v>
      </c>
      <c r="F50" s="1198" t="s">
        <v>1719</v>
      </c>
    </row>
    <row r="51" spans="1:6">
      <c r="A51" s="1198" t="s">
        <v>1711</v>
      </c>
      <c r="B51" s="1198" t="s">
        <v>117</v>
      </c>
      <c r="C51" s="1198" t="s">
        <v>1712</v>
      </c>
      <c r="D51" s="1199">
        <v>41936</v>
      </c>
      <c r="E51" s="1198" t="s">
        <v>1713</v>
      </c>
      <c r="F51" s="1198" t="s">
        <v>1720</v>
      </c>
    </row>
    <row r="52" spans="1:6">
      <c r="A52" s="1198" t="s">
        <v>1711</v>
      </c>
      <c r="B52" s="1198" t="s">
        <v>117</v>
      </c>
      <c r="C52" s="1198" t="s">
        <v>1712</v>
      </c>
      <c r="D52" s="1199">
        <v>42268</v>
      </c>
      <c r="E52" s="1198" t="s">
        <v>1714</v>
      </c>
      <c r="F52" s="1198" t="s">
        <v>1724</v>
      </c>
    </row>
  </sheetData>
  <mergeCells count="11">
    <mergeCell ref="B13:J13"/>
    <mergeCell ref="G16:H16"/>
    <mergeCell ref="A21:B21"/>
    <mergeCell ref="C21:D21"/>
    <mergeCell ref="E21:F21"/>
    <mergeCell ref="G21:H21"/>
    <mergeCell ref="A26:B26"/>
    <mergeCell ref="C26:D26"/>
    <mergeCell ref="A16:B16"/>
    <mergeCell ref="C16:D16"/>
    <mergeCell ref="E16:F1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2:Y77"/>
  <sheetViews>
    <sheetView topLeftCell="A34" workbookViewId="0">
      <selection activeCell="A2" sqref="A2:F77"/>
    </sheetView>
  </sheetViews>
  <sheetFormatPr defaultColWidth="9.08984375" defaultRowHeight="13"/>
  <cols>
    <col min="1" max="1" width="15.6328125" style="192" customWidth="1"/>
    <col min="2" max="2" width="52.54296875" style="192" bestFit="1" customWidth="1"/>
    <col min="3" max="3" width="12.36328125" style="192" bestFit="1" customWidth="1"/>
    <col min="4" max="4" width="16" style="192" bestFit="1" customWidth="1"/>
    <col min="5" max="5" width="9.6328125" style="192" bestFit="1" customWidth="1"/>
    <col min="6" max="6" width="9.08984375" style="192" customWidth="1"/>
    <col min="7" max="8" width="9.08984375" style="192"/>
    <col min="9" max="9" width="40" style="192" customWidth="1"/>
    <col min="10" max="10" width="7" style="192" customWidth="1"/>
    <col min="11" max="11" width="7.54296875" style="192" customWidth="1"/>
    <col min="12" max="12" width="7.90625" style="192" customWidth="1"/>
    <col min="13" max="13" width="7.54296875" style="192" customWidth="1"/>
    <col min="14" max="14" width="8.08984375" style="192" customWidth="1"/>
    <col min="15" max="15" width="7" style="192" customWidth="1"/>
    <col min="16" max="16" width="6.6328125" style="192" customWidth="1"/>
    <col min="17" max="18" width="7.90625" style="192" customWidth="1"/>
    <col min="19" max="19" width="7.453125" style="192" customWidth="1"/>
    <col min="20" max="20" width="8" style="192" customWidth="1"/>
    <col min="21" max="21" width="7.6328125" style="192" customWidth="1"/>
    <col min="22" max="22" width="9.08984375" style="192"/>
    <col min="23" max="23" width="35.6328125" style="192" customWidth="1"/>
    <col min="24" max="24" width="36.1796875" style="192" bestFit="1" customWidth="1"/>
    <col min="25" max="25" width="15.81640625" style="192" customWidth="1"/>
    <col min="26" max="16384" width="9.08984375" style="192"/>
  </cols>
  <sheetData>
    <row r="2" spans="1:25" ht="20.399999999999999" customHeight="1">
      <c r="A2" s="1044" t="s">
        <v>236</v>
      </c>
      <c r="B2" s="1044" t="s">
        <v>237</v>
      </c>
      <c r="C2" s="1645">
        <v>2015</v>
      </c>
      <c r="D2" s="1646"/>
      <c r="E2" s="1647"/>
      <c r="F2" s="1648" t="s">
        <v>505</v>
      </c>
      <c r="I2" s="255"/>
      <c r="K2" s="437"/>
      <c r="L2" s="437"/>
      <c r="M2" s="437"/>
      <c r="N2" s="437"/>
      <c r="O2" s="437"/>
    </row>
    <row r="3" spans="1:25" ht="23.4" customHeight="1">
      <c r="A3" s="1045"/>
      <c r="B3" s="1045"/>
      <c r="C3" s="1025" t="s">
        <v>506</v>
      </c>
      <c r="D3" s="1025" t="s">
        <v>427</v>
      </c>
      <c r="E3" s="1025" t="s">
        <v>382</v>
      </c>
      <c r="F3" s="1649"/>
      <c r="I3" s="255"/>
      <c r="J3" s="439">
        <v>42005</v>
      </c>
      <c r="K3" s="439">
        <v>42036</v>
      </c>
      <c r="L3" s="439">
        <v>42064</v>
      </c>
      <c r="M3" s="439">
        <v>42095</v>
      </c>
      <c r="N3" s="439">
        <v>42125</v>
      </c>
      <c r="O3" s="439">
        <v>42156</v>
      </c>
      <c r="P3" s="439">
        <v>42186</v>
      </c>
      <c r="Q3" s="439">
        <v>42217</v>
      </c>
      <c r="R3" s="439">
        <v>42248</v>
      </c>
      <c r="S3" s="439">
        <v>42278</v>
      </c>
      <c r="T3" s="439">
        <v>42309</v>
      </c>
      <c r="U3" s="439">
        <v>42339</v>
      </c>
      <c r="W3" s="508" t="s">
        <v>917</v>
      </c>
      <c r="X3" s="509" t="s">
        <v>618</v>
      </c>
      <c r="Y3" s="508" t="s">
        <v>619</v>
      </c>
    </row>
    <row r="4" spans="1:25" ht="15.5">
      <c r="A4" s="1650" t="s">
        <v>680</v>
      </c>
      <c r="B4" s="1651"/>
      <c r="C4" s="1651"/>
      <c r="D4" s="1651"/>
      <c r="E4" s="1651"/>
      <c r="F4" s="1652"/>
      <c r="H4" s="1656" t="s">
        <v>642</v>
      </c>
      <c r="I4" s="1657"/>
      <c r="J4" s="1657"/>
      <c r="K4" s="1657"/>
      <c r="L4" s="1657"/>
      <c r="M4" s="1657"/>
      <c r="N4" s="1657"/>
      <c r="O4" s="1657"/>
      <c r="P4" s="1657"/>
      <c r="Q4" s="1657"/>
      <c r="R4" s="1657"/>
      <c r="S4" s="1657"/>
      <c r="T4" s="1657"/>
      <c r="U4" s="1658"/>
      <c r="W4" s="1644" t="s">
        <v>518</v>
      </c>
      <c r="X4" s="1644"/>
      <c r="Y4" s="1644"/>
    </row>
    <row r="5" spans="1:25" ht="15.5">
      <c r="A5" s="433" t="s">
        <v>616</v>
      </c>
      <c r="B5" s="282" t="s">
        <v>539</v>
      </c>
      <c r="C5" s="432"/>
      <c r="D5" s="432"/>
      <c r="E5" s="432" t="s">
        <v>836</v>
      </c>
      <c r="F5" s="432"/>
      <c r="H5" s="351">
        <v>58</v>
      </c>
      <c r="I5" s="375" t="s">
        <v>383</v>
      </c>
      <c r="J5" s="282"/>
      <c r="K5" s="139"/>
      <c r="L5" s="139"/>
      <c r="M5" s="139"/>
      <c r="N5" s="351">
        <v>15</v>
      </c>
      <c r="O5" s="351">
        <v>12</v>
      </c>
      <c r="P5" s="351">
        <v>10</v>
      </c>
      <c r="Q5" s="351">
        <v>14</v>
      </c>
      <c r="R5" s="351">
        <v>11</v>
      </c>
      <c r="S5" s="351">
        <v>13</v>
      </c>
      <c r="T5" s="204"/>
      <c r="U5" s="204"/>
      <c r="W5" s="310" t="s">
        <v>508</v>
      </c>
      <c r="X5" s="257"/>
      <c r="Y5" s="257" t="s">
        <v>620</v>
      </c>
    </row>
    <row r="6" spans="1:25" ht="15.5">
      <c r="A6" s="375" t="s">
        <v>346</v>
      </c>
      <c r="B6" s="375" t="s">
        <v>383</v>
      </c>
      <c r="C6" s="283" t="s">
        <v>305</v>
      </c>
      <c r="D6" s="283" t="s">
        <v>305</v>
      </c>
      <c r="E6" s="283" t="s">
        <v>305</v>
      </c>
      <c r="F6" s="283" t="s">
        <v>384</v>
      </c>
      <c r="H6" s="351" t="s">
        <v>678</v>
      </c>
      <c r="I6" s="375" t="s">
        <v>385</v>
      </c>
      <c r="J6" s="139"/>
      <c r="K6" s="139"/>
      <c r="L6" s="139"/>
      <c r="M6" s="139"/>
      <c r="N6" s="351">
        <v>15</v>
      </c>
      <c r="O6" s="351">
        <v>12</v>
      </c>
      <c r="P6" s="351">
        <v>10</v>
      </c>
      <c r="Q6" s="351">
        <v>14</v>
      </c>
      <c r="R6" s="351">
        <v>11</v>
      </c>
      <c r="S6" s="558">
        <v>13</v>
      </c>
      <c r="T6" s="204"/>
      <c r="U6" s="204"/>
      <c r="W6" s="372" t="s">
        <v>461</v>
      </c>
      <c r="X6" s="257"/>
      <c r="Y6" s="257" t="s">
        <v>620</v>
      </c>
    </row>
    <row r="7" spans="1:25" ht="15.5">
      <c r="A7" s="436" t="s">
        <v>531</v>
      </c>
      <c r="B7" s="375" t="s">
        <v>532</v>
      </c>
      <c r="C7" s="283" t="s">
        <v>305</v>
      </c>
      <c r="D7" s="283"/>
      <c r="E7" s="283"/>
      <c r="F7" s="283"/>
      <c r="H7" s="351" t="s">
        <v>677</v>
      </c>
      <c r="I7" s="375" t="s">
        <v>240</v>
      </c>
      <c r="J7" s="139"/>
      <c r="K7" s="139"/>
      <c r="L7" s="139"/>
      <c r="M7" s="139"/>
      <c r="N7" s="351">
        <v>15</v>
      </c>
      <c r="O7" s="351">
        <v>12</v>
      </c>
      <c r="P7" s="351">
        <v>10</v>
      </c>
      <c r="Q7" s="351">
        <v>14</v>
      </c>
      <c r="R7" s="351">
        <v>11</v>
      </c>
      <c r="S7" s="558">
        <v>13</v>
      </c>
      <c r="T7" s="204"/>
      <c r="U7" s="204"/>
      <c r="W7" s="372" t="s">
        <v>529</v>
      </c>
      <c r="X7" s="257"/>
      <c r="Y7" s="257" t="s">
        <v>305</v>
      </c>
    </row>
    <row r="8" spans="1:25" ht="15.5">
      <c r="A8" s="375" t="s">
        <v>345</v>
      </c>
      <c r="B8" s="375" t="s">
        <v>385</v>
      </c>
      <c r="C8" s="283" t="s">
        <v>916</v>
      </c>
      <c r="D8" s="283" t="s">
        <v>305</v>
      </c>
      <c r="E8" s="283" t="s">
        <v>305</v>
      </c>
      <c r="F8" s="283" t="s">
        <v>384</v>
      </c>
      <c r="H8" s="351">
        <v>5</v>
      </c>
      <c r="I8" s="256" t="s">
        <v>395</v>
      </c>
      <c r="J8" s="139"/>
      <c r="K8" s="139"/>
      <c r="L8" s="139"/>
      <c r="M8" s="139"/>
      <c r="N8" s="351">
        <v>15</v>
      </c>
      <c r="O8" s="351">
        <v>12</v>
      </c>
      <c r="P8" s="351">
        <v>10</v>
      </c>
      <c r="Q8" s="351">
        <v>14</v>
      </c>
      <c r="R8" s="351">
        <v>11</v>
      </c>
      <c r="S8" s="558">
        <v>13</v>
      </c>
      <c r="T8" s="204"/>
      <c r="U8" s="204"/>
      <c r="W8" s="372" t="s">
        <v>507</v>
      </c>
      <c r="X8" s="257" t="s">
        <v>305</v>
      </c>
      <c r="Y8" s="257"/>
    </row>
    <row r="9" spans="1:25" ht="15.5">
      <c r="A9" s="436" t="s">
        <v>533</v>
      </c>
      <c r="B9" s="375" t="s">
        <v>385</v>
      </c>
      <c r="C9" s="283" t="s">
        <v>305</v>
      </c>
      <c r="D9" s="283"/>
      <c r="E9" s="283"/>
      <c r="F9" s="283"/>
      <c r="H9" s="351" t="s">
        <v>302</v>
      </c>
      <c r="I9" s="256" t="s">
        <v>242</v>
      </c>
      <c r="J9" s="139"/>
      <c r="K9" s="139"/>
      <c r="L9" s="139"/>
      <c r="M9" s="139"/>
      <c r="N9" s="351">
        <v>15</v>
      </c>
      <c r="O9" s="351">
        <v>12</v>
      </c>
      <c r="P9" s="351">
        <v>10</v>
      </c>
      <c r="Q9" s="351">
        <v>14</v>
      </c>
      <c r="R9" s="351">
        <v>11</v>
      </c>
      <c r="S9" s="558">
        <v>13</v>
      </c>
      <c r="T9" s="204"/>
      <c r="U9" s="204"/>
      <c r="W9" s="372" t="s">
        <v>280</v>
      </c>
      <c r="X9" s="257"/>
      <c r="Y9" s="257" t="s">
        <v>305</v>
      </c>
    </row>
    <row r="10" spans="1:25" ht="15.5">
      <c r="A10" s="375" t="s">
        <v>239</v>
      </c>
      <c r="B10" s="375" t="s">
        <v>240</v>
      </c>
      <c r="C10" s="283" t="s">
        <v>305</v>
      </c>
      <c r="D10" s="283" t="s">
        <v>429</v>
      </c>
      <c r="E10" s="283" t="s">
        <v>305</v>
      </c>
      <c r="F10" s="283"/>
      <c r="H10" s="351">
        <v>64</v>
      </c>
      <c r="I10" s="256" t="s">
        <v>455</v>
      </c>
      <c r="J10" s="139"/>
      <c r="K10" s="139"/>
      <c r="L10" s="139"/>
      <c r="M10" s="139"/>
      <c r="N10" s="351">
        <v>15</v>
      </c>
      <c r="O10" s="351">
        <v>12</v>
      </c>
      <c r="P10" s="351">
        <v>10</v>
      </c>
      <c r="Q10" s="351">
        <v>14</v>
      </c>
      <c r="R10" s="351">
        <v>11</v>
      </c>
      <c r="S10" s="558">
        <v>13</v>
      </c>
      <c r="T10" s="204"/>
      <c r="U10" s="204"/>
      <c r="W10" s="372" t="s">
        <v>509</v>
      </c>
      <c r="X10" s="257" t="s">
        <v>305</v>
      </c>
      <c r="Y10" s="257"/>
    </row>
    <row r="11" spans="1:25" ht="15.5">
      <c r="A11" s="1650" t="s">
        <v>838</v>
      </c>
      <c r="B11" s="1651"/>
      <c r="C11" s="1651"/>
      <c r="D11" s="1651"/>
      <c r="E11" s="1651"/>
      <c r="F11" s="1652"/>
      <c r="H11" s="351">
        <v>32</v>
      </c>
      <c r="I11" s="256" t="s">
        <v>454</v>
      </c>
      <c r="J11" s="139"/>
      <c r="K11" s="188"/>
      <c r="L11" s="139"/>
      <c r="M11" s="139"/>
      <c r="N11" s="351">
        <v>15</v>
      </c>
      <c r="O11" s="351">
        <v>12</v>
      </c>
      <c r="P11" s="351">
        <v>10</v>
      </c>
      <c r="Q11" s="351">
        <v>14</v>
      </c>
      <c r="R11" s="351">
        <v>11</v>
      </c>
      <c r="S11" s="558">
        <v>13</v>
      </c>
      <c r="T11" s="204"/>
      <c r="U11" s="204"/>
      <c r="W11" s="372" t="s">
        <v>510</v>
      </c>
      <c r="X11" s="257" t="s">
        <v>305</v>
      </c>
      <c r="Y11" s="257"/>
    </row>
    <row r="12" spans="1:25" ht="15.5">
      <c r="A12" s="375" t="s">
        <v>386</v>
      </c>
      <c r="B12" s="375" t="s">
        <v>416</v>
      </c>
      <c r="C12" s="283" t="s">
        <v>305</v>
      </c>
      <c r="D12" s="283" t="s">
        <v>429</v>
      </c>
      <c r="E12" s="283" t="s">
        <v>305</v>
      </c>
      <c r="F12" s="283" t="s">
        <v>384</v>
      </c>
      <c r="H12" s="351">
        <v>9</v>
      </c>
      <c r="I12" s="256" t="s">
        <v>243</v>
      </c>
      <c r="J12" s="139"/>
      <c r="K12" s="139"/>
      <c r="L12" s="139"/>
      <c r="M12" s="139"/>
      <c r="N12" s="351">
        <v>15</v>
      </c>
      <c r="O12" s="351">
        <v>12</v>
      </c>
      <c r="P12" s="351">
        <v>10</v>
      </c>
      <c r="Q12" s="351">
        <v>14</v>
      </c>
      <c r="R12" s="351">
        <v>11</v>
      </c>
      <c r="S12" s="558">
        <v>13</v>
      </c>
      <c r="T12" s="204"/>
      <c r="U12" s="204"/>
      <c r="W12" s="372" t="s">
        <v>511</v>
      </c>
      <c r="X12" s="257" t="s">
        <v>305</v>
      </c>
      <c r="Y12" s="257"/>
    </row>
    <row r="13" spans="1:25" ht="15.5">
      <c r="A13" s="434" t="s">
        <v>843</v>
      </c>
      <c r="B13" s="375" t="s">
        <v>632</v>
      </c>
      <c r="C13" s="283" t="s">
        <v>388</v>
      </c>
      <c r="D13" s="283"/>
      <c r="E13" s="283" t="s">
        <v>305</v>
      </c>
      <c r="F13" s="139"/>
      <c r="H13" s="351">
        <v>12</v>
      </c>
      <c r="I13" s="256" t="s">
        <v>244</v>
      </c>
      <c r="J13" s="188"/>
      <c r="K13" s="282"/>
      <c r="L13" s="139"/>
      <c r="M13" s="139"/>
      <c r="N13" s="351">
        <v>15</v>
      </c>
      <c r="O13" s="351">
        <v>12</v>
      </c>
      <c r="P13" s="351">
        <v>10</v>
      </c>
      <c r="Q13" s="351">
        <v>14</v>
      </c>
      <c r="R13" s="351">
        <v>11</v>
      </c>
      <c r="S13" s="558">
        <v>13</v>
      </c>
      <c r="T13" s="204"/>
      <c r="U13" s="204"/>
      <c r="W13" s="372" t="s">
        <v>512</v>
      </c>
      <c r="X13" s="257" t="s">
        <v>305</v>
      </c>
      <c r="Y13" s="257"/>
    </row>
    <row r="14" spans="1:25" ht="15.5">
      <c r="A14" s="1640" t="s">
        <v>389</v>
      </c>
      <c r="B14" s="1640"/>
      <c r="C14" s="1640"/>
      <c r="D14" s="1640"/>
      <c r="E14" s="1640"/>
      <c r="F14" s="1640"/>
      <c r="H14" s="351" t="s">
        <v>303</v>
      </c>
      <c r="I14" s="256" t="s">
        <v>396</v>
      </c>
      <c r="J14" s="139"/>
      <c r="K14" s="139"/>
      <c r="L14" s="139"/>
      <c r="M14" s="139"/>
      <c r="N14" s="351">
        <v>15</v>
      </c>
      <c r="O14" s="351">
        <v>12</v>
      </c>
      <c r="P14" s="351">
        <v>10</v>
      </c>
      <c r="Q14" s="351">
        <v>14</v>
      </c>
      <c r="R14" s="351">
        <v>11</v>
      </c>
      <c r="S14" s="558">
        <v>13</v>
      </c>
      <c r="T14" s="204"/>
      <c r="U14" s="204"/>
      <c r="W14" s="372" t="s">
        <v>281</v>
      </c>
      <c r="X14" s="257"/>
      <c r="Y14" s="257" t="s">
        <v>305</v>
      </c>
    </row>
    <row r="15" spans="1:25" ht="15.5">
      <c r="A15" s="375" t="s">
        <v>459</v>
      </c>
      <c r="B15" s="375" t="s">
        <v>433</v>
      </c>
      <c r="C15" s="283" t="s">
        <v>305</v>
      </c>
      <c r="D15" s="283"/>
      <c r="E15" s="283" t="s">
        <v>305</v>
      </c>
      <c r="F15" s="283" t="s">
        <v>384</v>
      </c>
      <c r="H15" s="351" t="s">
        <v>679</v>
      </c>
      <c r="I15" s="256" t="s">
        <v>397</v>
      </c>
      <c r="J15" s="139"/>
      <c r="K15" s="139"/>
      <c r="L15" s="139"/>
      <c r="M15" s="139"/>
      <c r="N15" s="351">
        <v>15</v>
      </c>
      <c r="O15" s="351">
        <v>12</v>
      </c>
      <c r="P15" s="351">
        <v>10</v>
      </c>
      <c r="Q15" s="351">
        <v>14</v>
      </c>
      <c r="R15" s="351">
        <v>11</v>
      </c>
      <c r="S15" s="558">
        <v>13</v>
      </c>
      <c r="T15" s="204"/>
      <c r="U15" s="204"/>
      <c r="W15" s="1644" t="s">
        <v>519</v>
      </c>
      <c r="X15" s="1644"/>
      <c r="Y15" s="1644"/>
    </row>
    <row r="16" spans="1:25" ht="15.5">
      <c r="A16" s="375" t="s">
        <v>460</v>
      </c>
      <c r="B16" s="375" t="s">
        <v>433</v>
      </c>
      <c r="C16" s="283"/>
      <c r="D16" s="283"/>
      <c r="E16" s="283" t="s">
        <v>305</v>
      </c>
      <c r="F16" s="283" t="s">
        <v>384</v>
      </c>
      <c r="H16" s="351">
        <v>34</v>
      </c>
      <c r="I16" s="256" t="s">
        <v>457</v>
      </c>
      <c r="J16" s="139"/>
      <c r="K16" s="139"/>
      <c r="L16" s="139"/>
      <c r="M16" s="139"/>
      <c r="N16" s="351">
        <v>15</v>
      </c>
      <c r="O16" s="351">
        <v>12</v>
      </c>
      <c r="P16" s="351">
        <v>10</v>
      </c>
      <c r="Q16" s="351">
        <v>14</v>
      </c>
      <c r="R16" s="351">
        <v>11</v>
      </c>
      <c r="S16" s="558">
        <v>13</v>
      </c>
      <c r="T16" s="204"/>
      <c r="U16" s="204"/>
      <c r="W16" s="372" t="s">
        <v>530</v>
      </c>
      <c r="X16" s="188"/>
      <c r="Y16" s="257" t="s">
        <v>305</v>
      </c>
    </row>
    <row r="17" spans="1:25" ht="15.5">
      <c r="A17" s="375" t="s">
        <v>214</v>
      </c>
      <c r="B17" s="375" t="s">
        <v>435</v>
      </c>
      <c r="C17" s="283" t="s">
        <v>439</v>
      </c>
      <c r="D17" s="139"/>
      <c r="E17" s="139"/>
      <c r="F17" s="139"/>
      <c r="H17" s="351">
        <v>18</v>
      </c>
      <c r="I17" s="256" t="s">
        <v>347</v>
      </c>
      <c r="J17" s="139"/>
      <c r="K17" s="139"/>
      <c r="L17" s="188"/>
      <c r="M17" s="188"/>
      <c r="N17" s="351">
        <v>15</v>
      </c>
      <c r="O17" s="351">
        <v>12</v>
      </c>
      <c r="P17" s="351">
        <v>10</v>
      </c>
      <c r="Q17" s="351">
        <v>14</v>
      </c>
      <c r="R17" s="351">
        <v>11</v>
      </c>
      <c r="S17" s="558">
        <v>13</v>
      </c>
      <c r="T17" s="204"/>
      <c r="U17" s="204"/>
      <c r="W17" s="310" t="s">
        <v>515</v>
      </c>
      <c r="X17" s="188"/>
      <c r="Y17" s="257" t="s">
        <v>305</v>
      </c>
    </row>
    <row r="18" spans="1:25" ht="15.5">
      <c r="A18" s="375" t="s">
        <v>434</v>
      </c>
      <c r="B18" s="375" t="s">
        <v>436</v>
      </c>
      <c r="C18" s="283" t="s">
        <v>439</v>
      </c>
      <c r="D18" s="139"/>
      <c r="E18" s="139"/>
      <c r="F18" s="139"/>
      <c r="H18" s="351" t="s">
        <v>266</v>
      </c>
      <c r="I18" s="256" t="s">
        <v>254</v>
      </c>
      <c r="J18" s="139"/>
      <c r="K18" s="139"/>
      <c r="L18" s="139"/>
      <c r="M18" s="139"/>
      <c r="N18" s="351">
        <v>15</v>
      </c>
      <c r="O18" s="351">
        <v>12</v>
      </c>
      <c r="P18" s="351">
        <v>10</v>
      </c>
      <c r="Q18" s="351">
        <v>14</v>
      </c>
      <c r="R18" s="351">
        <v>11</v>
      </c>
      <c r="S18" s="558">
        <v>13</v>
      </c>
      <c r="T18" s="204"/>
      <c r="U18" s="204"/>
      <c r="W18" s="403" t="s">
        <v>925</v>
      </c>
      <c r="X18" s="232" t="s">
        <v>305</v>
      </c>
      <c r="Y18" s="204"/>
    </row>
    <row r="19" spans="1:25" ht="15.5">
      <c r="A19" s="375" t="s">
        <v>216</v>
      </c>
      <c r="B19" s="375" t="s">
        <v>437</v>
      </c>
      <c r="C19" s="283" t="s">
        <v>439</v>
      </c>
      <c r="D19" s="139"/>
      <c r="E19" s="139"/>
      <c r="F19" s="139"/>
      <c r="H19" s="351">
        <v>35</v>
      </c>
      <c r="I19" s="375" t="s">
        <v>406</v>
      </c>
      <c r="J19" s="139"/>
      <c r="K19" s="139"/>
      <c r="L19" s="282"/>
      <c r="M19" s="282"/>
      <c r="N19" s="351">
        <v>15</v>
      </c>
      <c r="O19" s="351">
        <v>12</v>
      </c>
      <c r="P19" s="351">
        <v>10</v>
      </c>
      <c r="Q19" s="351">
        <v>14</v>
      </c>
      <c r="R19" s="351">
        <v>11</v>
      </c>
      <c r="S19" s="558">
        <v>13</v>
      </c>
      <c r="T19" s="204"/>
      <c r="U19" s="204"/>
      <c r="W19" s="310" t="s">
        <v>516</v>
      </c>
      <c r="X19" s="303" t="s">
        <v>305</v>
      </c>
      <c r="Y19" s="257"/>
    </row>
    <row r="20" spans="1:25" ht="15.5">
      <c r="A20" s="375" t="s">
        <v>217</v>
      </c>
      <c r="B20" s="375" t="s">
        <v>438</v>
      </c>
      <c r="C20" s="283" t="s">
        <v>439</v>
      </c>
      <c r="D20" s="283"/>
      <c r="E20" s="283"/>
      <c r="F20" s="283"/>
      <c r="H20" s="351">
        <v>50</v>
      </c>
      <c r="I20" s="375" t="s">
        <v>405</v>
      </c>
      <c r="J20" s="139"/>
      <c r="K20" s="139"/>
      <c r="L20" s="139"/>
      <c r="M20" s="139"/>
      <c r="N20" s="351">
        <v>15</v>
      </c>
      <c r="O20" s="351">
        <v>12</v>
      </c>
      <c r="P20" s="351">
        <v>10</v>
      </c>
      <c r="Q20" s="351">
        <v>14</v>
      </c>
      <c r="R20" s="351">
        <v>11</v>
      </c>
      <c r="S20" s="558">
        <v>13</v>
      </c>
      <c r="T20" s="204"/>
      <c r="U20" s="204"/>
      <c r="W20" s="372" t="s">
        <v>513</v>
      </c>
      <c r="X20" s="188"/>
      <c r="Y20" s="257" t="s">
        <v>305</v>
      </c>
    </row>
    <row r="21" spans="1:25" ht="15.5">
      <c r="A21" s="1640" t="s">
        <v>839</v>
      </c>
      <c r="B21" s="1640"/>
      <c r="C21" s="1640"/>
      <c r="D21" s="1640"/>
      <c r="E21" s="1640"/>
      <c r="F21" s="1640"/>
      <c r="H21" s="1659" t="s">
        <v>861</v>
      </c>
      <c r="I21" s="1660"/>
      <c r="J21" s="1660"/>
      <c r="K21" s="1660"/>
      <c r="L21" s="1660"/>
      <c r="M21" s="1660"/>
      <c r="N21" s="1660"/>
      <c r="O21" s="1660"/>
      <c r="P21" s="1660"/>
      <c r="Q21" s="1660"/>
      <c r="R21" s="1660"/>
      <c r="S21" s="1660"/>
      <c r="T21" s="1660"/>
      <c r="U21" s="1661"/>
      <c r="W21" s="372" t="s">
        <v>517</v>
      </c>
      <c r="X21" s="188"/>
      <c r="Y21" s="257" t="s">
        <v>305</v>
      </c>
    </row>
    <row r="22" spans="1:25" ht="15.5">
      <c r="A22" s="375" t="s">
        <v>390</v>
      </c>
      <c r="B22" s="375" t="s">
        <v>391</v>
      </c>
      <c r="C22" s="283" t="s">
        <v>305</v>
      </c>
      <c r="D22" s="283"/>
      <c r="E22" s="283"/>
      <c r="F22" s="283" t="s">
        <v>392</v>
      </c>
      <c r="H22" s="375" t="s">
        <v>222</v>
      </c>
      <c r="I22" s="375" t="s">
        <v>408</v>
      </c>
      <c r="J22" s="440"/>
      <c r="K22" s="440"/>
      <c r="L22" s="440"/>
      <c r="M22" s="440"/>
      <c r="N22" s="440"/>
      <c r="O22" s="351">
        <v>13</v>
      </c>
      <c r="P22" s="351">
        <v>11</v>
      </c>
      <c r="Q22" s="351">
        <v>15</v>
      </c>
      <c r="R22" s="351">
        <v>12</v>
      </c>
      <c r="S22" s="204"/>
      <c r="T22" s="204"/>
      <c r="U22" s="204"/>
      <c r="W22" s="372" t="s">
        <v>514</v>
      </c>
      <c r="X22" s="188"/>
      <c r="Y22" s="257" t="s">
        <v>305</v>
      </c>
    </row>
    <row r="23" spans="1:25" ht="15.5">
      <c r="A23" s="375" t="s">
        <v>225</v>
      </c>
      <c r="B23" s="375" t="s">
        <v>393</v>
      </c>
      <c r="C23" s="283"/>
      <c r="D23" s="283"/>
      <c r="E23" s="283" t="s">
        <v>305</v>
      </c>
      <c r="F23" s="283"/>
      <c r="H23" s="375" t="s">
        <v>224</v>
      </c>
      <c r="I23" s="375" t="s">
        <v>409</v>
      </c>
      <c r="J23" s="441"/>
      <c r="K23" s="441"/>
      <c r="L23" s="441"/>
      <c r="M23" s="441"/>
      <c r="N23" s="441"/>
      <c r="O23" s="351">
        <v>13</v>
      </c>
      <c r="P23" s="351">
        <v>11</v>
      </c>
      <c r="Q23" s="351">
        <v>15</v>
      </c>
      <c r="R23" s="351">
        <v>12</v>
      </c>
      <c r="S23" s="204"/>
      <c r="T23" s="204"/>
      <c r="U23" s="204"/>
    </row>
    <row r="24" spans="1:25" ht="15.5">
      <c r="A24" s="375" t="s">
        <v>458</v>
      </c>
      <c r="B24" s="375" t="s">
        <v>394</v>
      </c>
      <c r="C24" s="283"/>
      <c r="D24" s="283"/>
      <c r="E24" s="283" t="s">
        <v>305</v>
      </c>
      <c r="F24" s="283"/>
      <c r="H24" s="373" t="s">
        <v>653</v>
      </c>
      <c r="I24" s="374" t="s">
        <v>858</v>
      </c>
      <c r="J24" s="442"/>
      <c r="K24" s="442"/>
      <c r="L24" s="442"/>
      <c r="M24" s="442"/>
      <c r="N24" s="442"/>
      <c r="O24" s="351">
        <v>13</v>
      </c>
      <c r="P24" s="351">
        <v>11</v>
      </c>
      <c r="Q24" s="351">
        <v>15</v>
      </c>
      <c r="R24" s="351">
        <v>12</v>
      </c>
      <c r="S24" s="204"/>
      <c r="T24" s="204"/>
      <c r="U24" s="204"/>
    </row>
    <row r="25" spans="1:25" ht="15.5">
      <c r="A25" s="430" t="s">
        <v>681</v>
      </c>
      <c r="B25" s="431"/>
      <c r="C25" s="431"/>
      <c r="D25" s="431"/>
      <c r="E25" s="431"/>
      <c r="F25" s="431"/>
      <c r="H25" s="374" t="s">
        <v>655</v>
      </c>
      <c r="I25" s="374" t="s">
        <v>859</v>
      </c>
      <c r="J25" s="440"/>
      <c r="K25" s="440"/>
      <c r="L25" s="440"/>
      <c r="M25" s="440"/>
      <c r="N25" s="440"/>
      <c r="O25" s="351">
        <v>13</v>
      </c>
      <c r="P25" s="351">
        <v>11</v>
      </c>
      <c r="Q25" s="351">
        <v>15</v>
      </c>
      <c r="R25" s="351">
        <v>12</v>
      </c>
      <c r="S25" s="204"/>
      <c r="T25" s="204"/>
      <c r="U25" s="204"/>
    </row>
    <row r="26" spans="1:25" ht="15.5">
      <c r="A26" s="375" t="s">
        <v>870</v>
      </c>
      <c r="B26" s="375" t="s">
        <v>871</v>
      </c>
      <c r="C26" s="283" t="s">
        <v>305</v>
      </c>
      <c r="D26" s="283" t="s">
        <v>305</v>
      </c>
      <c r="E26" s="283" t="s">
        <v>305</v>
      </c>
      <c r="F26" s="283" t="s">
        <v>384</v>
      </c>
      <c r="H26" s="1641" t="s">
        <v>860</v>
      </c>
      <c r="I26" s="1642"/>
      <c r="J26" s="1642"/>
      <c r="K26" s="1642"/>
      <c r="L26" s="1642"/>
      <c r="M26" s="1642"/>
      <c r="N26" s="1642"/>
      <c r="O26" s="1642"/>
      <c r="P26" s="1642"/>
      <c r="Q26" s="1642"/>
      <c r="R26" s="1642"/>
      <c r="S26" s="1642"/>
      <c r="T26" s="1642"/>
      <c r="U26" s="1643"/>
    </row>
    <row r="27" spans="1:25" ht="15.5">
      <c r="A27" s="375" t="s">
        <v>226</v>
      </c>
      <c r="B27" s="375" t="s">
        <v>242</v>
      </c>
      <c r="C27" s="283" t="s">
        <v>916</v>
      </c>
      <c r="D27" s="283" t="s">
        <v>305</v>
      </c>
      <c r="E27" s="283" t="s">
        <v>305</v>
      </c>
      <c r="F27" s="283"/>
      <c r="H27" s="375" t="s">
        <v>417</v>
      </c>
      <c r="I27" s="375" t="s">
        <v>422</v>
      </c>
      <c r="J27" s="351">
        <v>8</v>
      </c>
      <c r="K27" s="351">
        <v>10</v>
      </c>
      <c r="L27" s="351">
        <v>24</v>
      </c>
      <c r="M27" s="351">
        <v>21</v>
      </c>
      <c r="N27" s="351">
        <v>15</v>
      </c>
      <c r="O27" s="351">
        <v>16</v>
      </c>
      <c r="P27" s="351">
        <v>21</v>
      </c>
      <c r="Q27" s="351">
        <v>18</v>
      </c>
      <c r="R27" s="351">
        <v>22</v>
      </c>
      <c r="S27" s="351">
        <v>20</v>
      </c>
      <c r="T27" s="351">
        <v>17</v>
      </c>
      <c r="U27" s="351">
        <v>8</v>
      </c>
    </row>
    <row r="28" spans="1:25" ht="15.5">
      <c r="A28" s="436" t="s">
        <v>534</v>
      </c>
      <c r="B28" s="375" t="s">
        <v>242</v>
      </c>
      <c r="C28" s="283" t="s">
        <v>305</v>
      </c>
      <c r="D28" s="283"/>
      <c r="E28" s="283"/>
      <c r="F28" s="283"/>
      <c r="H28" s="375" t="s">
        <v>418</v>
      </c>
      <c r="I28" s="375" t="s">
        <v>419</v>
      </c>
      <c r="J28" s="351">
        <v>8</v>
      </c>
      <c r="K28" s="351">
        <v>10</v>
      </c>
      <c r="L28" s="351">
        <v>24</v>
      </c>
      <c r="M28" s="351">
        <v>21</v>
      </c>
      <c r="N28" s="351">
        <v>15</v>
      </c>
      <c r="O28" s="351">
        <v>16</v>
      </c>
      <c r="P28" s="351">
        <v>21</v>
      </c>
      <c r="Q28" s="351">
        <v>18</v>
      </c>
      <c r="R28" s="351">
        <v>22</v>
      </c>
      <c r="S28" s="351">
        <v>20</v>
      </c>
      <c r="T28" s="351">
        <v>17</v>
      </c>
      <c r="U28" s="351">
        <v>8</v>
      </c>
    </row>
    <row r="29" spans="1:25" ht="15.5">
      <c r="A29" s="375" t="s">
        <v>227</v>
      </c>
      <c r="B29" s="375" t="s">
        <v>243</v>
      </c>
      <c r="C29" s="283" t="s">
        <v>305</v>
      </c>
      <c r="D29" s="283" t="s">
        <v>305</v>
      </c>
      <c r="E29" s="283" t="s">
        <v>305</v>
      </c>
      <c r="F29" s="283"/>
      <c r="H29" s="375" t="s">
        <v>420</v>
      </c>
      <c r="I29" s="375" t="s">
        <v>421</v>
      </c>
      <c r="J29" s="351">
        <v>8</v>
      </c>
      <c r="K29" s="351">
        <v>10</v>
      </c>
      <c r="L29" s="351">
        <v>24</v>
      </c>
      <c r="M29" s="351">
        <v>21</v>
      </c>
      <c r="N29" s="351">
        <v>15</v>
      </c>
      <c r="O29" s="351">
        <v>16</v>
      </c>
      <c r="P29" s="351">
        <v>21</v>
      </c>
      <c r="Q29" s="351">
        <v>18</v>
      </c>
      <c r="R29" s="351">
        <v>22</v>
      </c>
      <c r="S29" s="351">
        <v>20</v>
      </c>
      <c r="T29" s="351">
        <v>17</v>
      </c>
      <c r="U29" s="351">
        <v>8</v>
      </c>
    </row>
    <row r="30" spans="1:25" ht="15.5">
      <c r="A30" s="375" t="s">
        <v>228</v>
      </c>
      <c r="B30" s="375" t="s">
        <v>244</v>
      </c>
      <c r="C30" s="283" t="s">
        <v>305</v>
      </c>
      <c r="D30" s="283" t="s">
        <v>305</v>
      </c>
      <c r="E30" s="283" t="s">
        <v>305</v>
      </c>
      <c r="F30" s="283"/>
      <c r="H30" s="416" t="s">
        <v>423</v>
      </c>
      <c r="I30" s="416" t="s">
        <v>424</v>
      </c>
      <c r="J30" s="351">
        <v>8</v>
      </c>
      <c r="K30" s="351">
        <v>10</v>
      </c>
      <c r="L30" s="351">
        <v>24</v>
      </c>
      <c r="M30" s="351">
        <v>21</v>
      </c>
      <c r="N30" s="351">
        <v>15</v>
      </c>
      <c r="O30" s="351">
        <v>16</v>
      </c>
      <c r="P30" s="351">
        <v>21</v>
      </c>
      <c r="Q30" s="351">
        <v>18</v>
      </c>
      <c r="R30" s="351">
        <v>22</v>
      </c>
      <c r="S30" s="351">
        <v>20</v>
      </c>
      <c r="T30" s="351">
        <v>17</v>
      </c>
      <c r="U30" s="351">
        <v>8</v>
      </c>
    </row>
    <row r="31" spans="1:25" ht="15.5">
      <c r="A31" s="375" t="s">
        <v>229</v>
      </c>
      <c r="B31" s="375" t="s">
        <v>396</v>
      </c>
      <c r="C31" s="283" t="s">
        <v>305</v>
      </c>
      <c r="D31" s="283" t="s">
        <v>305</v>
      </c>
      <c r="E31" s="283" t="s">
        <v>388</v>
      </c>
      <c r="F31" s="283"/>
      <c r="H31" s="1638" t="s">
        <v>862</v>
      </c>
      <c r="I31" s="1638"/>
      <c r="J31" s="1638"/>
      <c r="K31" s="1638"/>
      <c r="L31" s="1638"/>
      <c r="M31" s="1638"/>
      <c r="N31" s="1638"/>
      <c r="O31" s="1638"/>
      <c r="P31" s="1638"/>
      <c r="Q31" s="1638"/>
      <c r="R31" s="1638"/>
      <c r="S31" s="1638"/>
      <c r="T31" s="1638"/>
      <c r="U31" s="1638"/>
    </row>
    <row r="32" spans="1:25" ht="15.5">
      <c r="A32" s="375" t="s">
        <v>872</v>
      </c>
      <c r="B32" s="375" t="s">
        <v>873</v>
      </c>
      <c r="C32" s="283" t="s">
        <v>305</v>
      </c>
      <c r="D32" s="283" t="s">
        <v>430</v>
      </c>
      <c r="E32" s="283" t="s">
        <v>305</v>
      </c>
      <c r="F32" s="283" t="s">
        <v>384</v>
      </c>
      <c r="H32" s="438" t="s">
        <v>401</v>
      </c>
      <c r="I32" s="438" t="s">
        <v>402</v>
      </c>
      <c r="J32" s="351"/>
      <c r="K32" s="351">
        <v>10</v>
      </c>
      <c r="L32" s="351"/>
      <c r="M32" s="351">
        <v>21</v>
      </c>
      <c r="N32" s="351"/>
      <c r="O32" s="351">
        <v>16</v>
      </c>
      <c r="P32" s="351"/>
      <c r="Q32" s="351">
        <v>18</v>
      </c>
      <c r="R32" s="351"/>
      <c r="S32" s="351">
        <v>20</v>
      </c>
      <c r="T32" s="351"/>
      <c r="U32" s="351">
        <v>8</v>
      </c>
    </row>
    <row r="33" spans="1:21" ht="15.5">
      <c r="A33" s="434" t="s">
        <v>851</v>
      </c>
      <c r="B33" s="375" t="s">
        <v>280</v>
      </c>
      <c r="C33" s="283"/>
      <c r="D33" s="283"/>
      <c r="E33" s="283" t="s">
        <v>305</v>
      </c>
      <c r="F33" s="283"/>
      <c r="H33" s="375" t="s">
        <v>403</v>
      </c>
      <c r="I33" s="375" t="s">
        <v>404</v>
      </c>
      <c r="J33" s="351"/>
      <c r="K33" s="351">
        <v>10</v>
      </c>
      <c r="L33" s="351"/>
      <c r="M33" s="351">
        <v>21</v>
      </c>
      <c r="N33" s="351"/>
      <c r="O33" s="351">
        <v>16</v>
      </c>
      <c r="P33" s="351"/>
      <c r="Q33" s="351">
        <v>18</v>
      </c>
      <c r="R33" s="351"/>
      <c r="S33" s="351">
        <v>20</v>
      </c>
      <c r="T33" s="351"/>
      <c r="U33" s="351">
        <v>8</v>
      </c>
    </row>
    <row r="34" spans="1:21" ht="15.5">
      <c r="A34" s="434" t="s">
        <v>613</v>
      </c>
      <c r="B34" s="375" t="s">
        <v>852</v>
      </c>
      <c r="C34" s="283" t="s">
        <v>305</v>
      </c>
      <c r="D34" s="283"/>
      <c r="E34" s="283" t="s">
        <v>398</v>
      </c>
      <c r="F34" s="283"/>
      <c r="H34" s="1638" t="s">
        <v>285</v>
      </c>
      <c r="I34" s="1638"/>
      <c r="J34" s="1638"/>
      <c r="K34" s="1638"/>
      <c r="L34" s="1638"/>
      <c r="M34" s="1638"/>
      <c r="N34" s="1638"/>
      <c r="O34" s="1638"/>
      <c r="P34" s="1638"/>
      <c r="Q34" s="1638"/>
      <c r="R34" s="1638"/>
      <c r="S34" s="1638"/>
      <c r="T34" s="1638"/>
      <c r="U34" s="1638"/>
    </row>
    <row r="35" spans="1:21" ht="15.5">
      <c r="A35" s="434" t="s">
        <v>614</v>
      </c>
      <c r="B35" s="375" t="s">
        <v>538</v>
      </c>
      <c r="C35" s="283" t="s">
        <v>305</v>
      </c>
      <c r="D35" s="283"/>
      <c r="E35" s="283" t="s">
        <v>398</v>
      </c>
      <c r="F35" s="283"/>
      <c r="H35" s="375" t="s">
        <v>225</v>
      </c>
      <c r="I35" s="375" t="s">
        <v>393</v>
      </c>
      <c r="J35" s="351"/>
      <c r="K35" s="351"/>
      <c r="L35" s="351"/>
      <c r="M35" s="351"/>
      <c r="N35" s="351">
        <v>14</v>
      </c>
      <c r="O35" s="351">
        <v>16</v>
      </c>
      <c r="P35" s="351">
        <v>21</v>
      </c>
      <c r="Q35" s="351">
        <v>18</v>
      </c>
      <c r="R35" s="351">
        <v>22</v>
      </c>
      <c r="S35" s="351">
        <v>20</v>
      </c>
      <c r="T35" s="351"/>
      <c r="U35" s="351"/>
    </row>
    <row r="36" spans="1:21" ht="15.5">
      <c r="A36" s="434" t="s">
        <v>615</v>
      </c>
      <c r="B36" s="375" t="s">
        <v>537</v>
      </c>
      <c r="C36" s="283" t="s">
        <v>305</v>
      </c>
      <c r="D36" s="283"/>
      <c r="E36" s="283" t="s">
        <v>398</v>
      </c>
      <c r="F36" s="283"/>
      <c r="H36" s="375" t="s">
        <v>458</v>
      </c>
      <c r="I36" s="375" t="s">
        <v>394</v>
      </c>
      <c r="J36" s="351"/>
      <c r="K36" s="351"/>
      <c r="L36" s="351"/>
      <c r="M36" s="351"/>
      <c r="N36" s="351">
        <v>14</v>
      </c>
      <c r="O36" s="351">
        <v>16</v>
      </c>
      <c r="P36" s="351">
        <v>21</v>
      </c>
      <c r="Q36" s="351">
        <v>18</v>
      </c>
      <c r="R36" s="351">
        <v>22</v>
      </c>
      <c r="S36" s="351">
        <v>20</v>
      </c>
      <c r="T36" s="351"/>
      <c r="U36" s="351"/>
    </row>
    <row r="37" spans="1:21" ht="15.5">
      <c r="A37" s="1640" t="s">
        <v>840</v>
      </c>
      <c r="B37" s="1640"/>
      <c r="C37" s="1640"/>
      <c r="D37" s="1640"/>
      <c r="E37" s="1640"/>
      <c r="F37" s="1640"/>
      <c r="H37" s="1638" t="s">
        <v>863</v>
      </c>
      <c r="I37" s="1638"/>
      <c r="J37" s="1638"/>
      <c r="K37" s="1638"/>
      <c r="L37" s="1638"/>
      <c r="M37" s="1638"/>
      <c r="N37" s="1638"/>
      <c r="O37" s="1638"/>
      <c r="P37" s="1638"/>
      <c r="Q37" s="1638"/>
      <c r="R37" s="1638"/>
      <c r="S37" s="1638"/>
      <c r="T37" s="1638"/>
      <c r="U37" s="1638"/>
    </row>
    <row r="38" spans="1:21" ht="15.5">
      <c r="A38" s="375" t="s">
        <v>399</v>
      </c>
      <c r="B38" s="375" t="s">
        <v>425</v>
      </c>
      <c r="C38" s="283" t="s">
        <v>305</v>
      </c>
      <c r="D38" s="283" t="s">
        <v>844</v>
      </c>
      <c r="E38" s="283" t="s">
        <v>305</v>
      </c>
      <c r="F38" s="283" t="s">
        <v>384</v>
      </c>
      <c r="H38" s="375" t="s">
        <v>386</v>
      </c>
      <c r="I38" s="375" t="s">
        <v>416</v>
      </c>
      <c r="J38" s="351">
        <v>8</v>
      </c>
      <c r="K38" s="351">
        <v>10</v>
      </c>
      <c r="L38" s="351">
        <v>24</v>
      </c>
      <c r="M38" s="351">
        <v>21</v>
      </c>
      <c r="N38" s="351">
        <v>19</v>
      </c>
      <c r="O38" s="351">
        <v>16</v>
      </c>
      <c r="P38" s="351" t="s">
        <v>865</v>
      </c>
      <c r="Q38" s="351" t="s">
        <v>866</v>
      </c>
      <c r="R38" s="351" t="s">
        <v>867</v>
      </c>
      <c r="S38" s="351">
        <v>20</v>
      </c>
      <c r="T38" s="351">
        <v>17</v>
      </c>
      <c r="U38" s="351">
        <v>8</v>
      </c>
    </row>
    <row r="39" spans="1:21" ht="15.5">
      <c r="A39" s="1650" t="s">
        <v>682</v>
      </c>
      <c r="B39" s="1651"/>
      <c r="C39" s="1651"/>
      <c r="D39" s="1651"/>
      <c r="E39" s="1651"/>
      <c r="F39" s="1652"/>
      <c r="H39" s="375" t="s">
        <v>459</v>
      </c>
      <c r="I39" s="375" t="s">
        <v>433</v>
      </c>
      <c r="J39" s="351">
        <v>8</v>
      </c>
      <c r="K39" s="351">
        <v>10</v>
      </c>
      <c r="L39" s="351">
        <v>24</v>
      </c>
      <c r="M39" s="351">
        <v>21</v>
      </c>
      <c r="N39" s="351">
        <v>19</v>
      </c>
      <c r="O39" s="351">
        <v>16</v>
      </c>
      <c r="P39" s="351" t="s">
        <v>865</v>
      </c>
      <c r="Q39" s="351" t="s">
        <v>866</v>
      </c>
      <c r="R39" s="351" t="s">
        <v>867</v>
      </c>
      <c r="S39" s="351">
        <v>20</v>
      </c>
      <c r="T39" s="351">
        <v>17</v>
      </c>
      <c r="U39" s="351">
        <v>8</v>
      </c>
    </row>
    <row r="40" spans="1:21" ht="15.5">
      <c r="A40" s="375" t="s">
        <v>233</v>
      </c>
      <c r="B40" s="375" t="s">
        <v>400</v>
      </c>
      <c r="C40" s="283" t="s">
        <v>305</v>
      </c>
      <c r="D40" s="283" t="s">
        <v>305</v>
      </c>
      <c r="E40" s="283" t="s">
        <v>305</v>
      </c>
      <c r="F40" s="283" t="s">
        <v>384</v>
      </c>
      <c r="H40" s="375" t="s">
        <v>460</v>
      </c>
      <c r="I40" s="375" t="s">
        <v>433</v>
      </c>
      <c r="J40" s="351">
        <v>8</v>
      </c>
      <c r="K40" s="351">
        <v>10</v>
      </c>
      <c r="L40" s="351">
        <v>24</v>
      </c>
      <c r="M40" s="351">
        <v>21</v>
      </c>
      <c r="N40" s="351">
        <v>19</v>
      </c>
      <c r="O40" s="351">
        <v>16</v>
      </c>
      <c r="P40" s="351" t="s">
        <v>865</v>
      </c>
      <c r="Q40" s="351" t="s">
        <v>866</v>
      </c>
      <c r="R40" s="351" t="s">
        <v>867</v>
      </c>
      <c r="S40" s="351">
        <v>20</v>
      </c>
      <c r="T40" s="351">
        <v>17</v>
      </c>
      <c r="U40" s="351">
        <v>8</v>
      </c>
    </row>
    <row r="41" spans="1:21" ht="15.5">
      <c r="A41" s="434" t="s">
        <v>849</v>
      </c>
      <c r="B41" s="375" t="s">
        <v>461</v>
      </c>
      <c r="C41" s="139"/>
      <c r="D41" s="139"/>
      <c r="E41" s="283" t="s">
        <v>836</v>
      </c>
      <c r="F41" s="139"/>
      <c r="H41" s="375" t="s">
        <v>399</v>
      </c>
      <c r="I41" s="375" t="s">
        <v>864</v>
      </c>
      <c r="J41" s="351">
        <v>8</v>
      </c>
      <c r="K41" s="351">
        <v>10</v>
      </c>
      <c r="L41" s="351">
        <v>24</v>
      </c>
      <c r="M41" s="351">
        <v>21</v>
      </c>
      <c r="N41" s="351">
        <v>19</v>
      </c>
      <c r="O41" s="351">
        <v>16</v>
      </c>
      <c r="P41" s="351" t="s">
        <v>865</v>
      </c>
      <c r="Q41" s="351" t="s">
        <v>866</v>
      </c>
      <c r="R41" s="351" t="s">
        <v>867</v>
      </c>
      <c r="S41" s="351">
        <v>20</v>
      </c>
      <c r="T41" s="351">
        <v>17</v>
      </c>
      <c r="U41" s="351">
        <v>8</v>
      </c>
    </row>
    <row r="42" spans="1:21" ht="15.5">
      <c r="A42" s="1640" t="s">
        <v>841</v>
      </c>
      <c r="B42" s="1640"/>
      <c r="C42" s="1640"/>
      <c r="D42" s="1640"/>
      <c r="E42" s="1640"/>
      <c r="F42" s="1640"/>
      <c r="H42" s="375" t="s">
        <v>407</v>
      </c>
      <c r="I42" s="375" t="s">
        <v>432</v>
      </c>
      <c r="J42" s="351">
        <v>8</v>
      </c>
      <c r="K42" s="351">
        <v>10</v>
      </c>
      <c r="L42" s="351">
        <v>24</v>
      </c>
      <c r="M42" s="351">
        <v>21</v>
      </c>
      <c r="N42" s="351">
        <v>19</v>
      </c>
      <c r="O42" s="351">
        <v>16</v>
      </c>
      <c r="P42" s="351" t="s">
        <v>865</v>
      </c>
      <c r="Q42" s="351" t="s">
        <v>866</v>
      </c>
      <c r="R42" s="351" t="s">
        <v>867</v>
      </c>
      <c r="S42" s="351">
        <v>20</v>
      </c>
      <c r="T42" s="351">
        <v>17</v>
      </c>
      <c r="U42" s="351">
        <v>8</v>
      </c>
    </row>
    <row r="43" spans="1:21" ht="15.5">
      <c r="A43" s="375" t="s">
        <v>401</v>
      </c>
      <c r="B43" s="375" t="s">
        <v>402</v>
      </c>
      <c r="C43" s="283"/>
      <c r="D43" s="283" t="s">
        <v>305</v>
      </c>
      <c r="E43" s="283" t="s">
        <v>305</v>
      </c>
      <c r="F43" s="283"/>
      <c r="H43" s="1639" t="s">
        <v>868</v>
      </c>
      <c r="I43" s="1639"/>
      <c r="J43" s="1639"/>
      <c r="K43" s="1639"/>
      <c r="L43" s="1639"/>
      <c r="M43" s="1639"/>
      <c r="N43" s="1639"/>
      <c r="O43" s="1639"/>
      <c r="P43" s="1639"/>
      <c r="Q43" s="1639"/>
      <c r="R43" s="1639"/>
      <c r="S43" s="1639"/>
      <c r="T43" s="1639"/>
      <c r="U43" s="1639"/>
    </row>
    <row r="44" spans="1:21" ht="15.5">
      <c r="A44" s="375" t="s">
        <v>403</v>
      </c>
      <c r="B44" s="375" t="s">
        <v>404</v>
      </c>
      <c r="C44" s="283"/>
      <c r="D44" s="283" t="s">
        <v>305</v>
      </c>
      <c r="E44" s="283" t="s">
        <v>305</v>
      </c>
      <c r="F44" s="283" t="s">
        <v>384</v>
      </c>
      <c r="H44" s="334"/>
      <c r="I44" s="512" t="s">
        <v>869</v>
      </c>
      <c r="J44" s="351">
        <v>9</v>
      </c>
      <c r="K44" s="351"/>
      <c r="L44" s="351">
        <v>13</v>
      </c>
      <c r="M44" s="351"/>
      <c r="N44" s="351">
        <v>8</v>
      </c>
      <c r="O44" s="351"/>
      <c r="P44" s="351">
        <v>10</v>
      </c>
      <c r="Q44" s="351"/>
      <c r="R44" s="351">
        <v>11</v>
      </c>
      <c r="S44" s="351"/>
      <c r="T44" s="351">
        <v>13</v>
      </c>
      <c r="U44" s="334"/>
    </row>
    <row r="45" spans="1:21" ht="15.5">
      <c r="A45" s="434" t="s">
        <v>617</v>
      </c>
      <c r="B45" s="375" t="s">
        <v>512</v>
      </c>
      <c r="C45" s="283"/>
      <c r="D45" s="283"/>
      <c r="E45" s="283" t="s">
        <v>305</v>
      </c>
      <c r="F45" s="283"/>
    </row>
    <row r="46" spans="1:21" ht="15.5">
      <c r="A46" s="372" t="s">
        <v>456</v>
      </c>
      <c r="B46" s="375" t="s">
        <v>457</v>
      </c>
      <c r="C46" s="283" t="s">
        <v>305</v>
      </c>
      <c r="D46" s="283" t="s">
        <v>305</v>
      </c>
      <c r="E46" s="283" t="s">
        <v>305</v>
      </c>
      <c r="F46" s="139"/>
    </row>
    <row r="47" spans="1:21" ht="15.5">
      <c r="A47" s="1640" t="s">
        <v>842</v>
      </c>
      <c r="B47" s="1640"/>
      <c r="C47" s="1640"/>
      <c r="D47" s="1640"/>
      <c r="E47" s="1640"/>
      <c r="F47" s="1640"/>
    </row>
    <row r="48" spans="1:21" ht="15.5">
      <c r="A48" s="375" t="s">
        <v>235</v>
      </c>
      <c r="B48" s="375" t="s">
        <v>405</v>
      </c>
      <c r="C48" s="283" t="s">
        <v>305</v>
      </c>
      <c r="D48" s="283"/>
      <c r="E48" s="283" t="s">
        <v>305</v>
      </c>
      <c r="F48" s="283" t="s">
        <v>384</v>
      </c>
    </row>
    <row r="49" spans="1:6" ht="15.5">
      <c r="A49" s="375" t="s">
        <v>234</v>
      </c>
      <c r="B49" s="375" t="s">
        <v>406</v>
      </c>
      <c r="C49" s="283" t="s">
        <v>305</v>
      </c>
      <c r="D49" s="283" t="s">
        <v>431</v>
      </c>
      <c r="E49" s="283" t="s">
        <v>305</v>
      </c>
      <c r="F49" s="283" t="s">
        <v>384</v>
      </c>
    </row>
    <row r="50" spans="1:6" ht="15.5">
      <c r="A50" s="434" t="s">
        <v>874</v>
      </c>
      <c r="B50" s="375" t="s">
        <v>529</v>
      </c>
      <c r="C50" s="283"/>
      <c r="D50" s="283"/>
      <c r="E50" s="283" t="s">
        <v>305</v>
      </c>
      <c r="F50" s="283"/>
    </row>
    <row r="51" spans="1:6" ht="15.5">
      <c r="A51" s="375" t="s">
        <v>417</v>
      </c>
      <c r="B51" s="375" t="s">
        <v>422</v>
      </c>
      <c r="C51" s="283"/>
      <c r="D51" s="283" t="s">
        <v>305</v>
      </c>
      <c r="E51" s="283" t="s">
        <v>305</v>
      </c>
      <c r="F51" s="283"/>
    </row>
    <row r="52" spans="1:6" ht="15.5">
      <c r="A52" s="436" t="s">
        <v>535</v>
      </c>
      <c r="B52" s="375" t="s">
        <v>422</v>
      </c>
      <c r="C52" s="283" t="s">
        <v>305</v>
      </c>
      <c r="D52" s="283"/>
      <c r="E52" s="283"/>
      <c r="F52" s="283"/>
    </row>
    <row r="53" spans="1:6" ht="15.5">
      <c r="A53" s="375" t="s">
        <v>418</v>
      </c>
      <c r="B53" s="375" t="s">
        <v>419</v>
      </c>
      <c r="C53" s="283"/>
      <c r="D53" s="283" t="s">
        <v>305</v>
      </c>
      <c r="E53" s="283" t="s">
        <v>305</v>
      </c>
      <c r="F53" s="283"/>
    </row>
    <row r="54" spans="1:6" ht="15.5">
      <c r="A54" s="375" t="s">
        <v>420</v>
      </c>
      <c r="B54" s="375" t="s">
        <v>421</v>
      </c>
      <c r="C54" s="283"/>
      <c r="D54" s="283" t="s">
        <v>305</v>
      </c>
      <c r="E54" s="283" t="s">
        <v>305</v>
      </c>
      <c r="F54" s="283"/>
    </row>
    <row r="55" spans="1:6" ht="15.5">
      <c r="A55" s="416" t="s">
        <v>423</v>
      </c>
      <c r="B55" s="416" t="s">
        <v>424</v>
      </c>
      <c r="C55" s="139"/>
      <c r="D55" s="283" t="s">
        <v>305</v>
      </c>
      <c r="E55" s="283" t="s">
        <v>305</v>
      </c>
      <c r="F55" s="139"/>
    </row>
    <row r="56" spans="1:6" ht="15.5">
      <c r="A56" s="375" t="s">
        <v>837</v>
      </c>
      <c r="B56" s="375" t="s">
        <v>454</v>
      </c>
      <c r="C56" s="283" t="s">
        <v>305</v>
      </c>
      <c r="D56" s="283" t="s">
        <v>305</v>
      </c>
      <c r="E56" s="283" t="s">
        <v>305</v>
      </c>
      <c r="F56" s="139"/>
    </row>
    <row r="57" spans="1:6" ht="15.5">
      <c r="A57" s="282" t="s">
        <v>453</v>
      </c>
      <c r="B57" s="282" t="s">
        <v>455</v>
      </c>
      <c r="C57" s="283" t="s">
        <v>305</v>
      </c>
      <c r="D57" s="283" t="s">
        <v>305</v>
      </c>
      <c r="E57" s="283" t="s">
        <v>305</v>
      </c>
      <c r="F57" s="283"/>
    </row>
    <row r="58" spans="1:6" ht="15.5">
      <c r="A58" s="434" t="s">
        <v>853</v>
      </c>
      <c r="B58" s="375" t="s">
        <v>856</v>
      </c>
      <c r="C58" s="283" t="s">
        <v>305</v>
      </c>
      <c r="D58" s="283"/>
      <c r="E58" s="283" t="s">
        <v>398</v>
      </c>
      <c r="F58" s="283"/>
    </row>
    <row r="59" spans="1:6" ht="15">
      <c r="A59" s="1653" t="s">
        <v>251</v>
      </c>
      <c r="B59" s="1654"/>
      <c r="C59" s="1654"/>
      <c r="D59" s="1654"/>
      <c r="E59" s="1654"/>
      <c r="F59" s="1655"/>
    </row>
    <row r="60" spans="1:6" ht="15.5">
      <c r="A60" s="375" t="s">
        <v>407</v>
      </c>
      <c r="B60" s="375" t="s">
        <v>432</v>
      </c>
      <c r="C60" s="283" t="s">
        <v>305</v>
      </c>
      <c r="D60" s="283" t="s">
        <v>431</v>
      </c>
      <c r="E60" s="283" t="s">
        <v>305</v>
      </c>
      <c r="F60" s="283" t="s">
        <v>384</v>
      </c>
    </row>
    <row r="61" spans="1:6" ht="15.5">
      <c r="A61" s="435" t="s">
        <v>845</v>
      </c>
      <c r="B61" s="375" t="s">
        <v>530</v>
      </c>
      <c r="C61" s="283"/>
      <c r="D61" s="283"/>
      <c r="E61" s="283" t="s">
        <v>305</v>
      </c>
      <c r="F61" s="283"/>
    </row>
    <row r="62" spans="1:6" ht="15.5">
      <c r="A62" s="435" t="s">
        <v>846</v>
      </c>
      <c r="B62" s="375" t="s">
        <v>536</v>
      </c>
      <c r="C62" s="283"/>
      <c r="D62" s="283"/>
      <c r="E62" s="283" t="s">
        <v>305</v>
      </c>
      <c r="F62" s="283"/>
    </row>
    <row r="63" spans="1:6" ht="15.5">
      <c r="A63" s="435" t="s">
        <v>847</v>
      </c>
      <c r="B63" s="375" t="s">
        <v>514</v>
      </c>
      <c r="C63" s="283"/>
      <c r="D63" s="283"/>
      <c r="E63" s="283" t="s">
        <v>836</v>
      </c>
      <c r="F63" s="283"/>
    </row>
    <row r="64" spans="1:6" ht="15.5">
      <c r="A64" s="435" t="s">
        <v>848</v>
      </c>
      <c r="B64" s="375" t="s">
        <v>517</v>
      </c>
      <c r="C64" s="283"/>
      <c r="D64" s="283"/>
      <c r="E64" s="283" t="s">
        <v>836</v>
      </c>
      <c r="F64" s="283"/>
    </row>
    <row r="65" spans="1:6" ht="15.5">
      <c r="A65" s="375" t="s">
        <v>231</v>
      </c>
      <c r="B65" s="375" t="s">
        <v>347</v>
      </c>
      <c r="C65" s="283" t="s">
        <v>305</v>
      </c>
      <c r="D65" s="283" t="s">
        <v>305</v>
      </c>
      <c r="E65" s="283" t="s">
        <v>305</v>
      </c>
      <c r="F65" s="139"/>
    </row>
    <row r="66" spans="1:6" ht="15.5">
      <c r="A66" s="1640" t="s">
        <v>683</v>
      </c>
      <c r="B66" s="1640"/>
      <c r="C66" s="1640"/>
      <c r="D66" s="1640"/>
      <c r="E66" s="1640"/>
      <c r="F66" s="1640"/>
    </row>
    <row r="67" spans="1:6" ht="15.5">
      <c r="A67" s="433" t="s">
        <v>850</v>
      </c>
      <c r="B67" s="282" t="s">
        <v>515</v>
      </c>
      <c r="C67" s="432"/>
      <c r="D67" s="432"/>
      <c r="E67" s="432" t="s">
        <v>305</v>
      </c>
      <c r="F67" s="432"/>
    </row>
    <row r="68" spans="1:6" ht="15.5">
      <c r="A68" s="433" t="s">
        <v>857</v>
      </c>
      <c r="B68" s="282" t="s">
        <v>854</v>
      </c>
      <c r="C68" s="432"/>
      <c r="D68" s="432"/>
      <c r="E68" s="432" t="s">
        <v>305</v>
      </c>
      <c r="F68" s="432"/>
    </row>
    <row r="69" spans="1:6" ht="15.5">
      <c r="A69" s="433" t="s">
        <v>855</v>
      </c>
      <c r="B69" s="282" t="s">
        <v>516</v>
      </c>
      <c r="C69" s="432"/>
      <c r="D69" s="432"/>
      <c r="E69" s="432" t="s">
        <v>305</v>
      </c>
      <c r="F69" s="432"/>
    </row>
    <row r="70" spans="1:6" ht="15.5">
      <c r="A70" s="375" t="s">
        <v>232</v>
      </c>
      <c r="B70" s="375" t="s">
        <v>254</v>
      </c>
      <c r="C70" s="283" t="s">
        <v>305</v>
      </c>
      <c r="D70" s="283" t="s">
        <v>305</v>
      </c>
      <c r="E70" s="283" t="s">
        <v>305</v>
      </c>
      <c r="F70" s="283" t="s">
        <v>384</v>
      </c>
    </row>
    <row r="71" spans="1:6" ht="15.5">
      <c r="A71" s="1640" t="s">
        <v>684</v>
      </c>
      <c r="B71" s="1640"/>
      <c r="C71" s="1640"/>
      <c r="D71" s="1640"/>
      <c r="E71" s="1640"/>
      <c r="F71" s="1640"/>
    </row>
    <row r="72" spans="1:6" ht="15.5">
      <c r="A72" s="375" t="s">
        <v>222</v>
      </c>
      <c r="B72" s="375" t="s">
        <v>408</v>
      </c>
      <c r="C72" s="283"/>
      <c r="D72" s="283" t="s">
        <v>305</v>
      </c>
      <c r="E72" s="283" t="s">
        <v>305</v>
      </c>
      <c r="F72" s="283" t="s">
        <v>384</v>
      </c>
    </row>
    <row r="73" spans="1:6" ht="15.5">
      <c r="A73" s="375" t="s">
        <v>224</v>
      </c>
      <c r="B73" s="375" t="s">
        <v>409</v>
      </c>
      <c r="C73" s="283"/>
      <c r="D73" s="283" t="s">
        <v>305</v>
      </c>
      <c r="E73" s="283" t="s">
        <v>305</v>
      </c>
      <c r="F73" s="283" t="s">
        <v>384</v>
      </c>
    </row>
    <row r="74" spans="1:6" ht="15.5">
      <c r="A74" s="373" t="s">
        <v>653</v>
      </c>
      <c r="B74" s="374" t="s">
        <v>654</v>
      </c>
      <c r="C74" s="339"/>
      <c r="D74" s="339" t="s">
        <v>305</v>
      </c>
      <c r="E74" s="339" t="s">
        <v>305</v>
      </c>
      <c r="F74" s="339"/>
    </row>
    <row r="75" spans="1:6" ht="15.5">
      <c r="A75" s="374" t="s">
        <v>655</v>
      </c>
      <c r="B75" s="374" t="s">
        <v>656</v>
      </c>
      <c r="C75" s="429"/>
      <c r="D75" s="339" t="s">
        <v>305</v>
      </c>
      <c r="E75" s="339" t="s">
        <v>305</v>
      </c>
      <c r="F75" s="429"/>
    </row>
    <row r="76" spans="1:6" ht="15">
      <c r="A76" s="1640" t="s">
        <v>611</v>
      </c>
      <c r="B76" s="1640"/>
      <c r="C76" s="1640"/>
      <c r="D76" s="1640"/>
      <c r="E76" s="1640"/>
      <c r="F76" s="1640"/>
    </row>
    <row r="77" spans="1:6" ht="15.5">
      <c r="A77" s="375"/>
      <c r="B77" s="375" t="s">
        <v>612</v>
      </c>
      <c r="C77" s="283"/>
      <c r="D77" s="283"/>
      <c r="E77" s="283"/>
      <c r="F77" s="283"/>
    </row>
  </sheetData>
  <mergeCells count="23">
    <mergeCell ref="W4:Y4"/>
    <mergeCell ref="W15:Y15"/>
    <mergeCell ref="A76:F76"/>
    <mergeCell ref="C2:E2"/>
    <mergeCell ref="A42:F42"/>
    <mergeCell ref="A47:F47"/>
    <mergeCell ref="A66:F66"/>
    <mergeCell ref="A71:F71"/>
    <mergeCell ref="F2:F3"/>
    <mergeCell ref="A37:F37"/>
    <mergeCell ref="A39:F39"/>
    <mergeCell ref="A59:F59"/>
    <mergeCell ref="H4:U4"/>
    <mergeCell ref="H21:U21"/>
    <mergeCell ref="A4:F4"/>
    <mergeCell ref="A11:F11"/>
    <mergeCell ref="H37:U37"/>
    <mergeCell ref="H43:U43"/>
    <mergeCell ref="A14:F14"/>
    <mergeCell ref="A21:F21"/>
    <mergeCell ref="H26:U26"/>
    <mergeCell ref="H31:U31"/>
    <mergeCell ref="H34:U3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D56"/>
  <sheetViews>
    <sheetView topLeftCell="A46" workbookViewId="0">
      <selection sqref="A1:D24"/>
    </sheetView>
  </sheetViews>
  <sheetFormatPr defaultColWidth="35.36328125" defaultRowHeight="13"/>
  <cols>
    <col min="1" max="1" width="37.90625" style="744" customWidth="1"/>
    <col min="2" max="2" width="47" style="744" customWidth="1"/>
    <col min="3" max="3" width="30" style="744" customWidth="1"/>
    <col min="4" max="4" width="24" style="744" customWidth="1"/>
    <col min="5" max="16384" width="35.36328125" style="744"/>
  </cols>
  <sheetData>
    <row r="1" spans="1:4">
      <c r="A1" s="742" t="s">
        <v>462</v>
      </c>
      <c r="B1" s="742" t="s">
        <v>463</v>
      </c>
      <c r="C1" s="743" t="s">
        <v>208</v>
      </c>
      <c r="D1" s="743" t="s">
        <v>464</v>
      </c>
    </row>
    <row r="2" spans="1:4">
      <c r="A2" s="1665" t="s">
        <v>465</v>
      </c>
      <c r="B2" s="1665"/>
      <c r="C2" s="1665"/>
      <c r="D2" s="1665"/>
    </row>
    <row r="3" spans="1:4">
      <c r="A3" s="745" t="s">
        <v>466</v>
      </c>
      <c r="B3" s="746" t="s">
        <v>487</v>
      </c>
      <c r="C3" s="747"/>
      <c r="D3" s="746" t="s">
        <v>487</v>
      </c>
    </row>
    <row r="4" spans="1:4">
      <c r="A4" s="745" t="s">
        <v>468</v>
      </c>
      <c r="B4" s="746" t="s">
        <v>467</v>
      </c>
      <c r="C4" s="748" t="s">
        <v>469</v>
      </c>
      <c r="D4" s="746" t="s">
        <v>467</v>
      </c>
    </row>
    <row r="5" spans="1:4">
      <c r="A5" s="745" t="s">
        <v>470</v>
      </c>
      <c r="B5" s="746"/>
      <c r="C5" s="748" t="s">
        <v>471</v>
      </c>
      <c r="D5" s="746"/>
    </row>
    <row r="6" spans="1:4">
      <c r="A6" s="745" t="s">
        <v>490</v>
      </c>
      <c r="B6" s="746"/>
      <c r="C6" s="748" t="s">
        <v>471</v>
      </c>
      <c r="D6" s="746"/>
    </row>
    <row r="7" spans="1:4">
      <c r="A7" s="745" t="s">
        <v>283</v>
      </c>
      <c r="B7" s="746" t="s">
        <v>467</v>
      </c>
      <c r="C7" s="748" t="s">
        <v>472</v>
      </c>
      <c r="D7" s="746" t="s">
        <v>467</v>
      </c>
    </row>
    <row r="8" spans="1:4">
      <c r="A8" s="1666" t="s">
        <v>473</v>
      </c>
      <c r="B8" s="1667" t="s">
        <v>474</v>
      </c>
      <c r="C8" s="748" t="s">
        <v>475</v>
      </c>
      <c r="D8" s="1667" t="s">
        <v>467</v>
      </c>
    </row>
    <row r="9" spans="1:4">
      <c r="A9" s="1666"/>
      <c r="B9" s="1667"/>
      <c r="C9" s="748" t="s">
        <v>476</v>
      </c>
      <c r="D9" s="1667"/>
    </row>
    <row r="10" spans="1:4">
      <c r="A10" s="745" t="s">
        <v>64</v>
      </c>
      <c r="B10" s="746" t="s">
        <v>467</v>
      </c>
      <c r="C10" s="748" t="s">
        <v>918</v>
      </c>
      <c r="D10" s="746" t="s">
        <v>467</v>
      </c>
    </row>
    <row r="11" spans="1:4">
      <c r="A11" s="745" t="s">
        <v>477</v>
      </c>
      <c r="B11" s="746" t="s">
        <v>467</v>
      </c>
      <c r="C11" s="748" t="s">
        <v>478</v>
      </c>
      <c r="D11" s="746" t="s">
        <v>467</v>
      </c>
    </row>
    <row r="12" spans="1:4">
      <c r="A12" s="1665" t="s">
        <v>479</v>
      </c>
      <c r="B12" s="1665"/>
      <c r="C12" s="1665"/>
      <c r="D12" s="1665"/>
    </row>
    <row r="13" spans="1:4">
      <c r="A13" s="745" t="s">
        <v>480</v>
      </c>
      <c r="B13" s="746"/>
      <c r="C13" s="746" t="s">
        <v>481</v>
      </c>
      <c r="D13" s="746"/>
    </row>
    <row r="14" spans="1:4" ht="26">
      <c r="A14" s="745" t="s">
        <v>482</v>
      </c>
      <c r="B14" s="746"/>
      <c r="C14" s="746" t="s">
        <v>483</v>
      </c>
      <c r="D14" s="746"/>
    </row>
    <row r="15" spans="1:4">
      <c r="A15" s="1665" t="s">
        <v>484</v>
      </c>
      <c r="B15" s="1665"/>
      <c r="C15" s="1665"/>
      <c r="D15" s="1665"/>
    </row>
    <row r="16" spans="1:4">
      <c r="A16" s="745" t="s">
        <v>488</v>
      </c>
      <c r="B16" s="746" t="s">
        <v>467</v>
      </c>
      <c r="C16" s="746" t="s">
        <v>485</v>
      </c>
      <c r="D16" s="746" t="s">
        <v>467</v>
      </c>
    </row>
    <row r="17" spans="1:4">
      <c r="A17" s="745" t="s">
        <v>279</v>
      </c>
      <c r="B17" s="746" t="s">
        <v>467</v>
      </c>
      <c r="C17" s="746" t="s">
        <v>485</v>
      </c>
      <c r="D17" s="746" t="s">
        <v>467</v>
      </c>
    </row>
    <row r="18" spans="1:4">
      <c r="A18" s="745" t="s">
        <v>489</v>
      </c>
      <c r="B18" s="746" t="s">
        <v>467</v>
      </c>
      <c r="C18" s="746"/>
      <c r="D18" s="746" t="s">
        <v>467</v>
      </c>
    </row>
    <row r="19" spans="1:4">
      <c r="A19" s="745" t="s">
        <v>486</v>
      </c>
      <c r="B19" s="746" t="s">
        <v>467</v>
      </c>
      <c r="C19" s="746" t="s">
        <v>485</v>
      </c>
      <c r="D19" s="746" t="s">
        <v>467</v>
      </c>
    </row>
    <row r="20" spans="1:4">
      <c r="A20" s="745" t="s">
        <v>66</v>
      </c>
      <c r="B20" s="746" t="s">
        <v>467</v>
      </c>
      <c r="C20" s="746" t="s">
        <v>485</v>
      </c>
      <c r="D20" s="746" t="s">
        <v>467</v>
      </c>
    </row>
    <row r="21" spans="1:4">
      <c r="A21" s="1662" t="s">
        <v>491</v>
      </c>
      <c r="B21" s="1662"/>
      <c r="C21" s="1662"/>
      <c r="D21" s="1662"/>
    </row>
    <row r="22" spans="1:4">
      <c r="A22" s="749" t="s">
        <v>492</v>
      </c>
      <c r="B22" s="551"/>
      <c r="C22" s="750" t="s">
        <v>495</v>
      </c>
      <c r="D22" s="551"/>
    </row>
    <row r="23" spans="1:4">
      <c r="A23" s="749" t="s">
        <v>493</v>
      </c>
      <c r="B23" s="551"/>
      <c r="C23" s="750" t="s">
        <v>496</v>
      </c>
      <c r="D23" s="551"/>
    </row>
    <row r="24" spans="1:4">
      <c r="A24" s="749" t="s">
        <v>494</v>
      </c>
      <c r="B24" s="551"/>
      <c r="C24" s="750" t="s">
        <v>497</v>
      </c>
      <c r="D24" s="551"/>
    </row>
    <row r="27" spans="1:4">
      <c r="A27" s="1663" t="s">
        <v>687</v>
      </c>
      <c r="B27" s="1663"/>
    </row>
    <row r="28" spans="1:4">
      <c r="A28" s="751" t="s">
        <v>410</v>
      </c>
      <c r="B28" s="751" t="s">
        <v>411</v>
      </c>
    </row>
    <row r="29" spans="1:4">
      <c r="A29" s="752" t="s">
        <v>440</v>
      </c>
      <c r="B29" s="753" t="s">
        <v>177</v>
      </c>
    </row>
    <row r="30" spans="1:4" ht="26">
      <c r="A30" s="752" t="s">
        <v>446</v>
      </c>
      <c r="B30" s="752" t="s">
        <v>413</v>
      </c>
    </row>
    <row r="31" spans="1:4">
      <c r="A31" s="752" t="s">
        <v>329</v>
      </c>
      <c r="B31" s="752" t="s">
        <v>67</v>
      </c>
    </row>
    <row r="32" spans="1:4">
      <c r="A32" s="752" t="s">
        <v>414</v>
      </c>
      <c r="B32" s="754" t="s">
        <v>924</v>
      </c>
    </row>
    <row r="33" spans="1:2">
      <c r="A33" s="752" t="s">
        <v>150</v>
      </c>
      <c r="B33" s="752" t="s">
        <v>193</v>
      </c>
    </row>
    <row r="34" spans="1:2">
      <c r="A34" s="753" t="s">
        <v>426</v>
      </c>
      <c r="B34" s="755" t="s">
        <v>502</v>
      </c>
    </row>
    <row r="35" spans="1:2">
      <c r="A35" s="753" t="s">
        <v>441</v>
      </c>
      <c r="B35" s="754" t="s">
        <v>444</v>
      </c>
    </row>
    <row r="36" spans="1:2">
      <c r="A36" s="753" t="s">
        <v>442</v>
      </c>
      <c r="B36" s="753" t="s">
        <v>449</v>
      </c>
    </row>
    <row r="37" spans="1:2">
      <c r="A37" s="753" t="s">
        <v>923</v>
      </c>
      <c r="B37" s="753" t="s">
        <v>450</v>
      </c>
    </row>
    <row r="38" spans="1:2">
      <c r="A38" s="753" t="s">
        <v>443</v>
      </c>
      <c r="B38" s="753" t="s">
        <v>451</v>
      </c>
    </row>
    <row r="39" spans="1:2">
      <c r="A39" s="753" t="s">
        <v>922</v>
      </c>
      <c r="B39" s="753"/>
    </row>
    <row r="40" spans="1:2">
      <c r="A40" s="1664" t="s">
        <v>428</v>
      </c>
      <c r="B40" s="1664"/>
    </row>
    <row r="41" spans="1:2">
      <c r="A41" s="751" t="s">
        <v>410</v>
      </c>
      <c r="B41" s="751" t="s">
        <v>411</v>
      </c>
    </row>
    <row r="42" spans="1:2" ht="26">
      <c r="A42" s="752" t="s">
        <v>415</v>
      </c>
      <c r="B42" s="752" t="s">
        <v>412</v>
      </c>
    </row>
    <row r="43" spans="1:2" ht="26">
      <c r="A43" s="752" t="s">
        <v>446</v>
      </c>
      <c r="B43" s="752" t="s">
        <v>193</v>
      </c>
    </row>
    <row r="44" spans="1:2" ht="26">
      <c r="A44" s="752" t="s">
        <v>919</v>
      </c>
      <c r="B44" s="752" t="s">
        <v>499</v>
      </c>
    </row>
    <row r="45" spans="1:2">
      <c r="A45" s="752"/>
      <c r="B45" s="752" t="s">
        <v>67</v>
      </c>
    </row>
    <row r="46" spans="1:2" ht="39">
      <c r="A46" s="752" t="s">
        <v>920</v>
      </c>
      <c r="B46" s="754" t="s">
        <v>172</v>
      </c>
    </row>
    <row r="47" spans="1:2" ht="26">
      <c r="A47" s="752" t="s">
        <v>921</v>
      </c>
      <c r="B47" s="752" t="s">
        <v>173</v>
      </c>
    </row>
    <row r="48" spans="1:2">
      <c r="A48" s="753" t="s">
        <v>447</v>
      </c>
      <c r="B48" s="754" t="s">
        <v>176</v>
      </c>
    </row>
    <row r="49" spans="1:2" ht="26">
      <c r="A49" s="756" t="s">
        <v>448</v>
      </c>
      <c r="B49" s="757" t="s">
        <v>445</v>
      </c>
    </row>
    <row r="50" spans="1:2">
      <c r="A50" s="1662" t="s">
        <v>498</v>
      </c>
      <c r="B50" s="1662"/>
    </row>
    <row r="51" spans="1:2">
      <c r="A51" s="751" t="s">
        <v>410</v>
      </c>
      <c r="B51" s="751" t="s">
        <v>411</v>
      </c>
    </row>
    <row r="52" spans="1:2">
      <c r="A52" s="753" t="s">
        <v>500</v>
      </c>
      <c r="B52" s="752" t="s">
        <v>193</v>
      </c>
    </row>
    <row r="53" spans="1:2" ht="26">
      <c r="A53" s="752" t="s">
        <v>503</v>
      </c>
      <c r="B53" s="753" t="s">
        <v>412</v>
      </c>
    </row>
    <row r="54" spans="1:2">
      <c r="A54" s="758"/>
      <c r="B54" s="753" t="s">
        <v>501</v>
      </c>
    </row>
    <row r="55" spans="1:2">
      <c r="A55" s="758"/>
      <c r="B55" s="752" t="s">
        <v>502</v>
      </c>
    </row>
    <row r="56" spans="1:2">
      <c r="A56" s="758"/>
      <c r="B56" s="752" t="s">
        <v>67</v>
      </c>
    </row>
  </sheetData>
  <mergeCells count="10">
    <mergeCell ref="A2:D2"/>
    <mergeCell ref="A8:A9"/>
    <mergeCell ref="B8:B9"/>
    <mergeCell ref="D8:D9"/>
    <mergeCell ref="A12:D12"/>
    <mergeCell ref="A50:B50"/>
    <mergeCell ref="A27:B27"/>
    <mergeCell ref="A40:B40"/>
    <mergeCell ref="A15:D15"/>
    <mergeCell ref="A21:D2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W33"/>
  <sheetViews>
    <sheetView workbookViewId="0">
      <selection activeCell="A4" sqref="A4"/>
    </sheetView>
  </sheetViews>
  <sheetFormatPr defaultColWidth="8.90625" defaultRowHeight="13"/>
  <cols>
    <col min="1" max="1" width="24.90625" style="744" customWidth="1"/>
    <col min="2" max="2" width="26.54296875" style="744" customWidth="1"/>
    <col min="3" max="3" width="14.54296875" style="744" customWidth="1"/>
    <col min="4" max="4" width="14.90625" style="744" customWidth="1"/>
    <col min="5" max="5" width="30.08984375" style="744" customWidth="1"/>
    <col min="6" max="6" width="8.6328125" style="744" bestFit="1" customWidth="1"/>
    <col min="7" max="7" width="21.81640625" style="744" customWidth="1"/>
    <col min="8" max="8" width="17.1796875" style="744" bestFit="1" customWidth="1"/>
    <col min="9" max="9" width="9.453125" style="744" bestFit="1" customWidth="1"/>
    <col min="10" max="10" width="17.1796875" style="744" bestFit="1" customWidth="1"/>
    <col min="11" max="12" width="8.90625" style="744"/>
    <col min="13" max="13" width="19.90625" style="744" bestFit="1" customWidth="1"/>
    <col min="14" max="14" width="40.36328125" style="744" bestFit="1" customWidth="1"/>
    <col min="15" max="15" width="21.08984375" style="744" bestFit="1" customWidth="1"/>
    <col min="16" max="16" width="8.81640625" style="744" bestFit="1" customWidth="1"/>
    <col min="17" max="17" width="13.90625" style="744" bestFit="1" customWidth="1"/>
    <col min="18" max="18" width="8" style="744" bestFit="1" customWidth="1"/>
    <col min="19" max="19" width="14" style="744" bestFit="1" customWidth="1"/>
    <col min="20" max="20" width="14.81640625" style="744" bestFit="1" customWidth="1"/>
    <col min="21" max="21" width="11.36328125" style="744" customWidth="1"/>
    <col min="22" max="22" width="18.90625" style="744" bestFit="1" customWidth="1"/>
    <col min="23" max="23" width="7.54296875" style="744" bestFit="1" customWidth="1"/>
    <col min="24" max="16384" width="8.90625" style="744"/>
  </cols>
  <sheetData>
    <row r="1" spans="1:23" ht="39">
      <c r="A1" s="759" t="s">
        <v>572</v>
      </c>
      <c r="B1" s="760" t="s">
        <v>573</v>
      </c>
      <c r="C1" s="760" t="s">
        <v>574</v>
      </c>
      <c r="D1" s="760" t="s">
        <v>1075</v>
      </c>
      <c r="E1" s="760" t="s">
        <v>575</v>
      </c>
      <c r="G1" s="761" t="s">
        <v>572</v>
      </c>
      <c r="H1" s="761" t="s">
        <v>588</v>
      </c>
      <c r="I1" s="762" t="s">
        <v>589</v>
      </c>
      <c r="J1" s="761" t="s">
        <v>590</v>
      </c>
      <c r="M1" s="763" t="s">
        <v>592</v>
      </c>
      <c r="N1" s="763" t="s">
        <v>573</v>
      </c>
      <c r="O1" s="763" t="s">
        <v>593</v>
      </c>
    </row>
    <row r="2" spans="1:23" ht="26">
      <c r="A2" s="764" t="s">
        <v>67</v>
      </c>
      <c r="B2" s="764" t="s">
        <v>938</v>
      </c>
      <c r="C2" s="765" t="s">
        <v>576</v>
      </c>
      <c r="D2" s="766" t="s">
        <v>579</v>
      </c>
      <c r="E2" s="764" t="s">
        <v>577</v>
      </c>
      <c r="G2" s="767" t="s">
        <v>28</v>
      </c>
      <c r="H2" s="768">
        <v>106</v>
      </c>
      <c r="I2" s="768">
        <v>1</v>
      </c>
      <c r="J2" s="769" t="s">
        <v>579</v>
      </c>
      <c r="M2" s="770" t="s">
        <v>594</v>
      </c>
      <c r="N2" s="764" t="s">
        <v>938</v>
      </c>
      <c r="O2" s="770" t="s">
        <v>595</v>
      </c>
    </row>
    <row r="3" spans="1:23" ht="26">
      <c r="A3" s="764" t="s">
        <v>578</v>
      </c>
      <c r="B3" s="764" t="s">
        <v>938</v>
      </c>
      <c r="C3" s="765" t="s">
        <v>579</v>
      </c>
      <c r="D3" s="766" t="s">
        <v>579</v>
      </c>
      <c r="E3" s="764" t="s">
        <v>577</v>
      </c>
      <c r="G3" s="767" t="s">
        <v>504</v>
      </c>
      <c r="H3" s="768">
        <v>103</v>
      </c>
      <c r="I3" s="768">
        <v>1</v>
      </c>
      <c r="J3" s="769" t="s">
        <v>579</v>
      </c>
      <c r="M3" s="767" t="s">
        <v>578</v>
      </c>
      <c r="N3" s="764" t="s">
        <v>938</v>
      </c>
      <c r="O3" s="770" t="s">
        <v>595</v>
      </c>
    </row>
    <row r="4" spans="1:23" ht="26">
      <c r="A4" s="764" t="s">
        <v>195</v>
      </c>
      <c r="B4" s="764" t="s">
        <v>939</v>
      </c>
      <c r="C4" s="765" t="s">
        <v>576</v>
      </c>
      <c r="D4" s="766" t="s">
        <v>579</v>
      </c>
      <c r="E4" s="764" t="s">
        <v>577</v>
      </c>
      <c r="G4" s="767" t="s">
        <v>29</v>
      </c>
      <c r="H4" s="768">
        <v>102</v>
      </c>
      <c r="I4" s="768">
        <v>1</v>
      </c>
      <c r="J4" s="769" t="s">
        <v>579</v>
      </c>
      <c r="M4" s="770" t="s">
        <v>195</v>
      </c>
      <c r="N4" s="764" t="s">
        <v>939</v>
      </c>
      <c r="O4" s="770" t="s">
        <v>598</v>
      </c>
    </row>
    <row r="5" spans="1:23">
      <c r="A5" s="764" t="s">
        <v>580</v>
      </c>
      <c r="B5" s="764" t="s">
        <v>940</v>
      </c>
      <c r="C5" s="765" t="s">
        <v>579</v>
      </c>
      <c r="D5" s="765" t="s">
        <v>576</v>
      </c>
      <c r="E5" s="764" t="s">
        <v>581</v>
      </c>
      <c r="G5" s="767" t="s">
        <v>1076</v>
      </c>
      <c r="H5" s="768">
        <v>98</v>
      </c>
      <c r="I5" s="768">
        <v>1</v>
      </c>
      <c r="J5" s="769" t="s">
        <v>579</v>
      </c>
      <c r="M5" s="770" t="s">
        <v>596</v>
      </c>
      <c r="N5" s="764" t="s">
        <v>940</v>
      </c>
      <c r="O5" s="770" t="s">
        <v>595</v>
      </c>
    </row>
    <row r="6" spans="1:23">
      <c r="A6" s="764" t="s">
        <v>310</v>
      </c>
      <c r="B6" s="764" t="s">
        <v>941</v>
      </c>
      <c r="C6" s="771" t="s">
        <v>579</v>
      </c>
      <c r="D6" s="771" t="s">
        <v>579</v>
      </c>
      <c r="E6" s="772" t="s">
        <v>582</v>
      </c>
      <c r="G6" s="767" t="s">
        <v>624</v>
      </c>
      <c r="H6" s="768">
        <v>93</v>
      </c>
      <c r="I6" s="768">
        <v>1</v>
      </c>
      <c r="J6" s="769" t="s">
        <v>579</v>
      </c>
      <c r="M6" s="770" t="s">
        <v>413</v>
      </c>
      <c r="N6" s="764" t="s">
        <v>941</v>
      </c>
      <c r="O6" s="770" t="s">
        <v>597</v>
      </c>
    </row>
    <row r="7" spans="1:23" ht="26">
      <c r="A7" s="764" t="s">
        <v>583</v>
      </c>
      <c r="B7" s="773" t="s">
        <v>584</v>
      </c>
      <c r="C7" s="774" t="s">
        <v>579</v>
      </c>
      <c r="D7" s="774"/>
      <c r="E7" s="767" t="s">
        <v>585</v>
      </c>
      <c r="G7" s="1668" t="s">
        <v>591</v>
      </c>
      <c r="H7" s="1668"/>
      <c r="I7" s="1668"/>
      <c r="J7" s="1668"/>
      <c r="M7" s="767" t="s">
        <v>583</v>
      </c>
      <c r="N7" s="773" t="s">
        <v>584</v>
      </c>
      <c r="O7" s="775" t="s">
        <v>599</v>
      </c>
    </row>
    <row r="8" spans="1:23">
      <c r="A8" s="764" t="s">
        <v>1077</v>
      </c>
      <c r="B8" s="773" t="s">
        <v>586</v>
      </c>
      <c r="C8" s="774" t="s">
        <v>579</v>
      </c>
      <c r="D8" s="774"/>
      <c r="E8" s="767" t="s">
        <v>587</v>
      </c>
      <c r="M8" s="767" t="s">
        <v>1077</v>
      </c>
      <c r="N8" s="773" t="s">
        <v>586</v>
      </c>
      <c r="O8" s="770" t="s">
        <v>600</v>
      </c>
    </row>
    <row r="12" spans="1:23">
      <c r="A12" s="776" t="s">
        <v>571</v>
      </c>
    </row>
    <row r="13" spans="1:23">
      <c r="M13" s="1669" t="s">
        <v>977</v>
      </c>
      <c r="N13" s="1669"/>
      <c r="O13" s="1669"/>
      <c r="P13" s="1669"/>
      <c r="Q13" s="1669" t="s">
        <v>978</v>
      </c>
      <c r="R13" s="1669"/>
      <c r="S13" s="1669"/>
    </row>
    <row r="14" spans="1:23">
      <c r="M14" s="763" t="s">
        <v>592</v>
      </c>
      <c r="N14" s="763" t="s">
        <v>573</v>
      </c>
      <c r="O14" s="763" t="s">
        <v>943</v>
      </c>
      <c r="P14" s="763" t="s">
        <v>976</v>
      </c>
      <c r="Q14" s="763" t="s">
        <v>573</v>
      </c>
      <c r="R14" s="763" t="s">
        <v>981</v>
      </c>
      <c r="S14" s="723" t="s">
        <v>6</v>
      </c>
      <c r="T14" s="763" t="s">
        <v>989</v>
      </c>
      <c r="V14" s="777" t="s">
        <v>990</v>
      </c>
      <c r="W14" s="777"/>
    </row>
    <row r="15" spans="1:23">
      <c r="M15" s="770" t="s">
        <v>594</v>
      </c>
      <c r="N15" s="764" t="s">
        <v>938</v>
      </c>
      <c r="O15" s="778" t="s">
        <v>598</v>
      </c>
      <c r="P15" s="779">
        <v>8</v>
      </c>
      <c r="Q15" s="551" t="s">
        <v>979</v>
      </c>
      <c r="R15" s="780">
        <v>0.01</v>
      </c>
      <c r="S15" s="551"/>
      <c r="T15" s="781" t="s">
        <v>28</v>
      </c>
      <c r="V15" s="777" t="s">
        <v>9</v>
      </c>
      <c r="W15" s="777" t="s">
        <v>652</v>
      </c>
    </row>
    <row r="16" spans="1:23" ht="26">
      <c r="A16" s="759" t="s">
        <v>602</v>
      </c>
      <c r="B16" s="759" t="s">
        <v>579</v>
      </c>
      <c r="C16" s="759" t="s">
        <v>576</v>
      </c>
      <c r="D16" s="759"/>
      <c r="E16" s="760" t="s">
        <v>603</v>
      </c>
      <c r="M16" s="767" t="s">
        <v>578</v>
      </c>
      <c r="N16" s="764" t="s">
        <v>938</v>
      </c>
      <c r="O16" s="778" t="s">
        <v>598</v>
      </c>
      <c r="P16" s="779">
        <v>8</v>
      </c>
      <c r="Q16" s="551"/>
      <c r="R16" s="551"/>
      <c r="S16" s="551"/>
      <c r="T16" s="551"/>
      <c r="V16" s="777" t="s">
        <v>310</v>
      </c>
      <c r="W16" s="777" t="s">
        <v>992</v>
      </c>
    </row>
    <row r="17" spans="1:23" ht="26">
      <c r="A17" s="764" t="s">
        <v>604</v>
      </c>
      <c r="B17" s="765"/>
      <c r="C17" s="782"/>
      <c r="D17" s="782"/>
      <c r="E17" s="782"/>
      <c r="M17" s="770" t="s">
        <v>195</v>
      </c>
      <c r="N17" s="764" t="s">
        <v>939</v>
      </c>
      <c r="O17" s="778" t="s">
        <v>942</v>
      </c>
      <c r="P17" s="779">
        <v>42</v>
      </c>
      <c r="Q17" s="551" t="s">
        <v>980</v>
      </c>
      <c r="R17" s="783">
        <v>0.1</v>
      </c>
      <c r="S17" s="551" t="s">
        <v>984</v>
      </c>
      <c r="T17" s="781" t="s">
        <v>29</v>
      </c>
      <c r="V17" s="777" t="s">
        <v>993</v>
      </c>
      <c r="W17" s="777" t="s">
        <v>994</v>
      </c>
    </row>
    <row r="18" spans="1:23" ht="26">
      <c r="A18" s="764" t="s">
        <v>605</v>
      </c>
      <c r="B18" s="765"/>
      <c r="C18" s="782"/>
      <c r="D18" s="782"/>
      <c r="E18" s="782"/>
      <c r="M18" s="770" t="s">
        <v>596</v>
      </c>
      <c r="N18" s="764" t="s">
        <v>940</v>
      </c>
      <c r="O18" s="778" t="s">
        <v>598</v>
      </c>
      <c r="P18" s="779">
        <v>8</v>
      </c>
      <c r="Q18" s="551" t="s">
        <v>980</v>
      </c>
      <c r="R18" s="780">
        <v>0.02</v>
      </c>
      <c r="S18" s="551" t="s">
        <v>985</v>
      </c>
      <c r="T18" s="781" t="s">
        <v>986</v>
      </c>
      <c r="V18" s="777" t="s">
        <v>995</v>
      </c>
      <c r="W18" s="777" t="s">
        <v>996</v>
      </c>
    </row>
    <row r="19" spans="1:23" ht="26">
      <c r="A19" s="764" t="s">
        <v>606</v>
      </c>
      <c r="B19" s="765"/>
      <c r="C19" s="782"/>
      <c r="D19" s="782"/>
      <c r="E19" s="782"/>
      <c r="M19" s="770" t="s">
        <v>413</v>
      </c>
      <c r="N19" s="764" t="s">
        <v>941</v>
      </c>
      <c r="O19" s="778" t="s">
        <v>944</v>
      </c>
      <c r="P19" s="779">
        <v>35</v>
      </c>
      <c r="Q19" s="551" t="s">
        <v>982</v>
      </c>
      <c r="R19" s="780">
        <v>0.03</v>
      </c>
      <c r="S19" s="551"/>
      <c r="T19" s="781" t="s">
        <v>624</v>
      </c>
      <c r="V19" s="777" t="s">
        <v>997</v>
      </c>
      <c r="W19" s="777" t="s">
        <v>994</v>
      </c>
    </row>
    <row r="20" spans="1:23" ht="26">
      <c r="A20" s="764" t="s">
        <v>607</v>
      </c>
      <c r="B20" s="765"/>
      <c r="C20" s="782"/>
      <c r="D20" s="782"/>
      <c r="E20" s="782"/>
      <c r="M20" s="767" t="s">
        <v>583</v>
      </c>
      <c r="N20" s="773" t="s">
        <v>584</v>
      </c>
      <c r="O20" s="775" t="s">
        <v>599</v>
      </c>
      <c r="P20" s="551"/>
      <c r="Q20" s="551" t="s">
        <v>983</v>
      </c>
      <c r="R20" s="784">
        <v>5</v>
      </c>
      <c r="S20" s="551"/>
      <c r="T20" s="551"/>
      <c r="V20" s="777" t="s">
        <v>998</v>
      </c>
      <c r="W20" s="777" t="s">
        <v>999</v>
      </c>
    </row>
    <row r="21" spans="1:23" ht="26">
      <c r="A21" s="764" t="s">
        <v>608</v>
      </c>
      <c r="B21" s="765"/>
      <c r="C21" s="782"/>
      <c r="D21" s="782"/>
      <c r="E21" s="782"/>
      <c r="M21" s="785" t="s">
        <v>1077</v>
      </c>
      <c r="N21" s="786" t="s">
        <v>586</v>
      </c>
      <c r="O21" s="787" t="s">
        <v>600</v>
      </c>
      <c r="P21" s="788"/>
      <c r="Q21" s="788"/>
      <c r="R21" s="788"/>
      <c r="S21" s="788"/>
      <c r="T21" s="551"/>
      <c r="V21" s="777" t="s">
        <v>195</v>
      </c>
      <c r="W21" s="777" t="s">
        <v>996</v>
      </c>
    </row>
    <row r="22" spans="1:23" ht="26">
      <c r="A22" s="764" t="s">
        <v>601</v>
      </c>
      <c r="B22" s="765"/>
      <c r="C22" s="782"/>
      <c r="D22" s="782"/>
      <c r="E22" s="782"/>
      <c r="M22" s="789" t="s">
        <v>945</v>
      </c>
      <c r="N22" s="767" t="s">
        <v>980</v>
      </c>
      <c r="O22" s="551"/>
      <c r="P22" s="551">
        <v>5</v>
      </c>
      <c r="Q22" s="551" t="s">
        <v>980</v>
      </c>
      <c r="R22" s="783">
        <v>0.1</v>
      </c>
      <c r="S22" s="551"/>
      <c r="T22" s="781" t="s">
        <v>987</v>
      </c>
      <c r="V22" s="777" t="s">
        <v>126</v>
      </c>
      <c r="W22" s="777" t="s">
        <v>999</v>
      </c>
    </row>
    <row r="23" spans="1:23">
      <c r="M23" s="775" t="s">
        <v>990</v>
      </c>
      <c r="N23" s="551" t="s">
        <v>991</v>
      </c>
      <c r="O23" s="551"/>
      <c r="P23" s="551"/>
      <c r="Q23" s="551"/>
      <c r="R23" s="551"/>
      <c r="S23" s="551"/>
      <c r="T23" s="781" t="s">
        <v>988</v>
      </c>
      <c r="V23" s="777" t="s">
        <v>1000</v>
      </c>
      <c r="W23" s="777" t="s">
        <v>996</v>
      </c>
    </row>
    <row r="26" spans="1:23">
      <c r="A26" s="790" t="s">
        <v>926</v>
      </c>
      <c r="B26" s="791"/>
      <c r="C26" s="791"/>
      <c r="D26" s="791"/>
      <c r="E26" s="791"/>
      <c r="F26" s="791"/>
      <c r="G26" s="791"/>
      <c r="H26" s="791"/>
    </row>
    <row r="27" spans="1:23" ht="39">
      <c r="A27" s="759" t="s">
        <v>572</v>
      </c>
      <c r="B27" s="760" t="s">
        <v>573</v>
      </c>
      <c r="C27" s="760" t="s">
        <v>574</v>
      </c>
      <c r="D27" s="760"/>
      <c r="E27" s="760" t="s">
        <v>1075</v>
      </c>
      <c r="F27" s="760" t="s">
        <v>927</v>
      </c>
      <c r="G27" s="759" t="s">
        <v>928</v>
      </c>
      <c r="H27" s="791"/>
    </row>
    <row r="28" spans="1:23" ht="39">
      <c r="A28" s="764" t="s">
        <v>929</v>
      </c>
      <c r="B28" s="764" t="s">
        <v>930</v>
      </c>
      <c r="C28" s="766" t="s">
        <v>576</v>
      </c>
      <c r="D28" s="766"/>
      <c r="E28" s="766" t="s">
        <v>579</v>
      </c>
      <c r="F28" s="792">
        <v>41627</v>
      </c>
      <c r="G28" s="793" t="s">
        <v>931</v>
      </c>
      <c r="H28" s="791"/>
    </row>
    <row r="29" spans="1:23" ht="39">
      <c r="A29" s="764" t="s">
        <v>578</v>
      </c>
      <c r="B29" s="764" t="s">
        <v>930</v>
      </c>
      <c r="C29" s="766" t="s">
        <v>579</v>
      </c>
      <c r="D29" s="766"/>
      <c r="E29" s="766" t="s">
        <v>579</v>
      </c>
      <c r="F29" s="792">
        <v>41629</v>
      </c>
      <c r="G29" s="765" t="s">
        <v>932</v>
      </c>
      <c r="H29" s="791"/>
    </row>
    <row r="30" spans="1:23" ht="39">
      <c r="A30" s="793" t="s">
        <v>195</v>
      </c>
      <c r="B30" s="764" t="s">
        <v>933</v>
      </c>
      <c r="C30" s="766" t="s">
        <v>576</v>
      </c>
      <c r="D30" s="766"/>
      <c r="E30" s="766" t="s">
        <v>579</v>
      </c>
      <c r="F30" s="792">
        <v>41627</v>
      </c>
      <c r="G30" s="793" t="s">
        <v>931</v>
      </c>
      <c r="H30" s="791"/>
    </row>
    <row r="31" spans="1:23" ht="26">
      <c r="A31" s="764" t="s">
        <v>580</v>
      </c>
      <c r="B31" s="764" t="s">
        <v>934</v>
      </c>
      <c r="C31" s="765" t="s">
        <v>579</v>
      </c>
      <c r="D31" s="765"/>
      <c r="E31" s="765" t="s">
        <v>576</v>
      </c>
      <c r="F31" s="794">
        <v>41626</v>
      </c>
      <c r="G31" s="764" t="s">
        <v>935</v>
      </c>
      <c r="H31" s="791"/>
    </row>
    <row r="32" spans="1:23" ht="26">
      <c r="A32" s="764" t="s">
        <v>310</v>
      </c>
      <c r="B32" s="764" t="s">
        <v>936</v>
      </c>
      <c r="C32" s="765" t="s">
        <v>576</v>
      </c>
      <c r="D32" s="765"/>
      <c r="E32" s="765" t="s">
        <v>579</v>
      </c>
      <c r="F32" s="794">
        <v>41625</v>
      </c>
      <c r="G32" s="764" t="s">
        <v>931</v>
      </c>
      <c r="H32" s="791"/>
    </row>
    <row r="33" spans="1:8">
      <c r="A33" s="776" t="s">
        <v>937</v>
      </c>
      <c r="B33" s="791"/>
      <c r="C33" s="791"/>
      <c r="D33" s="791"/>
      <c r="E33" s="791"/>
      <c r="F33" s="791"/>
      <c r="G33" s="791"/>
      <c r="H33" s="791"/>
    </row>
  </sheetData>
  <mergeCells count="3">
    <mergeCell ref="G7:J7"/>
    <mergeCell ref="M13:P13"/>
    <mergeCell ref="Q13:S1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AE140"/>
  <sheetViews>
    <sheetView zoomScaleNormal="100" workbookViewId="0">
      <selection activeCell="J75" sqref="J75"/>
    </sheetView>
  </sheetViews>
  <sheetFormatPr defaultColWidth="9.08984375" defaultRowHeight="14.25" customHeight="1"/>
  <cols>
    <col min="1" max="1" width="17.36328125" style="17" bestFit="1" customWidth="1"/>
    <col min="2" max="2" width="8.36328125" style="17" bestFit="1" customWidth="1"/>
    <col min="3" max="3" width="10.6328125" style="17" customWidth="1"/>
    <col min="4" max="4" width="7.08984375" style="17" customWidth="1"/>
    <col min="5" max="5" width="10.453125" style="17" customWidth="1"/>
    <col min="6" max="6" width="8.6328125" style="17" customWidth="1"/>
    <col min="7" max="7" width="10.453125" style="17" customWidth="1"/>
    <col min="8" max="8" width="11.08984375" style="17" customWidth="1"/>
    <col min="9" max="9" width="10.90625" style="17" customWidth="1"/>
    <col min="10" max="10" width="18.453125" style="17" customWidth="1"/>
    <col min="11" max="11" width="3" style="17" bestFit="1" customWidth="1"/>
    <col min="12" max="12" width="9.08984375" style="17"/>
    <col min="13" max="13" width="19.36328125" style="17" customWidth="1"/>
    <col min="14" max="14" width="10.08984375" style="17" bestFit="1" customWidth="1"/>
    <col min="15" max="18" width="9.08984375" style="17"/>
    <col min="19" max="19" width="13.54296875" style="17" bestFit="1" customWidth="1"/>
    <col min="20" max="20" width="11.36328125" style="17" customWidth="1"/>
    <col min="21" max="21" width="9.08984375" style="17"/>
    <col min="22" max="22" width="3" style="17" bestFit="1" customWidth="1"/>
    <col min="23" max="16384" width="9.08984375" style="17"/>
  </cols>
  <sheetData>
    <row r="1" spans="1:31" ht="14.25" customHeight="1">
      <c r="A1" s="1435" t="s">
        <v>1595</v>
      </c>
      <c r="B1" s="1435"/>
      <c r="C1" s="1435"/>
      <c r="D1" s="1435"/>
      <c r="E1" s="1435"/>
      <c r="F1" s="1435"/>
      <c r="G1" s="1435"/>
      <c r="W1" s="1687" t="s">
        <v>1092</v>
      </c>
      <c r="X1" s="1687"/>
      <c r="Y1" s="1687"/>
    </row>
    <row r="2" spans="1:31" ht="14.25" customHeight="1">
      <c r="A2" s="1" t="s">
        <v>144</v>
      </c>
      <c r="B2" s="281">
        <v>42366</v>
      </c>
      <c r="C2" s="281"/>
      <c r="M2" s="530" t="s">
        <v>144</v>
      </c>
      <c r="N2" s="529">
        <v>42305</v>
      </c>
      <c r="O2" s="192"/>
      <c r="P2" s="1601"/>
      <c r="Q2" s="1601"/>
      <c r="R2" s="192"/>
      <c r="S2" s="192"/>
      <c r="T2" s="192"/>
      <c r="W2" s="83" t="s">
        <v>1091</v>
      </c>
      <c r="X2" s="1680"/>
      <c r="Y2" s="1680"/>
      <c r="Z2" s="1680"/>
      <c r="AA2" s="83" t="s">
        <v>954</v>
      </c>
      <c r="AB2" s="1680"/>
      <c r="AC2" s="1680"/>
      <c r="AD2" s="1680"/>
      <c r="AE2" s="1680"/>
    </row>
    <row r="3" spans="1:31" ht="14.25" customHeight="1">
      <c r="A3" s="86" t="s">
        <v>10</v>
      </c>
      <c r="B3" s="86" t="s">
        <v>146</v>
      </c>
      <c r="C3" s="86" t="s">
        <v>147</v>
      </c>
      <c r="D3" s="86" t="s">
        <v>148</v>
      </c>
      <c r="E3" s="86" t="s">
        <v>149</v>
      </c>
      <c r="F3" s="86" t="s">
        <v>150</v>
      </c>
      <c r="G3" s="86" t="s">
        <v>835</v>
      </c>
      <c r="H3" s="850">
        <v>1944</v>
      </c>
      <c r="M3" s="200" t="s">
        <v>284</v>
      </c>
      <c r="N3" s="523" t="s">
        <v>146</v>
      </c>
      <c r="O3" s="523" t="s">
        <v>147</v>
      </c>
      <c r="P3" s="523" t="s">
        <v>148</v>
      </c>
      <c r="Q3" s="523" t="s">
        <v>149</v>
      </c>
      <c r="R3" s="523" t="s">
        <v>150</v>
      </c>
      <c r="S3" s="200" t="s">
        <v>160</v>
      </c>
      <c r="T3" s="200" t="s">
        <v>168</v>
      </c>
      <c r="W3" s="83" t="s">
        <v>1090</v>
      </c>
      <c r="X3" s="83" t="s">
        <v>1090</v>
      </c>
      <c r="Y3" s="83" t="s">
        <v>1090</v>
      </c>
      <c r="Z3" s="83" t="s">
        <v>1090</v>
      </c>
      <c r="AA3" s="83" t="s">
        <v>1090</v>
      </c>
      <c r="AB3" s="83" t="s">
        <v>1090</v>
      </c>
      <c r="AC3" s="83" t="s">
        <v>1090</v>
      </c>
      <c r="AD3" s="83" t="s">
        <v>1090</v>
      </c>
      <c r="AE3" s="83" t="s">
        <v>1090</v>
      </c>
    </row>
    <row r="4" spans="1:31" ht="14.25" customHeight="1">
      <c r="A4" s="55" t="s">
        <v>184</v>
      </c>
      <c r="B4" s="95"/>
      <c r="C4" s="95"/>
      <c r="D4" s="227"/>
      <c r="E4" s="227"/>
      <c r="F4" s="227"/>
      <c r="G4" s="227"/>
      <c r="H4" s="148"/>
      <c r="M4" s="201" t="s">
        <v>270</v>
      </c>
      <c r="N4" s="202"/>
      <c r="O4" s="276"/>
      <c r="P4" s="507"/>
      <c r="Q4" s="507"/>
      <c r="R4" s="331"/>
      <c r="S4" s="203"/>
      <c r="T4" s="204"/>
      <c r="V4" s="83">
        <v>1</v>
      </c>
      <c r="W4" s="83"/>
      <c r="X4" s="83"/>
      <c r="Y4" s="83"/>
      <c r="Z4" s="83"/>
      <c r="AA4" s="83"/>
      <c r="AB4" s="83"/>
      <c r="AC4" s="83"/>
      <c r="AD4" s="83"/>
      <c r="AE4" s="83"/>
    </row>
    <row r="5" spans="1:31" ht="14.25" customHeight="1">
      <c r="A5" s="55" t="s">
        <v>185</v>
      </c>
      <c r="B5" s="95"/>
      <c r="C5" s="95"/>
      <c r="D5" s="227"/>
      <c r="E5" s="227"/>
      <c r="F5" s="227"/>
      <c r="G5" s="227"/>
      <c r="H5" s="148"/>
      <c r="M5" s="201" t="s">
        <v>151</v>
      </c>
      <c r="N5" s="204"/>
      <c r="O5" s="276"/>
      <c r="P5" s="507"/>
      <c r="Q5" s="507"/>
      <c r="R5" s="331"/>
      <c r="S5" s="205"/>
      <c r="T5" s="525" t="s">
        <v>286</v>
      </c>
      <c r="V5" s="83">
        <v>2</v>
      </c>
      <c r="W5" s="83"/>
      <c r="X5" s="83"/>
      <c r="Y5" s="83"/>
      <c r="Z5" s="83"/>
      <c r="AA5" s="83"/>
      <c r="AB5" s="83"/>
      <c r="AC5" s="83"/>
      <c r="AD5" s="83"/>
      <c r="AE5" s="83"/>
    </row>
    <row r="6" spans="1:31" ht="14.25" customHeight="1">
      <c r="A6" s="55" t="s">
        <v>186</v>
      </c>
      <c r="B6" s="95"/>
      <c r="C6" s="95"/>
      <c r="D6" s="227"/>
      <c r="E6" s="227"/>
      <c r="F6" s="227"/>
      <c r="G6" s="227"/>
      <c r="H6" s="148"/>
      <c r="M6" s="201" t="s">
        <v>271</v>
      </c>
      <c r="N6" s="204"/>
      <c r="O6" s="276"/>
      <c r="P6" s="507"/>
      <c r="Q6" s="507"/>
      <c r="R6" s="331"/>
      <c r="S6" s="205"/>
      <c r="T6" s="525" t="s">
        <v>277</v>
      </c>
      <c r="V6" s="83">
        <v>3</v>
      </c>
      <c r="W6" s="83"/>
      <c r="X6" s="83"/>
      <c r="Y6" s="83"/>
      <c r="Z6" s="83"/>
      <c r="AA6" s="83"/>
      <c r="AB6" s="83"/>
      <c r="AC6" s="83"/>
      <c r="AD6" s="83"/>
      <c r="AE6" s="83"/>
    </row>
    <row r="7" spans="1:31" ht="14.25" customHeight="1">
      <c r="A7" s="55" t="s">
        <v>1592</v>
      </c>
      <c r="B7" s="95"/>
      <c r="C7" s="95"/>
      <c r="D7" s="409"/>
      <c r="E7" s="409"/>
      <c r="F7" s="409"/>
      <c r="G7" s="409"/>
      <c r="H7" s="148"/>
      <c r="M7" s="201"/>
      <c r="N7" s="204"/>
      <c r="O7" s="276"/>
      <c r="P7" s="507"/>
      <c r="Q7" s="507"/>
      <c r="R7" s="331"/>
      <c r="S7" s="205"/>
      <c r="T7" s="1062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1:31" ht="14.25" customHeight="1">
      <c r="A8" s="55" t="s">
        <v>181</v>
      </c>
      <c r="B8" s="102" t="s">
        <v>187</v>
      </c>
      <c r="C8" s="146"/>
      <c r="D8" s="146"/>
      <c r="E8" s="146"/>
      <c r="F8" s="146"/>
      <c r="G8" s="86" t="s">
        <v>160</v>
      </c>
      <c r="H8" s="86" t="s">
        <v>168</v>
      </c>
      <c r="M8" s="201" t="s">
        <v>152</v>
      </c>
      <c r="N8" s="204"/>
      <c r="O8" s="276"/>
      <c r="P8" s="507"/>
      <c r="Q8" s="507"/>
      <c r="R8" s="331"/>
      <c r="S8" s="205"/>
      <c r="T8" s="525" t="s">
        <v>287</v>
      </c>
      <c r="V8" s="83">
        <v>4</v>
      </c>
      <c r="W8" s="83"/>
      <c r="X8" s="83"/>
      <c r="Y8" s="83"/>
      <c r="Z8" s="83"/>
      <c r="AA8" s="83"/>
      <c r="AB8" s="83"/>
      <c r="AC8" s="83"/>
      <c r="AD8" s="83"/>
      <c r="AE8" s="83"/>
    </row>
    <row r="9" spans="1:31" ht="14.25" customHeight="1">
      <c r="A9" s="227" t="s">
        <v>270</v>
      </c>
      <c r="B9" s="83"/>
      <c r="C9" s="83"/>
      <c r="D9" s="227"/>
      <c r="E9" s="227"/>
      <c r="F9" s="227"/>
      <c r="G9" s="231"/>
      <c r="H9" s="190"/>
      <c r="M9" s="201" t="s">
        <v>272</v>
      </c>
      <c r="N9" s="204"/>
      <c r="O9" s="276"/>
      <c r="P9" s="507"/>
      <c r="Q9" s="507"/>
      <c r="R9" s="331"/>
      <c r="S9" s="205"/>
      <c r="T9" s="525" t="s">
        <v>288</v>
      </c>
      <c r="V9" s="83">
        <v>5</v>
      </c>
      <c r="W9" s="83"/>
      <c r="X9" s="83"/>
      <c r="Y9" s="83"/>
      <c r="Z9" s="83"/>
      <c r="AA9" s="83"/>
      <c r="AB9" s="83"/>
      <c r="AC9" s="83"/>
      <c r="AD9" s="83"/>
      <c r="AE9" s="83"/>
    </row>
    <row r="10" spans="1:31" ht="14.25" customHeight="1">
      <c r="A10" s="227" t="s">
        <v>151</v>
      </c>
      <c r="B10" s="83"/>
      <c r="C10" s="83"/>
      <c r="D10" s="227"/>
      <c r="E10" s="227"/>
      <c r="F10" s="227"/>
      <c r="G10" s="227"/>
      <c r="H10" s="148"/>
      <c r="M10" s="201" t="s">
        <v>153</v>
      </c>
      <c r="N10" s="204"/>
      <c r="O10" s="276"/>
      <c r="P10" s="507"/>
      <c r="Q10" s="507"/>
      <c r="R10" s="331"/>
      <c r="S10" s="1690" t="s">
        <v>951</v>
      </c>
      <c r="T10" s="1691"/>
      <c r="V10" s="83">
        <v>6</v>
      </c>
      <c r="W10" s="83"/>
      <c r="X10" s="83"/>
      <c r="Y10" s="83"/>
      <c r="Z10" s="83"/>
      <c r="AA10" s="83"/>
      <c r="AB10" s="83"/>
      <c r="AC10" s="83"/>
      <c r="AD10" s="83"/>
      <c r="AE10" s="83"/>
    </row>
    <row r="11" spans="1:31" ht="14.25" customHeight="1">
      <c r="A11" s="227" t="s">
        <v>271</v>
      </c>
      <c r="B11" s="83"/>
      <c r="C11" s="83"/>
      <c r="D11" s="227"/>
      <c r="E11" s="227"/>
      <c r="F11" s="227"/>
      <c r="G11" s="527" t="s">
        <v>638</v>
      </c>
      <c r="H11" s="148" t="s">
        <v>1339</v>
      </c>
      <c r="M11" s="201" t="s">
        <v>273</v>
      </c>
      <c r="N11" s="204"/>
      <c r="O11" s="276"/>
      <c r="P11" s="507"/>
      <c r="Q11" s="507"/>
      <c r="R11" s="331"/>
      <c r="S11" s="528" t="s">
        <v>952</v>
      </c>
      <c r="T11" s="192"/>
      <c r="V11" s="83">
        <v>7</v>
      </c>
      <c r="W11" s="83"/>
      <c r="X11" s="83"/>
      <c r="Y11" s="83"/>
      <c r="Z11" s="83"/>
      <c r="AA11" s="83"/>
      <c r="AB11" s="83"/>
      <c r="AC11" s="83"/>
      <c r="AD11" s="83"/>
      <c r="AE11" s="83"/>
    </row>
    <row r="12" spans="1:31" ht="14.25" customHeight="1">
      <c r="A12" s="227" t="s">
        <v>152</v>
      </c>
      <c r="B12" s="83"/>
      <c r="C12" s="83"/>
      <c r="D12" s="227"/>
      <c r="E12" s="227"/>
      <c r="F12" s="227"/>
      <c r="G12" s="527" t="s">
        <v>610</v>
      </c>
      <c r="H12" s="17">
        <v>14</v>
      </c>
      <c r="I12" s="627"/>
      <c r="M12" s="201" t="s">
        <v>154</v>
      </c>
      <c r="N12" s="204"/>
      <c r="O12" s="276"/>
      <c r="P12" s="507"/>
      <c r="Q12" s="507"/>
      <c r="R12" s="331"/>
      <c r="S12" s="528" t="s">
        <v>953</v>
      </c>
      <c r="T12" s="192"/>
      <c r="V12" s="83">
        <v>8</v>
      </c>
      <c r="W12" s="83"/>
      <c r="X12" s="83"/>
      <c r="Y12" s="83"/>
      <c r="Z12" s="83"/>
      <c r="AA12" s="83"/>
      <c r="AB12" s="83"/>
      <c r="AC12" s="83"/>
      <c r="AD12" s="83"/>
      <c r="AE12" s="83"/>
    </row>
    <row r="13" spans="1:31" ht="14.25" customHeight="1">
      <c r="A13" s="227" t="s">
        <v>272</v>
      </c>
      <c r="B13" s="83"/>
      <c r="C13" s="83"/>
      <c r="D13" s="227"/>
      <c r="E13" s="227"/>
      <c r="F13" s="227"/>
      <c r="G13" s="527" t="s">
        <v>948</v>
      </c>
      <c r="H13" s="17">
        <v>13</v>
      </c>
      <c r="I13" s="627"/>
      <c r="M13" s="201" t="s">
        <v>155</v>
      </c>
      <c r="N13" s="204"/>
      <c r="O13" s="507"/>
      <c r="P13" s="507"/>
      <c r="Q13" s="507"/>
      <c r="R13" s="331"/>
      <c r="S13" s="205"/>
      <c r="T13" s="192"/>
      <c r="V13" s="83">
        <v>9</v>
      </c>
      <c r="W13" s="83"/>
      <c r="X13" s="83"/>
      <c r="Y13" s="83"/>
      <c r="Z13" s="83"/>
      <c r="AA13" s="83"/>
      <c r="AB13" s="83"/>
      <c r="AC13" s="83"/>
      <c r="AD13" s="83"/>
      <c r="AE13" s="83"/>
    </row>
    <row r="14" spans="1:31" ht="14.25" customHeight="1">
      <c r="A14" s="227" t="s">
        <v>153</v>
      </c>
      <c r="B14" s="83"/>
      <c r="C14" s="83"/>
      <c r="D14" s="227"/>
      <c r="E14" s="227"/>
      <c r="F14" s="227"/>
      <c r="G14" s="527" t="s">
        <v>949</v>
      </c>
      <c r="H14" s="17">
        <v>1944</v>
      </c>
      <c r="I14" s="627"/>
      <c r="M14" s="201" t="s">
        <v>156</v>
      </c>
      <c r="N14" s="204"/>
      <c r="O14" s="507"/>
      <c r="P14" s="206"/>
      <c r="Q14" s="507"/>
      <c r="R14" s="475"/>
      <c r="S14" s="527" t="s">
        <v>638</v>
      </c>
      <c r="T14" s="864">
        <v>25</v>
      </c>
      <c r="V14" s="83">
        <v>10</v>
      </c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ht="14.25" customHeight="1">
      <c r="A15" s="227" t="s">
        <v>273</v>
      </c>
      <c r="B15" s="83"/>
      <c r="C15" s="83"/>
      <c r="D15" s="227"/>
      <c r="E15" s="227"/>
      <c r="F15" s="227"/>
      <c r="G15" s="527" t="s">
        <v>950</v>
      </c>
      <c r="H15" s="17">
        <v>22.2</v>
      </c>
      <c r="I15" s="249"/>
      <c r="S15" s="527" t="s">
        <v>610</v>
      </c>
      <c r="T15" s="547">
        <v>35.299999999999997</v>
      </c>
      <c r="V15" s="83">
        <v>11</v>
      </c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ht="14.25" customHeight="1">
      <c r="A16" s="227" t="s">
        <v>154</v>
      </c>
      <c r="B16" s="83"/>
      <c r="C16" s="83"/>
      <c r="D16" s="227"/>
      <c r="E16" s="227"/>
      <c r="F16" s="227"/>
      <c r="G16" s="527" t="s">
        <v>640</v>
      </c>
      <c r="H16" s="17">
        <v>30.8</v>
      </c>
      <c r="I16" s="249"/>
      <c r="M16" s="531" t="s">
        <v>954</v>
      </c>
      <c r="N16" s="1692" t="s">
        <v>1203</v>
      </c>
      <c r="O16" s="1692"/>
      <c r="P16" s="1692"/>
      <c r="Q16" s="1692"/>
      <c r="R16" s="1692"/>
      <c r="S16" s="527" t="s">
        <v>948</v>
      </c>
      <c r="T16" s="864">
        <v>2</v>
      </c>
      <c r="V16" s="83">
        <v>12</v>
      </c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ht="14.25" customHeight="1">
      <c r="A17" s="227" t="s">
        <v>155</v>
      </c>
      <c r="B17" s="95"/>
      <c r="C17" s="95"/>
      <c r="D17" s="227"/>
      <c r="E17" s="227"/>
      <c r="F17" s="227"/>
      <c r="G17" s="857" t="s">
        <v>1156</v>
      </c>
      <c r="H17" s="17" t="s">
        <v>1339</v>
      </c>
      <c r="M17" s="235"/>
      <c r="N17" s="1693"/>
      <c r="O17" s="1693"/>
      <c r="P17" s="1693"/>
      <c r="Q17" s="1693"/>
      <c r="R17" s="1693"/>
      <c r="S17" s="527" t="s">
        <v>949</v>
      </c>
      <c r="T17" s="547">
        <v>1608</v>
      </c>
      <c r="V17" s="83">
        <v>13</v>
      </c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ht="14.25" customHeight="1">
      <c r="A18" s="227" t="s">
        <v>156</v>
      </c>
      <c r="B18" s="95"/>
      <c r="C18" s="95"/>
      <c r="D18" s="227"/>
      <c r="E18" s="227"/>
      <c r="F18" s="227"/>
      <c r="G18" s="857" t="s">
        <v>1149</v>
      </c>
      <c r="M18" s="532"/>
      <c r="N18" s="532"/>
      <c r="O18" s="532"/>
      <c r="P18" s="532"/>
      <c r="Q18" s="532"/>
      <c r="R18" s="532"/>
      <c r="S18" s="527" t="s">
        <v>950</v>
      </c>
      <c r="T18" s="864">
        <v>62.2</v>
      </c>
      <c r="V18" s="83">
        <v>14</v>
      </c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ht="14.25" customHeight="1">
      <c r="A19" s="227" t="s">
        <v>157</v>
      </c>
      <c r="B19" s="95"/>
      <c r="C19" s="95"/>
      <c r="D19" s="227"/>
      <c r="E19" s="227"/>
      <c r="F19" s="227"/>
      <c r="G19" s="857" t="s">
        <v>1150</v>
      </c>
      <c r="H19" s="17">
        <v>15</v>
      </c>
      <c r="M19" s="235"/>
      <c r="N19" s="235"/>
      <c r="O19" s="235"/>
      <c r="P19" s="235"/>
      <c r="Q19" s="235"/>
      <c r="R19" s="235"/>
      <c r="S19" s="527" t="s">
        <v>640</v>
      </c>
      <c r="T19" s="864">
        <v>85.5</v>
      </c>
      <c r="V19" s="83">
        <v>15</v>
      </c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ht="14.25" customHeight="1">
      <c r="A20" s="227" t="s">
        <v>158</v>
      </c>
      <c r="B20" s="95"/>
      <c r="C20" s="95"/>
      <c r="D20" s="227"/>
      <c r="E20" s="227"/>
      <c r="F20" s="227"/>
      <c r="G20" s="866" t="s">
        <v>1151</v>
      </c>
      <c r="H20" s="17">
        <v>2</v>
      </c>
      <c r="S20" s="863" t="s">
        <v>1155</v>
      </c>
      <c r="T20" s="235"/>
      <c r="V20" s="83">
        <v>16</v>
      </c>
      <c r="W20" s="83"/>
      <c r="X20" s="83"/>
      <c r="Y20" s="83"/>
      <c r="Z20" s="83"/>
      <c r="AA20" s="83"/>
      <c r="AB20" s="83"/>
      <c r="AC20" s="83"/>
      <c r="AD20" s="83"/>
      <c r="AE20" s="83"/>
    </row>
    <row r="21" spans="1:31" ht="14.25" customHeight="1">
      <c r="A21" s="227" t="s">
        <v>159</v>
      </c>
      <c r="B21" s="83"/>
      <c r="C21" s="83"/>
      <c r="D21" s="227"/>
      <c r="E21" s="227"/>
      <c r="F21" s="227"/>
      <c r="G21" s="866" t="s">
        <v>1148</v>
      </c>
      <c r="H21" s="17" t="s">
        <v>1339</v>
      </c>
      <c r="I21" s="249"/>
      <c r="S21" s="863" t="s">
        <v>1154</v>
      </c>
      <c r="T21" s="803"/>
      <c r="V21" s="83">
        <v>17</v>
      </c>
      <c r="W21" s="83"/>
      <c r="X21" s="83"/>
      <c r="Y21" s="83"/>
      <c r="Z21" s="83"/>
      <c r="AA21" s="83"/>
      <c r="AB21" s="83"/>
      <c r="AC21" s="83"/>
      <c r="AD21" s="83"/>
      <c r="AE21" s="83"/>
    </row>
    <row r="22" spans="1:31" ht="14.25" customHeight="1">
      <c r="A22" s="227" t="s">
        <v>179</v>
      </c>
      <c r="B22" s="83"/>
      <c r="C22" s="83"/>
      <c r="D22" s="227"/>
      <c r="E22" s="227"/>
      <c r="F22" s="227"/>
      <c r="G22" s="227"/>
      <c r="S22" s="863" t="s">
        <v>1182</v>
      </c>
      <c r="T22" s="17">
        <v>5</v>
      </c>
      <c r="V22" s="83">
        <v>18</v>
      </c>
      <c r="W22" s="83"/>
      <c r="X22" s="83"/>
      <c r="Y22" s="83"/>
      <c r="Z22" s="83"/>
      <c r="AA22" s="83"/>
      <c r="AB22" s="83"/>
      <c r="AC22" s="83"/>
      <c r="AD22" s="83"/>
      <c r="AE22" s="83"/>
    </row>
    <row r="23" spans="1:31" ht="14.25" customHeight="1">
      <c r="A23" s="227" t="s">
        <v>180</v>
      </c>
      <c r="B23" s="83"/>
      <c r="C23" s="83"/>
      <c r="D23" s="227"/>
      <c r="E23" s="227"/>
      <c r="F23" s="227"/>
      <c r="G23" s="227"/>
      <c r="H23" s="148"/>
      <c r="V23" s="83">
        <v>19</v>
      </c>
      <c r="W23" s="83"/>
      <c r="X23" s="83"/>
      <c r="Y23" s="83"/>
      <c r="Z23" s="83"/>
      <c r="AA23" s="83"/>
      <c r="AB23" s="83"/>
      <c r="AC23" s="83"/>
      <c r="AD23" s="83"/>
      <c r="AE23" s="83"/>
    </row>
    <row r="24" spans="1:31" ht="14.25" customHeight="1">
      <c r="A24" s="409" t="s">
        <v>1144</v>
      </c>
      <c r="B24" s="83"/>
      <c r="C24" s="83"/>
      <c r="D24" s="409"/>
      <c r="E24" s="409"/>
      <c r="F24" s="409"/>
      <c r="G24" s="409"/>
      <c r="H24" s="148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14.25" customHeight="1">
      <c r="A25" s="409" t="s">
        <v>1145</v>
      </c>
      <c r="B25" s="83"/>
      <c r="C25" s="83"/>
      <c r="D25" s="409"/>
      <c r="E25" s="409"/>
      <c r="F25" s="409"/>
      <c r="G25" s="409"/>
      <c r="H25" s="148"/>
      <c r="V25" s="83"/>
      <c r="W25" s="83"/>
      <c r="X25" s="83"/>
      <c r="Y25" s="83"/>
      <c r="Z25" s="83"/>
      <c r="AA25" s="83"/>
      <c r="AB25" s="83"/>
      <c r="AC25" s="83"/>
      <c r="AD25" s="83"/>
      <c r="AE25" s="83"/>
    </row>
    <row r="26" spans="1:31" ht="14.25" customHeight="1">
      <c r="A26" s="409" t="s">
        <v>1146</v>
      </c>
      <c r="B26" s="83"/>
      <c r="C26" s="83"/>
      <c r="D26" s="409"/>
      <c r="E26" s="409"/>
      <c r="F26" s="409"/>
      <c r="G26" s="409"/>
      <c r="H26" s="148"/>
      <c r="V26" s="83"/>
      <c r="W26" s="83"/>
      <c r="X26" s="83"/>
      <c r="Y26" s="83"/>
      <c r="Z26" s="83"/>
      <c r="AA26" s="83"/>
      <c r="AB26" s="83"/>
      <c r="AC26" s="83"/>
      <c r="AD26" s="83"/>
      <c r="AE26" s="83"/>
    </row>
    <row r="27" spans="1:31" ht="14.25" customHeight="1">
      <c r="A27" s="409" t="s">
        <v>1147</v>
      </c>
      <c r="B27" s="856"/>
      <c r="C27" s="856"/>
      <c r="D27" s="83"/>
      <c r="E27" s="83"/>
      <c r="F27" s="83"/>
      <c r="G27" s="83"/>
      <c r="H27" s="148"/>
      <c r="V27" s="83">
        <v>20</v>
      </c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ht="14.25" customHeight="1">
      <c r="A28" s="409"/>
      <c r="B28" s="856"/>
      <c r="C28" s="856"/>
      <c r="D28" s="83"/>
      <c r="E28" s="83"/>
      <c r="F28" s="83"/>
      <c r="G28" s="83"/>
      <c r="H28" s="148"/>
      <c r="V28" s="83"/>
      <c r="W28" s="83"/>
      <c r="X28" s="83"/>
      <c r="Y28" s="83"/>
      <c r="Z28" s="83"/>
      <c r="AA28" s="83"/>
      <c r="AB28" s="83"/>
      <c r="AC28" s="83"/>
      <c r="AD28" s="83"/>
      <c r="AE28" s="83"/>
    </row>
    <row r="29" spans="1:31" ht="14.25" customHeight="1">
      <c r="A29" s="409"/>
      <c r="B29" s="856"/>
      <c r="C29" s="856"/>
      <c r="D29" s="83"/>
      <c r="E29" s="83"/>
      <c r="F29" s="83"/>
      <c r="G29" s="83"/>
      <c r="H29" s="148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ht="14.25" customHeight="1">
      <c r="A30" s="320" t="s">
        <v>569</v>
      </c>
      <c r="B30" s="83" t="s">
        <v>1593</v>
      </c>
      <c r="C30" s="83"/>
      <c r="D30" s="83"/>
      <c r="E30" s="83"/>
      <c r="F30" s="83"/>
      <c r="G30" s="83"/>
      <c r="H30" s="83"/>
      <c r="V30" s="83">
        <v>21</v>
      </c>
      <c r="W30" s="83"/>
      <c r="X30" s="83"/>
      <c r="Y30" s="83"/>
      <c r="Z30" s="83"/>
      <c r="AA30" s="83"/>
      <c r="AB30" s="83"/>
      <c r="AC30" s="83"/>
      <c r="AD30" s="83"/>
      <c r="AE30" s="83"/>
    </row>
    <row r="31" spans="1:31" ht="14.25" customHeight="1">
      <c r="A31" s="140" t="s">
        <v>570</v>
      </c>
      <c r="B31" s="83" t="s">
        <v>1593</v>
      </c>
      <c r="C31" s="83"/>
      <c r="D31" s="83"/>
      <c r="E31" s="83"/>
      <c r="F31" s="83"/>
      <c r="G31" s="83"/>
      <c r="H31" s="83"/>
      <c r="V31" s="83">
        <v>22</v>
      </c>
      <c r="W31" s="83"/>
      <c r="X31" s="83"/>
      <c r="Y31" s="83"/>
      <c r="Z31" s="83"/>
      <c r="AA31" s="83"/>
      <c r="AB31" s="83"/>
      <c r="AC31" s="83"/>
      <c r="AD31" s="83"/>
      <c r="AE31" s="83"/>
    </row>
    <row r="32" spans="1:31" ht="14.25" customHeight="1">
      <c r="A32" s="1670" t="s">
        <v>1594</v>
      </c>
      <c r="B32" s="1670"/>
      <c r="C32" s="1670"/>
      <c r="D32" s="1670"/>
      <c r="E32" s="1670"/>
      <c r="F32" s="1670"/>
      <c r="G32" s="1670"/>
      <c r="H32" s="1670"/>
      <c r="V32" s="83">
        <v>23</v>
      </c>
      <c r="W32" s="83"/>
      <c r="X32" s="83"/>
      <c r="Y32" s="83"/>
      <c r="Z32" s="83"/>
      <c r="AA32" s="83"/>
      <c r="AB32" s="83"/>
      <c r="AC32" s="83"/>
      <c r="AD32" s="83"/>
      <c r="AE32" s="83"/>
    </row>
    <row r="33" spans="1:31" ht="14.25" customHeight="1">
      <c r="A33" s="235"/>
      <c r="B33" s="235"/>
      <c r="C33" s="235"/>
      <c r="D33" s="235"/>
      <c r="E33" s="235"/>
      <c r="F33" s="235"/>
      <c r="G33" s="235"/>
      <c r="H33" s="235"/>
      <c r="V33" s="83">
        <v>24</v>
      </c>
      <c r="W33" s="83"/>
      <c r="X33" s="83"/>
      <c r="Y33" s="83"/>
      <c r="Z33" s="83"/>
      <c r="AA33" s="83"/>
      <c r="AB33" s="83"/>
      <c r="AC33" s="83"/>
      <c r="AD33" s="83"/>
      <c r="AE33" s="83"/>
    </row>
    <row r="34" spans="1:31" ht="14.25" customHeight="1">
      <c r="A34" s="235"/>
      <c r="B34" s="235"/>
      <c r="C34" s="235"/>
      <c r="D34" s="235"/>
      <c r="E34" s="235"/>
      <c r="F34" s="235"/>
      <c r="G34" s="235"/>
      <c r="H34" s="235"/>
      <c r="V34" s="83">
        <v>25</v>
      </c>
      <c r="W34" s="83"/>
      <c r="X34" s="83"/>
      <c r="Y34" s="83"/>
      <c r="Z34" s="83"/>
      <c r="AA34" s="83"/>
      <c r="AB34" s="83"/>
      <c r="AC34" s="83"/>
      <c r="AD34" s="83"/>
      <c r="AE34" s="83"/>
    </row>
    <row r="35" spans="1:31" ht="14.25" customHeight="1">
      <c r="A35" s="1671" t="s">
        <v>114</v>
      </c>
      <c r="B35" s="1671"/>
      <c r="C35" s="1067" t="s">
        <v>1338</v>
      </c>
      <c r="D35" s="1067"/>
      <c r="E35" s="1671" t="s">
        <v>117</v>
      </c>
      <c r="F35" s="1671"/>
      <c r="G35" s="809" t="s">
        <v>1095</v>
      </c>
      <c r="W35" s="1694" t="s">
        <v>1082</v>
      </c>
      <c r="X35" s="1694"/>
      <c r="Y35" s="1694"/>
    </row>
    <row r="36" spans="1:31" ht="14.25" customHeight="1">
      <c r="A36" s="190" t="s">
        <v>146</v>
      </c>
      <c r="B36" s="236"/>
      <c r="C36" s="190" t="s">
        <v>146</v>
      </c>
      <c r="D36" s="237"/>
      <c r="E36" s="190" t="s">
        <v>146</v>
      </c>
      <c r="G36" s="849" t="s">
        <v>1599</v>
      </c>
      <c r="W36" s="802">
        <v>0</v>
      </c>
      <c r="X36" s="1688" t="s">
        <v>1083</v>
      </c>
      <c r="Y36" s="1688"/>
      <c r="Z36" s="1688"/>
      <c r="AA36" s="1688"/>
      <c r="AB36" s="1688"/>
      <c r="AC36" s="1688"/>
      <c r="AD36" s="1688"/>
      <c r="AE36" s="1688"/>
    </row>
    <row r="37" spans="1:31" ht="14.25" customHeight="1">
      <c r="A37" s="190" t="s">
        <v>161</v>
      </c>
      <c r="B37" s="238"/>
      <c r="C37" s="190" t="s">
        <v>161</v>
      </c>
      <c r="D37" s="238"/>
      <c r="E37" s="190" t="s">
        <v>161</v>
      </c>
      <c r="F37" s="238"/>
      <c r="G37" s="238"/>
      <c r="W37" s="802">
        <v>1</v>
      </c>
      <c r="X37" s="1688" t="s">
        <v>1084</v>
      </c>
      <c r="Y37" s="1688"/>
      <c r="Z37" s="1688"/>
      <c r="AA37" s="1688"/>
      <c r="AB37" s="1688"/>
      <c r="AC37" s="1688"/>
      <c r="AD37" s="1688"/>
      <c r="AE37" s="1688"/>
    </row>
    <row r="38" spans="1:31" ht="14.25" customHeight="1">
      <c r="A38" s="189" t="s">
        <v>1093</v>
      </c>
      <c r="B38" s="1070"/>
      <c r="C38" s="189" t="s">
        <v>1093</v>
      </c>
      <c r="D38" s="1071"/>
      <c r="E38" s="189" t="s">
        <v>1093</v>
      </c>
      <c r="F38" s="1672"/>
      <c r="G38" s="1672"/>
      <c r="W38" s="802">
        <v>2</v>
      </c>
      <c r="X38" s="1688" t="s">
        <v>1085</v>
      </c>
      <c r="Y38" s="1688"/>
      <c r="Z38" s="1688"/>
      <c r="AA38" s="1688"/>
      <c r="AB38" s="1688"/>
      <c r="AC38" s="1688"/>
      <c r="AD38" s="1688"/>
      <c r="AE38" s="1688"/>
    </row>
    <row r="39" spans="1:31" ht="14.25" customHeight="1">
      <c r="A39" s="805" t="s">
        <v>1094</v>
      </c>
      <c r="B39" s="806"/>
      <c r="C39" s="805" t="s">
        <v>1094</v>
      </c>
      <c r="D39" s="807"/>
      <c r="E39" s="805" t="s">
        <v>1094</v>
      </c>
      <c r="F39" s="808"/>
      <c r="G39" s="801"/>
      <c r="W39" s="802"/>
      <c r="X39" s="804"/>
      <c r="Y39" s="804"/>
      <c r="Z39" s="804"/>
      <c r="AA39" s="804"/>
      <c r="AB39" s="804"/>
      <c r="AC39" s="804"/>
      <c r="AD39" s="804"/>
      <c r="AE39" s="804"/>
    </row>
    <row r="40" spans="1:31" ht="14.25" customHeight="1">
      <c r="A40" s="805"/>
      <c r="B40" s="1068" t="s">
        <v>1596</v>
      </c>
      <c r="C40" s="1068" t="s">
        <v>1597</v>
      </c>
      <c r="D40" s="1068" t="s">
        <v>1338</v>
      </c>
      <c r="F40" s="808"/>
      <c r="G40" s="1066"/>
      <c r="W40" s="802"/>
      <c r="X40" s="1063"/>
      <c r="Y40" s="1063"/>
      <c r="Z40" s="1063"/>
      <c r="AA40" s="1063"/>
      <c r="AB40" s="1063"/>
      <c r="AC40" s="1063"/>
      <c r="AD40" s="1063"/>
      <c r="AE40" s="1063"/>
    </row>
    <row r="41" spans="1:31" ht="14.25" customHeight="1">
      <c r="A41" s="240" t="s">
        <v>162</v>
      </c>
      <c r="B41" s="240" t="s">
        <v>1598</v>
      </c>
      <c r="C41" s="240" t="s">
        <v>1598</v>
      </c>
      <c r="D41" s="241" t="s">
        <v>1598</v>
      </c>
      <c r="E41" s="1675" t="s">
        <v>21</v>
      </c>
      <c r="F41" s="1676"/>
      <c r="G41" s="1677"/>
      <c r="W41" s="802">
        <v>3</v>
      </c>
      <c r="X41" s="1688" t="s">
        <v>1086</v>
      </c>
      <c r="Y41" s="1688"/>
      <c r="Z41" s="1688"/>
      <c r="AA41" s="1688"/>
      <c r="AB41" s="1688"/>
      <c r="AC41" s="1688"/>
      <c r="AD41" s="1688"/>
      <c r="AE41" s="1688"/>
    </row>
    <row r="42" spans="1:31" ht="14.25" customHeight="1">
      <c r="A42" s="351">
        <v>2</v>
      </c>
      <c r="B42" s="83"/>
      <c r="C42" s="194"/>
      <c r="D42" s="194"/>
      <c r="E42" s="190" t="s">
        <v>146</v>
      </c>
      <c r="F42" s="236"/>
      <c r="G42" s="809" t="s">
        <v>426</v>
      </c>
      <c r="W42" s="802">
        <v>4</v>
      </c>
      <c r="X42" s="1688" t="s">
        <v>1087</v>
      </c>
      <c r="Y42" s="1688"/>
      <c r="Z42" s="1688"/>
      <c r="AA42" s="1688"/>
      <c r="AB42" s="1688"/>
      <c r="AC42" s="1688"/>
      <c r="AD42" s="1688"/>
      <c r="AE42" s="1688"/>
    </row>
    <row r="43" spans="1:31" ht="14.25" customHeight="1">
      <c r="A43" s="351">
        <v>4</v>
      </c>
      <c r="B43" s="83"/>
      <c r="C43" s="194"/>
      <c r="D43" s="194"/>
      <c r="E43" s="190" t="s">
        <v>161</v>
      </c>
      <c r="F43" s="137" t="s">
        <v>258</v>
      </c>
      <c r="G43" s="589"/>
      <c r="W43" s="802">
        <v>5</v>
      </c>
      <c r="X43" s="1688" t="s">
        <v>1088</v>
      </c>
      <c r="Y43" s="1688"/>
      <c r="Z43" s="1688"/>
      <c r="AA43" s="1688"/>
      <c r="AB43" s="1688"/>
      <c r="AC43" s="1688"/>
      <c r="AD43" s="1688"/>
      <c r="AE43" s="1688"/>
    </row>
    <row r="44" spans="1:31" ht="14.25" customHeight="1">
      <c r="A44" s="351">
        <v>6</v>
      </c>
      <c r="B44" s="83"/>
      <c r="C44" s="194"/>
      <c r="D44" s="194"/>
      <c r="E44" s="189" t="s">
        <v>1093</v>
      </c>
      <c r="G44" s="239"/>
      <c r="W44" s="802">
        <v>6</v>
      </c>
      <c r="X44" s="1688" t="s">
        <v>1089</v>
      </c>
      <c r="Y44" s="1688"/>
      <c r="Z44" s="1688"/>
      <c r="AA44" s="1688"/>
      <c r="AB44" s="1688"/>
      <c r="AC44" s="1688"/>
      <c r="AD44" s="1688"/>
      <c r="AE44" s="1688"/>
    </row>
    <row r="45" spans="1:31" ht="14.25" customHeight="1">
      <c r="A45" s="351">
        <v>8</v>
      </c>
      <c r="B45" s="83"/>
      <c r="C45" s="194"/>
      <c r="D45" s="194"/>
      <c r="E45" s="810" t="s">
        <v>1094</v>
      </c>
      <c r="F45" s="1678"/>
      <c r="G45" s="1679"/>
    </row>
    <row r="46" spans="1:31" ht="14.25" customHeight="1">
      <c r="A46" s="351">
        <v>10</v>
      </c>
      <c r="B46" s="83"/>
      <c r="C46" s="194"/>
      <c r="D46" s="194"/>
      <c r="E46" s="1689" t="s">
        <v>169</v>
      </c>
      <c r="F46" s="1689"/>
      <c r="G46" s="1681" t="s">
        <v>1096</v>
      </c>
      <c r="H46" s="1681"/>
      <c r="W46" s="148"/>
      <c r="X46" s="148"/>
      <c r="Y46" s="148"/>
      <c r="Z46" s="148"/>
      <c r="AA46" s="148"/>
      <c r="AB46" s="148"/>
      <c r="AC46" s="148"/>
    </row>
    <row r="47" spans="1:31" ht="14.25" customHeight="1">
      <c r="A47" s="628">
        <v>12</v>
      </c>
      <c r="B47" s="83"/>
      <c r="C47" s="194"/>
      <c r="D47" s="194"/>
      <c r="E47" s="190" t="s">
        <v>161</v>
      </c>
      <c r="F47" s="811"/>
      <c r="G47" s="812"/>
      <c r="H47" s="812"/>
      <c r="W47" s="148"/>
      <c r="X47" s="148"/>
      <c r="Y47" s="148"/>
      <c r="Z47" s="148"/>
      <c r="AA47" s="148"/>
      <c r="AB47" s="148"/>
      <c r="AC47" s="148"/>
    </row>
    <row r="48" spans="1:31" ht="14.25" customHeight="1">
      <c r="A48" s="628">
        <v>14</v>
      </c>
      <c r="B48" s="83"/>
      <c r="C48" s="194"/>
      <c r="D48" s="194"/>
      <c r="E48" s="189" t="s">
        <v>1093</v>
      </c>
      <c r="F48" s="242"/>
      <c r="G48" s="1680"/>
      <c r="H48" s="1680"/>
      <c r="W48" s="148"/>
      <c r="X48" s="148"/>
      <c r="Y48" s="148"/>
      <c r="Z48" s="148"/>
      <c r="AA48" s="148"/>
      <c r="AB48" s="148"/>
      <c r="AC48" s="148"/>
    </row>
    <row r="49" spans="1:29" ht="14.25" customHeight="1">
      <c r="A49" s="628">
        <v>16</v>
      </c>
      <c r="B49" s="83"/>
      <c r="C49" s="83"/>
      <c r="D49" s="83"/>
      <c r="E49" s="810" t="s">
        <v>1094</v>
      </c>
      <c r="G49" s="1686"/>
      <c r="H49" s="1686"/>
      <c r="W49" s="148"/>
      <c r="X49" s="148"/>
      <c r="Y49" s="148"/>
      <c r="Z49" s="148"/>
      <c r="AA49" s="148"/>
      <c r="AB49" s="148"/>
      <c r="AC49" s="148"/>
    </row>
    <row r="50" spans="1:29" ht="14.25" customHeight="1">
      <c r="A50" s="628">
        <v>18</v>
      </c>
      <c r="B50" s="83"/>
      <c r="C50" s="83"/>
      <c r="D50" s="83"/>
      <c r="E50" s="1684" t="s">
        <v>170</v>
      </c>
      <c r="F50" s="1685"/>
      <c r="G50" s="1681" t="s">
        <v>1096</v>
      </c>
      <c r="H50" s="1681"/>
      <c r="W50" s="148"/>
      <c r="X50" s="148"/>
      <c r="Y50" s="148"/>
      <c r="Z50" s="148"/>
      <c r="AA50" s="148"/>
      <c r="AB50" s="148"/>
      <c r="AC50" s="148"/>
    </row>
    <row r="51" spans="1:29" ht="14.25" customHeight="1">
      <c r="A51" s="628">
        <v>20</v>
      </c>
      <c r="B51" s="83"/>
      <c r="C51" s="83"/>
      <c r="D51" s="83"/>
      <c r="E51" s="190" t="s">
        <v>161</v>
      </c>
      <c r="G51" s="813"/>
      <c r="H51" s="813"/>
    </row>
    <row r="52" spans="1:29" ht="14.25" customHeight="1">
      <c r="A52" s="517">
        <v>22</v>
      </c>
      <c r="B52" s="83"/>
      <c r="C52" s="83"/>
      <c r="D52" s="83"/>
      <c r="E52" s="189" t="s">
        <v>1093</v>
      </c>
      <c r="F52" s="242"/>
      <c r="G52" s="1682"/>
      <c r="H52" s="1683"/>
    </row>
    <row r="53" spans="1:29" ht="14.25" customHeight="1">
      <c r="A53" s="517"/>
      <c r="B53" s="83"/>
      <c r="C53" s="83"/>
      <c r="D53" s="83"/>
      <c r="E53" s="810" t="s">
        <v>1094</v>
      </c>
      <c r="F53" s="242"/>
      <c r="G53" s="1682"/>
      <c r="H53" s="1683"/>
    </row>
    <row r="54" spans="1:29" ht="14.25" customHeight="1">
      <c r="A54" s="178"/>
      <c r="B54" s="1674"/>
      <c r="C54" s="1674"/>
      <c r="D54" s="1674"/>
      <c r="E54" s="1674"/>
      <c r="F54" s="1674"/>
      <c r="G54" s="1674"/>
      <c r="H54" s="229"/>
    </row>
    <row r="55" spans="1:29" ht="14.25" customHeight="1">
      <c r="A55" s="1" t="s">
        <v>182</v>
      </c>
      <c r="D55" s="17" t="s">
        <v>183</v>
      </c>
      <c r="E55" s="281">
        <v>42394</v>
      </c>
    </row>
    <row r="56" spans="1:29" ht="14.25" customHeight="1">
      <c r="A56" s="86" t="s">
        <v>189</v>
      </c>
      <c r="B56" s="228" t="s">
        <v>146</v>
      </c>
      <c r="C56" s="228"/>
      <c r="D56" s="228" t="s">
        <v>147</v>
      </c>
      <c r="E56" s="228" t="s">
        <v>148</v>
      </c>
      <c r="F56" s="228" t="s">
        <v>149</v>
      </c>
      <c r="G56" s="228" t="s">
        <v>150</v>
      </c>
      <c r="H56" s="86" t="s">
        <v>160</v>
      </c>
      <c r="I56" s="86" t="s">
        <v>168</v>
      </c>
    </row>
    <row r="57" spans="1:29" ht="14.25" customHeight="1">
      <c r="A57" s="227" t="s">
        <v>270</v>
      </c>
      <c r="B57" s="83"/>
      <c r="C57" s="83"/>
      <c r="D57" s="191"/>
      <c r="E57" s="191"/>
      <c r="F57" s="191"/>
      <c r="G57" s="191"/>
      <c r="H57" s="231"/>
      <c r="I57" s="83"/>
    </row>
    <row r="58" spans="1:29" ht="14.25" customHeight="1">
      <c r="A58" s="227" t="s">
        <v>151</v>
      </c>
      <c r="B58" s="83"/>
      <c r="C58" s="83"/>
      <c r="D58" s="191"/>
      <c r="E58" s="191"/>
      <c r="F58" s="191"/>
      <c r="G58" s="191"/>
      <c r="H58" s="148"/>
    </row>
    <row r="59" spans="1:29" ht="14.25" customHeight="1">
      <c r="A59" s="227" t="s">
        <v>271</v>
      </c>
      <c r="B59" s="83"/>
      <c r="C59" s="83"/>
      <c r="D59" s="191"/>
      <c r="E59" s="191"/>
      <c r="F59" s="191"/>
      <c r="G59" s="191"/>
      <c r="H59" s="148"/>
    </row>
    <row r="60" spans="1:29" ht="14.25" customHeight="1">
      <c r="A60" s="227" t="s">
        <v>152</v>
      </c>
      <c r="B60" s="83"/>
      <c r="C60" s="83"/>
      <c r="D60" s="191"/>
      <c r="E60" s="191"/>
      <c r="F60" s="191"/>
      <c r="G60" s="191"/>
      <c r="H60" s="148"/>
    </row>
    <row r="61" spans="1:29" ht="14.25" customHeight="1">
      <c r="A61" s="227" t="s">
        <v>272</v>
      </c>
      <c r="B61" s="83"/>
      <c r="C61" s="83"/>
      <c r="D61" s="191"/>
      <c r="E61" s="191"/>
      <c r="F61" s="191"/>
      <c r="G61" s="191"/>
      <c r="H61" s="148"/>
    </row>
    <row r="62" spans="1:29" ht="14.25" customHeight="1">
      <c r="A62" s="227" t="s">
        <v>153</v>
      </c>
      <c r="B62" s="83"/>
      <c r="C62" s="83"/>
      <c r="D62" s="191"/>
      <c r="E62" s="191"/>
      <c r="F62" s="191"/>
      <c r="G62" s="191"/>
      <c r="H62" s="148"/>
    </row>
    <row r="63" spans="1:29" ht="14.25" customHeight="1">
      <c r="A63" s="227" t="s">
        <v>273</v>
      </c>
      <c r="B63" s="83"/>
      <c r="C63" s="83"/>
      <c r="D63" s="191"/>
      <c r="E63" s="191"/>
      <c r="F63" s="191"/>
      <c r="G63" s="191"/>
      <c r="H63" s="148"/>
    </row>
    <row r="64" spans="1:29" ht="14.25" customHeight="1">
      <c r="A64" s="227" t="s">
        <v>154</v>
      </c>
      <c r="B64" s="83"/>
      <c r="C64" s="83"/>
      <c r="D64" s="191"/>
      <c r="E64" s="191"/>
      <c r="F64" s="191"/>
      <c r="G64" s="191"/>
      <c r="H64" s="148"/>
    </row>
    <row r="65" spans="1:9" ht="14.25" customHeight="1">
      <c r="A65" s="227" t="s">
        <v>155</v>
      </c>
      <c r="B65" s="83"/>
      <c r="C65" s="83"/>
      <c r="D65" s="191"/>
      <c r="E65" s="191"/>
      <c r="F65" s="191"/>
      <c r="G65" s="191"/>
      <c r="H65" s="148"/>
    </row>
    <row r="66" spans="1:9" ht="14.25" customHeight="1">
      <c r="A66" s="227" t="s">
        <v>156</v>
      </c>
      <c r="B66" s="83"/>
      <c r="C66" s="83"/>
      <c r="D66" s="191"/>
      <c r="E66" s="191"/>
      <c r="F66" s="191"/>
      <c r="G66" s="191"/>
      <c r="H66" s="148"/>
    </row>
    <row r="67" spans="1:9" ht="14.25" customHeight="1">
      <c r="A67" s="227" t="s">
        <v>157</v>
      </c>
      <c r="B67" s="95"/>
      <c r="C67" s="95"/>
      <c r="D67" s="191"/>
      <c r="E67" s="191"/>
      <c r="F67" s="191"/>
      <c r="G67" s="191"/>
      <c r="H67" s="148"/>
    </row>
    <row r="68" spans="1:9" ht="14.25" customHeight="1">
      <c r="A68" s="227" t="s">
        <v>158</v>
      </c>
      <c r="B68" s="95"/>
      <c r="C68" s="95"/>
      <c r="D68" s="191"/>
      <c r="E68" s="191"/>
      <c r="F68" s="191"/>
      <c r="G68" s="191"/>
      <c r="H68" s="148"/>
    </row>
    <row r="69" spans="1:9" ht="14.25" customHeight="1">
      <c r="A69" s="409"/>
      <c r="B69" s="95"/>
      <c r="C69" s="95"/>
      <c r="D69" s="191"/>
      <c r="E69" s="191"/>
      <c r="F69" s="191"/>
      <c r="G69" s="191"/>
      <c r="H69" s="148"/>
    </row>
    <row r="70" spans="1:9" ht="14.25" customHeight="1">
      <c r="A70" s="409"/>
      <c r="B70" s="95"/>
      <c r="C70" s="95"/>
      <c r="D70" s="191"/>
      <c r="E70" s="191"/>
      <c r="F70" s="191"/>
      <c r="G70" s="191"/>
      <c r="H70" s="148"/>
    </row>
    <row r="71" spans="1:9" ht="14.25" customHeight="1">
      <c r="A71" s="83"/>
      <c r="B71" s="83"/>
      <c r="C71" s="83"/>
      <c r="D71" s="83"/>
      <c r="E71" s="83"/>
      <c r="F71" s="83"/>
      <c r="G71" s="83"/>
    </row>
    <row r="72" spans="1:9" ht="14.25" customHeight="1">
      <c r="A72" s="86" t="s">
        <v>190</v>
      </c>
      <c r="B72" s="228" t="s">
        <v>146</v>
      </c>
      <c r="C72" s="228"/>
      <c r="D72" s="228" t="s">
        <v>147</v>
      </c>
      <c r="E72" s="228" t="s">
        <v>148</v>
      </c>
      <c r="F72" s="228" t="s">
        <v>149</v>
      </c>
      <c r="G72" s="228" t="s">
        <v>150</v>
      </c>
      <c r="H72" s="86" t="s">
        <v>160</v>
      </c>
      <c r="I72" s="86" t="s">
        <v>168</v>
      </c>
    </row>
    <row r="73" spans="1:9" ht="14.25" customHeight="1">
      <c r="A73" s="227" t="s">
        <v>270</v>
      </c>
      <c r="B73" s="83"/>
      <c r="C73" s="83"/>
      <c r="D73" s="191"/>
      <c r="E73" s="191"/>
      <c r="F73" s="191"/>
      <c r="G73" s="191"/>
      <c r="H73" s="231"/>
      <c r="I73" s="83"/>
    </row>
    <row r="74" spans="1:9" ht="14.25" customHeight="1">
      <c r="A74" s="227" t="s">
        <v>151</v>
      </c>
      <c r="B74" s="83"/>
      <c r="C74" s="83"/>
      <c r="D74" s="191"/>
      <c r="E74" s="191"/>
      <c r="F74" s="191"/>
      <c r="G74" s="191"/>
      <c r="H74" s="148"/>
    </row>
    <row r="75" spans="1:9" ht="14.25" customHeight="1">
      <c r="A75" s="227" t="s">
        <v>271</v>
      </c>
      <c r="B75" s="83"/>
      <c r="C75" s="83"/>
      <c r="D75" s="191"/>
      <c r="E75" s="191"/>
      <c r="F75" s="191"/>
      <c r="G75" s="191"/>
      <c r="H75" s="148"/>
    </row>
    <row r="76" spans="1:9" ht="14.25" customHeight="1">
      <c r="A76" s="227" t="s">
        <v>152</v>
      </c>
      <c r="B76" s="83"/>
      <c r="C76" s="83"/>
      <c r="D76" s="191"/>
      <c r="E76" s="191"/>
      <c r="F76" s="191"/>
      <c r="G76" s="191"/>
      <c r="H76" s="148"/>
    </row>
    <row r="77" spans="1:9" ht="14.25" customHeight="1">
      <c r="A77" s="227" t="s">
        <v>272</v>
      </c>
      <c r="B77" s="83"/>
      <c r="C77" s="83"/>
      <c r="D77" s="191"/>
      <c r="E77" s="191"/>
      <c r="F77" s="191"/>
      <c r="G77" s="191"/>
      <c r="H77" s="148"/>
    </row>
    <row r="78" spans="1:9" ht="14.25" customHeight="1">
      <c r="A78" s="227" t="s">
        <v>153</v>
      </c>
      <c r="B78" s="83"/>
      <c r="C78" s="83"/>
      <c r="D78" s="191"/>
      <c r="E78" s="191"/>
      <c r="F78" s="191"/>
      <c r="G78" s="191"/>
      <c r="H78" s="148"/>
    </row>
    <row r="79" spans="1:9" ht="14.25" customHeight="1">
      <c r="A79" s="227" t="s">
        <v>273</v>
      </c>
      <c r="B79" s="83"/>
      <c r="C79" s="83"/>
      <c r="D79" s="191"/>
      <c r="E79" s="191"/>
      <c r="F79" s="191"/>
      <c r="G79" s="191"/>
      <c r="H79" s="148"/>
    </row>
    <row r="80" spans="1:9" ht="14.25" customHeight="1">
      <c r="A80" s="227" t="s">
        <v>154</v>
      </c>
      <c r="B80" s="83"/>
      <c r="C80" s="83"/>
      <c r="D80" s="191"/>
      <c r="E80" s="191"/>
      <c r="F80" s="191"/>
      <c r="G80" s="191"/>
      <c r="H80" s="148"/>
    </row>
    <row r="81" spans="1:9" ht="14.25" customHeight="1">
      <c r="A81" s="227" t="s">
        <v>155</v>
      </c>
      <c r="B81" s="83"/>
      <c r="C81" s="83"/>
      <c r="D81" s="191"/>
      <c r="E81" s="191"/>
      <c r="F81" s="191"/>
      <c r="G81" s="191"/>
      <c r="H81" s="148"/>
    </row>
    <row r="82" spans="1:9" ht="14.25" customHeight="1">
      <c r="A82" s="140" t="s">
        <v>156</v>
      </c>
      <c r="B82" s="95"/>
      <c r="C82" s="95"/>
      <c r="D82" s="191"/>
      <c r="E82" s="191"/>
      <c r="F82" s="191"/>
      <c r="G82" s="191"/>
      <c r="H82" s="148"/>
    </row>
    <row r="83" spans="1:9" ht="14.25" customHeight="1">
      <c r="A83" s="140" t="s">
        <v>157</v>
      </c>
      <c r="B83" s="95"/>
      <c r="C83" s="95"/>
      <c r="D83" s="191"/>
      <c r="E83" s="191"/>
      <c r="F83" s="191"/>
      <c r="G83" s="191"/>
      <c r="H83" s="148"/>
    </row>
    <row r="84" spans="1:9" ht="14.25" customHeight="1">
      <c r="A84" s="140" t="s">
        <v>158</v>
      </c>
      <c r="B84" s="95"/>
      <c r="C84" s="95"/>
      <c r="D84" s="191"/>
      <c r="E84" s="191"/>
      <c r="F84" s="191"/>
      <c r="G84" s="191"/>
      <c r="H84" s="148"/>
    </row>
    <row r="85" spans="1:9" ht="14.25" customHeight="1">
      <c r="A85" s="140"/>
      <c r="B85" s="95"/>
      <c r="C85" s="95"/>
      <c r="D85" s="191"/>
      <c r="E85" s="191"/>
      <c r="F85" s="191"/>
      <c r="G85" s="191"/>
      <c r="H85" s="148"/>
    </row>
    <row r="86" spans="1:9" ht="14.25" customHeight="1">
      <c r="A86" s="140"/>
      <c r="B86" s="95"/>
      <c r="C86" s="95"/>
      <c r="D86" s="191"/>
      <c r="E86" s="191"/>
      <c r="F86" s="191"/>
      <c r="G86" s="191"/>
      <c r="H86" s="148"/>
    </row>
    <row r="87" spans="1:9" ht="14.25" customHeight="1">
      <c r="A87" s="83"/>
      <c r="B87" s="83"/>
      <c r="C87" s="83"/>
      <c r="D87" s="83"/>
      <c r="E87" s="83"/>
      <c r="F87" s="83"/>
      <c r="G87" s="83"/>
    </row>
    <row r="88" spans="1:9" ht="14.25" customHeight="1">
      <c r="A88" s="86" t="s">
        <v>191</v>
      </c>
      <c r="B88" s="228" t="s">
        <v>146</v>
      </c>
      <c r="C88" s="228"/>
      <c r="D88" s="228" t="s">
        <v>147</v>
      </c>
      <c r="E88" s="228" t="s">
        <v>148</v>
      </c>
      <c r="F88" s="228" t="s">
        <v>149</v>
      </c>
      <c r="G88" s="228" t="s">
        <v>150</v>
      </c>
      <c r="H88" s="86" t="s">
        <v>160</v>
      </c>
      <c r="I88" s="86" t="s">
        <v>168</v>
      </c>
    </row>
    <row r="89" spans="1:9" ht="14.25" customHeight="1">
      <c r="A89" s="227" t="s">
        <v>270</v>
      </c>
      <c r="B89" s="83"/>
      <c r="C89" s="83"/>
      <c r="D89" s="191"/>
      <c r="E89" s="191"/>
      <c r="F89" s="191"/>
      <c r="G89" s="191"/>
      <c r="H89" s="231"/>
      <c r="I89" s="83"/>
    </row>
    <row r="90" spans="1:9" ht="14.25" customHeight="1">
      <c r="A90" s="227" t="s">
        <v>151</v>
      </c>
      <c r="B90" s="83"/>
      <c r="C90" s="83"/>
      <c r="D90" s="191"/>
      <c r="E90" s="191"/>
      <c r="F90" s="191"/>
      <c r="G90" s="191"/>
      <c r="H90" s="148"/>
    </row>
    <row r="91" spans="1:9" ht="14.25" customHeight="1">
      <c r="A91" s="227" t="s">
        <v>271</v>
      </c>
      <c r="B91" s="83"/>
      <c r="C91" s="83"/>
      <c r="D91" s="191"/>
      <c r="E91" s="191"/>
      <c r="F91" s="191"/>
      <c r="G91" s="191"/>
      <c r="H91" s="148"/>
    </row>
    <row r="92" spans="1:9" ht="14.25" customHeight="1">
      <c r="A92" s="227" t="s">
        <v>152</v>
      </c>
      <c r="B92" s="83"/>
      <c r="C92" s="83"/>
      <c r="D92" s="191"/>
      <c r="E92" s="191"/>
      <c r="F92" s="191"/>
      <c r="G92" s="191"/>
      <c r="H92" s="148"/>
    </row>
    <row r="93" spans="1:9" ht="14.25" customHeight="1">
      <c r="A93" s="227" t="s">
        <v>272</v>
      </c>
      <c r="B93" s="83"/>
      <c r="C93" s="83"/>
      <c r="D93" s="191"/>
      <c r="E93" s="191"/>
      <c r="F93" s="191"/>
      <c r="G93" s="191"/>
      <c r="H93" s="148"/>
    </row>
    <row r="94" spans="1:9" ht="14.25" customHeight="1">
      <c r="A94" s="227" t="s">
        <v>153</v>
      </c>
      <c r="B94" s="83"/>
      <c r="C94" s="83"/>
      <c r="D94" s="191"/>
      <c r="E94" s="191"/>
      <c r="F94" s="191"/>
      <c r="G94" s="191"/>
      <c r="H94" s="148"/>
    </row>
    <row r="95" spans="1:9" ht="14.25" customHeight="1">
      <c r="A95" s="227" t="s">
        <v>273</v>
      </c>
      <c r="B95" s="83"/>
      <c r="C95" s="83"/>
      <c r="D95" s="191"/>
      <c r="E95" s="191"/>
      <c r="F95" s="191"/>
      <c r="G95" s="191"/>
      <c r="H95" s="148"/>
    </row>
    <row r="96" spans="1:9" ht="14.25" customHeight="1">
      <c r="A96" s="227" t="s">
        <v>154</v>
      </c>
      <c r="B96" s="83"/>
      <c r="C96" s="83"/>
      <c r="D96" s="191"/>
      <c r="E96" s="191"/>
      <c r="F96" s="191"/>
      <c r="G96" s="191"/>
      <c r="H96" s="148"/>
    </row>
    <row r="97" spans="1:9" ht="14.25" customHeight="1">
      <c r="A97" s="227" t="s">
        <v>155</v>
      </c>
      <c r="B97" s="83"/>
      <c r="C97" s="83"/>
      <c r="D97" s="191"/>
      <c r="E97" s="191"/>
      <c r="F97" s="191"/>
      <c r="G97" s="191"/>
      <c r="H97" s="148"/>
    </row>
    <row r="98" spans="1:9" ht="14.25" customHeight="1">
      <c r="A98" s="409" t="s">
        <v>156</v>
      </c>
      <c r="B98" s="83"/>
      <c r="C98" s="83"/>
      <c r="D98" s="191"/>
      <c r="E98" s="191"/>
      <c r="F98" s="191"/>
      <c r="G98" s="191"/>
      <c r="H98" s="148"/>
    </row>
    <row r="99" spans="1:9" ht="14.25" customHeight="1">
      <c r="A99" s="409"/>
      <c r="B99" s="83"/>
      <c r="C99" s="83"/>
      <c r="D99" s="191"/>
      <c r="E99" s="191"/>
      <c r="F99" s="191"/>
      <c r="G99" s="191"/>
      <c r="H99" s="148"/>
    </row>
    <row r="100" spans="1:9" ht="14.25" customHeight="1">
      <c r="A100" s="409"/>
      <c r="B100" s="83"/>
      <c r="C100" s="83"/>
      <c r="D100" s="191"/>
      <c r="E100" s="191"/>
      <c r="F100" s="191"/>
      <c r="G100" s="191"/>
      <c r="H100" s="148"/>
    </row>
    <row r="101" spans="1:9" ht="14.25" customHeight="1">
      <c r="A101" s="83"/>
      <c r="B101" s="83"/>
      <c r="C101" s="83"/>
      <c r="D101" s="83"/>
      <c r="E101" s="83"/>
      <c r="F101" s="83"/>
      <c r="G101" s="83"/>
    </row>
    <row r="102" spans="1:9" ht="14.25" customHeight="1">
      <c r="A102" s="86" t="s">
        <v>192</v>
      </c>
      <c r="B102" s="228" t="s">
        <v>146</v>
      </c>
      <c r="C102" s="228"/>
      <c r="D102" s="228" t="s">
        <v>147</v>
      </c>
      <c r="E102" s="228" t="s">
        <v>148</v>
      </c>
      <c r="F102" s="228" t="s">
        <v>149</v>
      </c>
      <c r="G102" s="228" t="s">
        <v>150</v>
      </c>
      <c r="H102" s="86" t="s">
        <v>160</v>
      </c>
      <c r="I102" s="86" t="s">
        <v>168</v>
      </c>
    </row>
    <row r="103" spans="1:9" ht="14.25" customHeight="1">
      <c r="A103" s="227" t="s">
        <v>270</v>
      </c>
      <c r="B103" s="83"/>
      <c r="C103" s="83"/>
      <c r="D103" s="191"/>
      <c r="E103" s="191"/>
      <c r="F103" s="191"/>
      <c r="G103" s="191"/>
      <c r="H103" s="141"/>
      <c r="I103" s="83"/>
    </row>
    <row r="104" spans="1:9" ht="14.25" customHeight="1">
      <c r="A104" s="227" t="s">
        <v>151</v>
      </c>
      <c r="B104" s="83"/>
      <c r="C104" s="83"/>
      <c r="D104" s="191"/>
      <c r="E104" s="191"/>
      <c r="F104" s="191"/>
      <c r="G104" s="191"/>
      <c r="H104" s="148"/>
    </row>
    <row r="105" spans="1:9" ht="14.25" customHeight="1">
      <c r="A105" s="227" t="s">
        <v>271</v>
      </c>
      <c r="B105" s="83"/>
      <c r="C105" s="83"/>
      <c r="D105" s="191"/>
      <c r="E105" s="191"/>
      <c r="F105" s="191"/>
      <c r="G105" s="191"/>
      <c r="H105" s="148"/>
    </row>
    <row r="106" spans="1:9" ht="14.25" customHeight="1">
      <c r="A106" s="227" t="s">
        <v>152</v>
      </c>
      <c r="B106" s="83"/>
      <c r="C106" s="83"/>
      <c r="D106" s="191"/>
      <c r="E106" s="191"/>
      <c r="F106" s="191"/>
      <c r="G106" s="191"/>
      <c r="H106" s="148"/>
    </row>
    <row r="107" spans="1:9" ht="14.25" customHeight="1">
      <c r="A107" s="227" t="s">
        <v>272</v>
      </c>
      <c r="B107" s="83"/>
      <c r="C107" s="83"/>
      <c r="D107" s="191"/>
      <c r="E107" s="191"/>
      <c r="F107" s="191"/>
      <c r="G107" s="191"/>
      <c r="H107" s="148"/>
    </row>
    <row r="108" spans="1:9" ht="14.25" customHeight="1">
      <c r="A108" s="227" t="s">
        <v>153</v>
      </c>
      <c r="B108" s="83"/>
      <c r="C108" s="83"/>
      <c r="D108" s="191"/>
      <c r="E108" s="191"/>
      <c r="F108" s="191"/>
      <c r="G108" s="191"/>
      <c r="H108" s="148"/>
    </row>
    <row r="109" spans="1:9" ht="14.25" customHeight="1">
      <c r="A109" s="227" t="s">
        <v>273</v>
      </c>
      <c r="B109" s="83"/>
      <c r="C109" s="83"/>
      <c r="D109" s="191"/>
      <c r="E109" s="191"/>
      <c r="F109" s="191"/>
      <c r="G109" s="191"/>
      <c r="H109" s="148"/>
    </row>
    <row r="110" spans="1:9" ht="14.25" customHeight="1">
      <c r="A110" s="227" t="s">
        <v>154</v>
      </c>
      <c r="B110" s="83"/>
      <c r="C110" s="83"/>
      <c r="D110" s="191"/>
      <c r="E110" s="191"/>
      <c r="F110" s="191"/>
      <c r="G110" s="191"/>
      <c r="H110" s="148"/>
    </row>
    <row r="111" spans="1:9" ht="14.25" customHeight="1">
      <c r="A111" s="227" t="s">
        <v>155</v>
      </c>
      <c r="B111" s="83"/>
      <c r="C111" s="83"/>
      <c r="D111" s="191"/>
      <c r="E111" s="191"/>
      <c r="F111" s="191"/>
      <c r="G111" s="191"/>
      <c r="H111" s="148"/>
    </row>
    <row r="112" spans="1:9" ht="14.25" customHeight="1">
      <c r="A112" s="227" t="s">
        <v>156</v>
      </c>
      <c r="B112" s="83"/>
      <c r="C112" s="83"/>
      <c r="D112" s="83"/>
      <c r="E112" s="83"/>
      <c r="F112" s="83"/>
      <c r="G112" s="83"/>
    </row>
    <row r="113" spans="1:9" ht="14.25" customHeight="1">
      <c r="A113" s="227" t="s">
        <v>157</v>
      </c>
      <c r="B113" s="224"/>
      <c r="C113" s="224"/>
      <c r="D113" s="224"/>
      <c r="E113" s="224"/>
      <c r="F113" s="224"/>
      <c r="G113" s="224"/>
      <c r="H113" s="66"/>
      <c r="I113" s="66"/>
    </row>
    <row r="114" spans="1:9" ht="14.25" customHeight="1">
      <c r="A114" s="227" t="s">
        <v>158</v>
      </c>
      <c r="B114" s="141"/>
      <c r="C114" s="141"/>
      <c r="D114" s="141"/>
      <c r="E114" s="141"/>
      <c r="F114" s="141"/>
      <c r="G114" s="141"/>
      <c r="H114" s="178"/>
      <c r="I114" s="178"/>
    </row>
    <row r="115" spans="1:9" ht="14.25" customHeight="1">
      <c r="A115" s="83"/>
      <c r="B115" s="83"/>
      <c r="C115" s="83"/>
      <c r="D115" s="83"/>
      <c r="E115" s="83"/>
      <c r="F115" s="83"/>
      <c r="G115" s="83"/>
    </row>
    <row r="116" spans="1:9" ht="14.25" customHeight="1">
      <c r="A116" s="83"/>
      <c r="B116" s="83"/>
      <c r="C116" s="83"/>
      <c r="D116" s="83"/>
      <c r="E116" s="83"/>
      <c r="F116" s="83"/>
      <c r="G116" s="83"/>
    </row>
    <row r="117" spans="1:9" ht="14.25" customHeight="1">
      <c r="A117" s="83"/>
      <c r="B117" s="83"/>
      <c r="C117" s="83"/>
      <c r="D117" s="83"/>
      <c r="E117" s="83"/>
      <c r="F117" s="83"/>
      <c r="G117" s="83"/>
    </row>
    <row r="126" spans="1:9" ht="14.25" customHeight="1">
      <c r="A126" s="518"/>
      <c r="B126" s="178"/>
      <c r="C126" s="178"/>
      <c r="D126" s="178"/>
      <c r="E126" s="178"/>
      <c r="F126" s="178"/>
      <c r="G126" s="178"/>
      <c r="H126" s="178"/>
      <c r="I126" s="178"/>
    </row>
    <row r="127" spans="1:9" ht="14.25" customHeight="1">
      <c r="A127" s="66"/>
      <c r="B127" s="514"/>
      <c r="C127" s="1065"/>
      <c r="D127" s="514"/>
      <c r="E127" s="514"/>
      <c r="F127" s="514"/>
      <c r="G127" s="514"/>
      <c r="H127" s="66"/>
      <c r="I127" s="66"/>
    </row>
    <row r="128" spans="1:9" ht="14.25" customHeight="1">
      <c r="A128" s="514"/>
      <c r="B128" s="178"/>
      <c r="C128" s="178"/>
      <c r="D128" s="516"/>
      <c r="E128" s="516"/>
      <c r="F128" s="516"/>
      <c r="G128" s="516"/>
      <c r="H128" s="178"/>
      <c r="I128" s="178"/>
    </row>
    <row r="129" spans="1:9" ht="14.25" customHeight="1">
      <c r="A129" s="514"/>
      <c r="B129" s="178"/>
      <c r="C129" s="178"/>
      <c r="D129" s="516"/>
      <c r="E129" s="516"/>
      <c r="F129" s="516"/>
      <c r="G129" s="516"/>
      <c r="H129" s="178"/>
      <c r="I129" s="178"/>
    </row>
    <row r="130" spans="1:9" ht="14.25" customHeight="1">
      <c r="A130" s="514"/>
      <c r="B130" s="178"/>
      <c r="C130" s="178"/>
      <c r="D130" s="516"/>
      <c r="E130" s="516"/>
      <c r="F130" s="516"/>
      <c r="G130" s="516"/>
      <c r="H130" s="178"/>
      <c r="I130" s="178"/>
    </row>
    <row r="131" spans="1:9" ht="14.25" customHeight="1">
      <c r="A131" s="514"/>
      <c r="B131" s="178"/>
      <c r="C131" s="178"/>
      <c r="D131" s="516"/>
      <c r="E131" s="516"/>
      <c r="F131" s="516"/>
      <c r="G131" s="516"/>
      <c r="H131" s="178"/>
      <c r="I131" s="178"/>
    </row>
    <row r="132" spans="1:9" ht="14.25" customHeight="1">
      <c r="A132" s="514"/>
      <c r="B132" s="178"/>
      <c r="C132" s="178"/>
      <c r="D132" s="516"/>
      <c r="E132" s="516"/>
      <c r="F132" s="516"/>
      <c r="G132" s="516"/>
      <c r="H132" s="178"/>
      <c r="I132" s="178"/>
    </row>
    <row r="133" spans="1:9" ht="14.25" customHeight="1">
      <c r="A133" s="514"/>
      <c r="B133" s="178"/>
      <c r="C133" s="178"/>
      <c r="D133" s="516"/>
      <c r="E133" s="516"/>
      <c r="F133" s="516"/>
      <c r="G133" s="516"/>
      <c r="H133" s="178"/>
      <c r="I133" s="178"/>
    </row>
    <row r="134" spans="1:9" ht="14.25" customHeight="1">
      <c r="A134" s="514"/>
      <c r="B134" s="178"/>
      <c r="C134" s="178"/>
      <c r="D134" s="516"/>
      <c r="E134" s="516"/>
      <c r="F134" s="516"/>
      <c r="G134" s="516"/>
      <c r="H134" s="178"/>
      <c r="I134" s="178"/>
    </row>
    <row r="135" spans="1:9" ht="14.25" customHeight="1">
      <c r="A135" s="514"/>
      <c r="B135" s="178"/>
      <c r="C135" s="178"/>
      <c r="D135" s="516"/>
      <c r="E135" s="516"/>
      <c r="F135" s="516"/>
      <c r="G135" s="516"/>
      <c r="H135" s="178"/>
      <c r="I135" s="178"/>
    </row>
    <row r="136" spans="1:9" ht="14.25" customHeight="1">
      <c r="A136" s="514"/>
      <c r="B136" s="178"/>
      <c r="C136" s="178"/>
      <c r="D136" s="516"/>
      <c r="E136" s="516"/>
      <c r="F136" s="516"/>
      <c r="G136" s="516"/>
      <c r="H136" s="178"/>
      <c r="I136" s="178"/>
    </row>
    <row r="137" spans="1:9" ht="14.25" customHeight="1">
      <c r="A137" s="514"/>
      <c r="B137" s="178"/>
      <c r="C137" s="178"/>
      <c r="D137" s="178"/>
      <c r="E137" s="178"/>
      <c r="F137" s="178"/>
      <c r="G137" s="178"/>
      <c r="H137" s="178"/>
      <c r="I137" s="178"/>
    </row>
    <row r="138" spans="1:9" ht="14.25" customHeight="1">
      <c r="A138" s="1673"/>
      <c r="B138" s="1673"/>
      <c r="C138" s="1673"/>
      <c r="D138" s="1673"/>
      <c r="E138" s="1673"/>
      <c r="F138" s="1673"/>
      <c r="G138" s="1673"/>
      <c r="H138" s="178"/>
      <c r="I138" s="178"/>
    </row>
    <row r="139" spans="1:9" ht="14.25" customHeight="1">
      <c r="A139" s="1673"/>
      <c r="B139" s="1673"/>
      <c r="C139" s="1064"/>
      <c r="D139" s="519"/>
      <c r="E139" s="519"/>
      <c r="F139" s="519"/>
      <c r="G139" s="519"/>
      <c r="H139" s="178"/>
      <c r="I139" s="178"/>
    </row>
    <row r="140" spans="1:9" ht="14.25" customHeight="1">
      <c r="A140" s="515"/>
      <c r="B140" s="515"/>
      <c r="C140" s="1064"/>
      <c r="D140" s="519"/>
      <c r="E140" s="519"/>
      <c r="F140" s="519"/>
      <c r="G140" s="519"/>
      <c r="H140" s="178"/>
      <c r="I140" s="178"/>
    </row>
  </sheetData>
  <mergeCells count="33">
    <mergeCell ref="W1:Y1"/>
    <mergeCell ref="AB2:AE2"/>
    <mergeCell ref="X2:Z2"/>
    <mergeCell ref="X36:AE36"/>
    <mergeCell ref="E46:F46"/>
    <mergeCell ref="X43:AE43"/>
    <mergeCell ref="X44:AE44"/>
    <mergeCell ref="X37:AE37"/>
    <mergeCell ref="X38:AE38"/>
    <mergeCell ref="X41:AE41"/>
    <mergeCell ref="X42:AE42"/>
    <mergeCell ref="P2:Q2"/>
    <mergeCell ref="S10:T10"/>
    <mergeCell ref="N16:R16"/>
    <mergeCell ref="N17:R17"/>
    <mergeCell ref="W35:Y35"/>
    <mergeCell ref="A139:B139"/>
    <mergeCell ref="A138:G138"/>
    <mergeCell ref="B54:G54"/>
    <mergeCell ref="E41:G41"/>
    <mergeCell ref="F45:G45"/>
    <mergeCell ref="G48:H48"/>
    <mergeCell ref="G46:H46"/>
    <mergeCell ref="G50:H50"/>
    <mergeCell ref="G52:H52"/>
    <mergeCell ref="E50:F50"/>
    <mergeCell ref="G49:H49"/>
    <mergeCell ref="G53:H53"/>
    <mergeCell ref="A1:G1"/>
    <mergeCell ref="A32:H32"/>
    <mergeCell ref="A35:B35"/>
    <mergeCell ref="E35:F35"/>
    <mergeCell ref="F38:G38"/>
  </mergeCells>
  <pageMargins left="1" right="0.25" top="0.49" bottom="0.75" header="0.3" footer="0.3"/>
  <pageSetup scale="9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2:Z119"/>
  <sheetViews>
    <sheetView topLeftCell="A16" workbookViewId="0">
      <selection activeCell="N46" sqref="N46"/>
    </sheetView>
  </sheetViews>
  <sheetFormatPr defaultColWidth="8.54296875" defaultRowHeight="14"/>
  <cols>
    <col min="3" max="3" width="9.453125" customWidth="1"/>
    <col min="4" max="4" width="8" bestFit="1" customWidth="1"/>
    <col min="6" max="6" width="9.6328125" customWidth="1"/>
    <col min="7" max="7" width="9.36328125" customWidth="1"/>
    <col min="9" max="9" width="10.08984375" customWidth="1"/>
    <col min="14" max="14" width="49.1796875" bestFit="1" customWidth="1"/>
    <col min="15" max="15" width="10" bestFit="1" customWidth="1"/>
    <col min="16" max="16" width="9.08984375" bestFit="1" customWidth="1"/>
    <col min="17" max="17" width="9.453125" customWidth="1"/>
    <col min="18" max="18" width="9.54296875" bestFit="1" customWidth="1"/>
    <col min="19" max="19" width="9.36328125" bestFit="1" customWidth="1"/>
    <col min="20" max="20" width="9.1796875" bestFit="1" customWidth="1"/>
    <col min="21" max="21" width="9.81640625" bestFit="1" customWidth="1"/>
    <col min="23" max="23" width="9.6328125" customWidth="1"/>
    <col min="26" max="26" width="9.08984375" customWidth="1"/>
  </cols>
  <sheetData>
    <row r="2" spans="1:21" ht="15.5">
      <c r="A2" s="198" t="s">
        <v>291</v>
      </c>
      <c r="B2" s="1709" t="s">
        <v>947</v>
      </c>
      <c r="C2" s="1709"/>
      <c r="D2" s="1709"/>
      <c r="E2" s="1709"/>
      <c r="F2" s="827"/>
      <c r="G2" s="827"/>
      <c r="H2" s="803"/>
      <c r="I2" s="803"/>
      <c r="J2" s="17"/>
      <c r="K2" s="17"/>
      <c r="N2" s="67"/>
      <c r="O2" s="340">
        <v>42145</v>
      </c>
      <c r="P2" s="333"/>
      <c r="Q2" s="340"/>
      <c r="R2" s="340"/>
      <c r="S2" s="340"/>
      <c r="T2" s="340"/>
      <c r="U2" s="340"/>
    </row>
    <row r="3" spans="1:21" ht="15.5">
      <c r="A3" s="198" t="s">
        <v>292</v>
      </c>
      <c r="B3" s="1710" t="s">
        <v>1239</v>
      </c>
      <c r="C3" s="1710"/>
      <c r="D3" s="1710"/>
      <c r="E3" s="1710"/>
      <c r="F3" s="828"/>
      <c r="G3" s="828"/>
      <c r="H3" s="235"/>
      <c r="I3" s="235"/>
      <c r="J3" s="17"/>
      <c r="K3" s="17"/>
      <c r="N3" s="67"/>
      <c r="O3" s="341" t="s">
        <v>609</v>
      </c>
      <c r="P3" s="341" t="s">
        <v>609</v>
      </c>
      <c r="Q3" s="341" t="s">
        <v>609</v>
      </c>
      <c r="R3" s="342"/>
      <c r="S3" s="342"/>
      <c r="T3" s="342"/>
      <c r="U3" s="343"/>
    </row>
    <row r="4" spans="1:21" ht="15.5">
      <c r="A4" s="198" t="s">
        <v>6</v>
      </c>
      <c r="B4" s="1710"/>
      <c r="C4" s="1710"/>
      <c r="D4" s="1710"/>
      <c r="E4" s="1710"/>
      <c r="F4" s="1710"/>
      <c r="G4" s="1710"/>
      <c r="H4" s="1710"/>
      <c r="I4" s="1710"/>
      <c r="J4" s="17"/>
      <c r="K4" s="17"/>
      <c r="N4" s="375" t="s">
        <v>383</v>
      </c>
      <c r="O4" s="222"/>
      <c r="P4" s="188" t="s">
        <v>346</v>
      </c>
      <c r="Q4" s="188" t="s">
        <v>346</v>
      </c>
      <c r="R4" s="188" t="s">
        <v>346</v>
      </c>
      <c r="S4" s="188" t="s">
        <v>346</v>
      </c>
      <c r="T4" s="188" t="s">
        <v>346</v>
      </c>
      <c r="U4" s="188"/>
    </row>
    <row r="5" spans="1:21" ht="14.4" customHeight="1">
      <c r="A5" s="198" t="s">
        <v>144</v>
      </c>
      <c r="B5" s="1711">
        <v>42303</v>
      </c>
      <c r="C5" s="1711"/>
      <c r="D5" s="192"/>
      <c r="E5" s="192"/>
      <c r="F5" s="192"/>
      <c r="G5" s="192"/>
      <c r="H5" s="17"/>
      <c r="I5" s="17"/>
      <c r="J5" s="17"/>
      <c r="K5" s="17"/>
      <c r="N5" s="375" t="s">
        <v>631</v>
      </c>
      <c r="O5" s="188" t="s">
        <v>387</v>
      </c>
      <c r="P5" s="188" t="s">
        <v>233</v>
      </c>
      <c r="Q5" s="188" t="s">
        <v>233</v>
      </c>
      <c r="R5" s="188" t="s">
        <v>233</v>
      </c>
      <c r="S5" s="188" t="s">
        <v>233</v>
      </c>
      <c r="T5" s="188" t="s">
        <v>233</v>
      </c>
      <c r="U5" s="188"/>
    </row>
    <row r="6" spans="1:21" ht="15.5">
      <c r="A6" s="1695" t="s">
        <v>294</v>
      </c>
      <c r="B6" s="1696"/>
      <c r="C6" s="1697"/>
      <c r="D6" s="1701" t="s">
        <v>297</v>
      </c>
      <c r="E6" s="1701"/>
      <c r="F6" s="1701"/>
      <c r="G6" s="1695" t="s">
        <v>621</v>
      </c>
      <c r="H6" s="1696"/>
      <c r="I6" s="1697"/>
      <c r="J6" s="1695" t="s">
        <v>343</v>
      </c>
      <c r="K6" s="1696"/>
      <c r="L6" s="1697"/>
      <c r="M6" s="411"/>
      <c r="N6" s="375" t="s">
        <v>385</v>
      </c>
      <c r="O6" s="188" t="s">
        <v>345</v>
      </c>
      <c r="P6" s="188" t="s">
        <v>345</v>
      </c>
      <c r="Q6" s="188" t="s">
        <v>345</v>
      </c>
      <c r="R6" s="188" t="s">
        <v>345</v>
      </c>
      <c r="S6" s="188" t="s">
        <v>345</v>
      </c>
      <c r="T6" s="188" t="s">
        <v>345</v>
      </c>
      <c r="U6" s="188" t="s">
        <v>345</v>
      </c>
    </row>
    <row r="7" spans="1:21" ht="15.5">
      <c r="A7" s="204" t="s">
        <v>146</v>
      </c>
      <c r="B7" s="204"/>
      <c r="C7" s="204" t="s">
        <v>1153</v>
      </c>
      <c r="D7" s="204" t="s">
        <v>146</v>
      </c>
      <c r="E7" s="204"/>
      <c r="F7" s="204"/>
      <c r="G7" s="204" t="s">
        <v>146</v>
      </c>
      <c r="H7" s="204"/>
      <c r="I7" s="230"/>
      <c r="J7" s="203" t="s">
        <v>146</v>
      </c>
      <c r="K7" s="203"/>
      <c r="L7" s="521">
        <v>9101</v>
      </c>
      <c r="M7" s="344"/>
      <c r="N7" s="375" t="s">
        <v>240</v>
      </c>
      <c r="O7" s="188" t="s">
        <v>630</v>
      </c>
      <c r="P7" s="188" t="s">
        <v>630</v>
      </c>
      <c r="Q7" s="188" t="s">
        <v>630</v>
      </c>
      <c r="R7" s="188" t="s">
        <v>239</v>
      </c>
      <c r="S7" s="188" t="s">
        <v>239</v>
      </c>
      <c r="T7" s="188" t="s">
        <v>239</v>
      </c>
      <c r="U7" s="188" t="s">
        <v>239</v>
      </c>
    </row>
    <row r="8" spans="1:21" ht="15.5">
      <c r="A8" s="204" t="s">
        <v>290</v>
      </c>
      <c r="B8" s="204"/>
      <c r="C8" s="204"/>
      <c r="D8" s="204" t="s">
        <v>290</v>
      </c>
      <c r="E8" s="204"/>
      <c r="F8" s="204"/>
      <c r="G8" s="204" t="s">
        <v>290</v>
      </c>
      <c r="H8" s="204"/>
      <c r="I8" s="204"/>
      <c r="J8" s="203" t="s">
        <v>290</v>
      </c>
      <c r="K8" s="203"/>
      <c r="L8" s="203"/>
      <c r="M8" s="412"/>
      <c r="N8" s="524" t="s">
        <v>285</v>
      </c>
      <c r="O8" s="188" t="s">
        <v>390</v>
      </c>
      <c r="P8" s="188" t="s">
        <v>390</v>
      </c>
      <c r="Q8" s="188" t="s">
        <v>390</v>
      </c>
      <c r="R8" s="188" t="s">
        <v>390</v>
      </c>
      <c r="S8" s="188" t="s">
        <v>390</v>
      </c>
      <c r="T8" s="188" t="s">
        <v>390</v>
      </c>
      <c r="U8" s="188"/>
    </row>
    <row r="9" spans="1:21" ht="15.5">
      <c r="A9" s="204"/>
      <c r="B9" s="232" t="s">
        <v>163</v>
      </c>
      <c r="C9" s="233" t="s">
        <v>289</v>
      </c>
      <c r="D9" s="204"/>
      <c r="E9" s="232" t="s">
        <v>163</v>
      </c>
      <c r="F9" s="233" t="s">
        <v>289</v>
      </c>
      <c r="G9" s="203"/>
      <c r="H9" s="232" t="s">
        <v>163</v>
      </c>
      <c r="I9" s="233" t="s">
        <v>289</v>
      </c>
      <c r="J9" s="203"/>
      <c r="K9" s="819" t="s">
        <v>163</v>
      </c>
      <c r="L9" s="820" t="s">
        <v>289</v>
      </c>
      <c r="M9" s="233"/>
      <c r="N9" s="375" t="s">
        <v>405</v>
      </c>
      <c r="O9" s="188" t="s">
        <v>235</v>
      </c>
      <c r="P9" s="188" t="s">
        <v>235</v>
      </c>
      <c r="Q9" s="188" t="s">
        <v>235</v>
      </c>
      <c r="R9" s="188" t="s">
        <v>235</v>
      </c>
      <c r="S9" s="188" t="s">
        <v>235</v>
      </c>
      <c r="T9" s="188" t="s">
        <v>235</v>
      </c>
      <c r="U9" s="188" t="s">
        <v>235</v>
      </c>
    </row>
    <row r="10" spans="1:21" ht="15.5">
      <c r="A10" s="50">
        <v>2</v>
      </c>
      <c r="B10" s="334"/>
      <c r="C10" s="870"/>
      <c r="D10" s="50">
        <v>2</v>
      </c>
      <c r="E10" s="334"/>
      <c r="F10" s="870"/>
      <c r="G10" s="50">
        <v>2</v>
      </c>
      <c r="H10" s="337"/>
      <c r="I10" s="337"/>
      <c r="J10" s="50">
        <v>2</v>
      </c>
      <c r="K10" s="520"/>
      <c r="L10" s="520"/>
      <c r="M10" s="337"/>
      <c r="N10" s="375" t="s">
        <v>406</v>
      </c>
      <c r="O10" s="188" t="s">
        <v>234</v>
      </c>
      <c r="P10" s="188" t="s">
        <v>234</v>
      </c>
      <c r="Q10" s="188" t="s">
        <v>234</v>
      </c>
      <c r="R10" s="188" t="s">
        <v>234</v>
      </c>
      <c r="S10" s="188" t="s">
        <v>234</v>
      </c>
      <c r="T10" s="188" t="s">
        <v>234</v>
      </c>
      <c r="U10" s="188" t="s">
        <v>234</v>
      </c>
    </row>
    <row r="11" spans="1:21" ht="15.5">
      <c r="A11" s="50">
        <v>4</v>
      </c>
      <c r="B11" s="334"/>
      <c r="C11" s="334"/>
      <c r="D11" s="50">
        <v>4</v>
      </c>
      <c r="E11" s="334"/>
      <c r="F11" s="334"/>
      <c r="G11" s="50">
        <v>4</v>
      </c>
      <c r="H11" s="334"/>
      <c r="I11" s="334"/>
      <c r="J11" s="50">
        <v>4</v>
      </c>
      <c r="K11" s="338"/>
      <c r="L11" s="338"/>
      <c r="M11" s="334"/>
      <c r="N11" s="375" t="s">
        <v>395</v>
      </c>
      <c r="O11" s="188" t="s">
        <v>178</v>
      </c>
      <c r="P11" s="188" t="s">
        <v>178</v>
      </c>
      <c r="Q11" s="188" t="s">
        <v>178</v>
      </c>
      <c r="R11" s="188" t="s">
        <v>178</v>
      </c>
      <c r="S11" s="188" t="s">
        <v>178</v>
      </c>
      <c r="T11" s="188" t="s">
        <v>178</v>
      </c>
      <c r="U11" s="188" t="s">
        <v>178</v>
      </c>
    </row>
    <row r="12" spans="1:21" ht="15.5">
      <c r="A12" s="50">
        <v>6</v>
      </c>
      <c r="B12" s="334"/>
      <c r="C12" s="334"/>
      <c r="D12" s="50">
        <v>6</v>
      </c>
      <c r="E12" s="334"/>
      <c r="F12" s="334"/>
      <c r="G12" s="50">
        <v>6</v>
      </c>
      <c r="H12" s="334"/>
      <c r="I12" s="334"/>
      <c r="J12" s="50">
        <v>6</v>
      </c>
      <c r="K12" s="338"/>
      <c r="L12" s="338"/>
      <c r="M12" s="334"/>
      <c r="N12" s="375" t="s">
        <v>242</v>
      </c>
      <c r="O12" s="188" t="s">
        <v>226</v>
      </c>
      <c r="P12" s="188" t="s">
        <v>226</v>
      </c>
      <c r="Q12" s="188" t="s">
        <v>226</v>
      </c>
      <c r="R12" s="188" t="s">
        <v>226</v>
      </c>
      <c r="S12" s="188" t="s">
        <v>226</v>
      </c>
      <c r="T12" s="188" t="s">
        <v>226</v>
      </c>
      <c r="U12" s="188" t="s">
        <v>226</v>
      </c>
    </row>
    <row r="13" spans="1:21" ht="15.5">
      <c r="A13" s="50">
        <v>8</v>
      </c>
      <c r="B13" s="334"/>
      <c r="C13" s="334"/>
      <c r="D13" s="50">
        <v>8</v>
      </c>
      <c r="E13" s="334"/>
      <c r="F13" s="334"/>
      <c r="G13" s="50">
        <v>8</v>
      </c>
      <c r="H13" s="334"/>
      <c r="I13" s="334"/>
      <c r="J13" s="50">
        <v>8</v>
      </c>
      <c r="K13" s="338"/>
      <c r="L13" s="338"/>
      <c r="M13" s="334"/>
      <c r="N13" s="375" t="s">
        <v>243</v>
      </c>
      <c r="O13" s="188" t="s">
        <v>227</v>
      </c>
      <c r="P13" s="188" t="s">
        <v>227</v>
      </c>
      <c r="Q13" s="188" t="s">
        <v>227</v>
      </c>
      <c r="R13" s="188" t="s">
        <v>227</v>
      </c>
      <c r="S13" s="188" t="s">
        <v>227</v>
      </c>
      <c r="T13" s="188" t="s">
        <v>227</v>
      </c>
      <c r="U13" s="188" t="s">
        <v>227</v>
      </c>
    </row>
    <row r="14" spans="1:21" ht="15.5">
      <c r="A14" s="50">
        <v>10</v>
      </c>
      <c r="B14" s="334"/>
      <c r="C14" s="334"/>
      <c r="D14" s="50">
        <v>10</v>
      </c>
      <c r="E14" s="334"/>
      <c r="F14" s="334"/>
      <c r="G14" s="1698" t="s">
        <v>623</v>
      </c>
      <c r="H14" s="1699"/>
      <c r="I14" s="1700"/>
      <c r="J14" s="50">
        <v>10</v>
      </c>
      <c r="K14" s="520"/>
      <c r="L14" s="520"/>
      <c r="M14" s="337"/>
      <c r="N14" s="375" t="s">
        <v>244</v>
      </c>
      <c r="O14" s="188" t="s">
        <v>228</v>
      </c>
      <c r="P14" s="188" t="s">
        <v>228</v>
      </c>
      <c r="Q14" s="188" t="s">
        <v>228</v>
      </c>
      <c r="R14" s="188" t="s">
        <v>228</v>
      </c>
      <c r="S14" s="188" t="s">
        <v>228</v>
      </c>
      <c r="T14" s="188" t="s">
        <v>228</v>
      </c>
      <c r="U14" s="188" t="s">
        <v>228</v>
      </c>
    </row>
    <row r="15" spans="1:21" ht="15.5">
      <c r="A15" s="50">
        <v>12</v>
      </c>
      <c r="B15" s="334"/>
      <c r="C15" s="334"/>
      <c r="D15" s="50">
        <v>12</v>
      </c>
      <c r="E15" s="334"/>
      <c r="F15" s="334"/>
      <c r="G15" s="334" t="s">
        <v>146</v>
      </c>
      <c r="H15" s="334"/>
      <c r="I15" s="334"/>
      <c r="J15" s="50">
        <v>12</v>
      </c>
      <c r="K15" s="520"/>
      <c r="L15" s="520"/>
      <c r="M15" s="337"/>
      <c r="N15" s="375" t="s">
        <v>396</v>
      </c>
      <c r="O15" s="188" t="s">
        <v>229</v>
      </c>
      <c r="P15" s="188" t="s">
        <v>229</v>
      </c>
      <c r="Q15" s="188" t="s">
        <v>229</v>
      </c>
      <c r="R15" s="188" t="s">
        <v>229</v>
      </c>
      <c r="S15" s="188" t="s">
        <v>229</v>
      </c>
      <c r="T15" s="188" t="s">
        <v>229</v>
      </c>
      <c r="U15" s="188" t="s">
        <v>229</v>
      </c>
    </row>
    <row r="16" spans="1:21" ht="15.5">
      <c r="A16" s="50">
        <v>14</v>
      </c>
      <c r="B16" s="334"/>
      <c r="C16" s="334"/>
      <c r="D16" s="50">
        <v>14</v>
      </c>
      <c r="E16" s="334"/>
      <c r="F16" s="334"/>
      <c r="G16" s="334" t="s">
        <v>290</v>
      </c>
      <c r="H16" s="334"/>
      <c r="I16" s="334"/>
      <c r="J16" s="50">
        <v>14</v>
      </c>
      <c r="K16" s="520"/>
      <c r="L16" s="520"/>
      <c r="M16" s="337"/>
      <c r="N16" s="375" t="s">
        <v>397</v>
      </c>
      <c r="O16" s="188" t="s">
        <v>230</v>
      </c>
      <c r="P16" s="188" t="s">
        <v>230</v>
      </c>
      <c r="Q16" s="188" t="s">
        <v>230</v>
      </c>
      <c r="R16" s="188" t="s">
        <v>230</v>
      </c>
      <c r="S16" s="188" t="s">
        <v>230</v>
      </c>
      <c r="T16" s="188" t="s">
        <v>230</v>
      </c>
      <c r="U16" s="188" t="s">
        <v>230</v>
      </c>
    </row>
    <row r="17" spans="1:21" ht="15.5">
      <c r="A17" s="50">
        <v>16</v>
      </c>
      <c r="B17" s="334"/>
      <c r="C17" s="334"/>
      <c r="D17" s="50">
        <v>16</v>
      </c>
      <c r="E17" s="334"/>
      <c r="F17" s="334"/>
      <c r="G17" s="338"/>
      <c r="H17" s="335" t="s">
        <v>163</v>
      </c>
      <c r="I17" s="336" t="s">
        <v>289</v>
      </c>
      <c r="J17" s="50">
        <v>16</v>
      </c>
      <c r="K17" s="510"/>
      <c r="L17" s="510"/>
      <c r="M17" s="50"/>
      <c r="N17" s="375" t="s">
        <v>457</v>
      </c>
      <c r="O17" s="188" t="s">
        <v>456</v>
      </c>
      <c r="P17" s="188" t="s">
        <v>456</v>
      </c>
      <c r="Q17" s="188" t="s">
        <v>456</v>
      </c>
      <c r="R17" s="188" t="s">
        <v>456</v>
      </c>
      <c r="S17" s="188" t="s">
        <v>456</v>
      </c>
      <c r="T17" s="188" t="s">
        <v>456</v>
      </c>
      <c r="U17" s="188" t="s">
        <v>456</v>
      </c>
    </row>
    <row r="18" spans="1:21" ht="15.5">
      <c r="A18" s="50">
        <v>18</v>
      </c>
      <c r="B18" s="334"/>
      <c r="C18" s="334"/>
      <c r="D18" s="50">
        <v>18</v>
      </c>
      <c r="E18" s="334"/>
      <c r="F18" s="334"/>
      <c r="G18" s="50">
        <v>2</v>
      </c>
      <c r="H18" s="337"/>
      <c r="I18" s="337"/>
      <c r="J18" s="50">
        <v>18</v>
      </c>
      <c r="K18" s="510"/>
      <c r="L18" s="510"/>
      <c r="M18" s="50"/>
      <c r="N18" s="375" t="s">
        <v>454</v>
      </c>
      <c r="O18" s="543" t="s">
        <v>452</v>
      </c>
      <c r="P18" s="543" t="s">
        <v>452</v>
      </c>
      <c r="Q18" s="543" t="s">
        <v>452</v>
      </c>
      <c r="R18" s="543" t="s">
        <v>452</v>
      </c>
      <c r="S18" s="543" t="s">
        <v>452</v>
      </c>
      <c r="T18" s="543" t="s">
        <v>452</v>
      </c>
      <c r="U18" s="543" t="s">
        <v>452</v>
      </c>
    </row>
    <row r="19" spans="1:21" ht="15.5">
      <c r="A19" s="50">
        <v>20</v>
      </c>
      <c r="B19" s="334"/>
      <c r="C19" s="334"/>
      <c r="D19" s="50">
        <v>20</v>
      </c>
      <c r="E19" s="334"/>
      <c r="F19" s="334"/>
      <c r="G19" s="50">
        <v>4</v>
      </c>
      <c r="H19" s="334"/>
      <c r="I19" s="334"/>
      <c r="J19" s="1702" t="s">
        <v>344</v>
      </c>
      <c r="K19" s="1703"/>
      <c r="L19" s="1703"/>
      <c r="M19" s="1704"/>
      <c r="N19" s="282" t="s">
        <v>455</v>
      </c>
      <c r="O19" s="544" t="s">
        <v>453</v>
      </c>
      <c r="P19" s="544" t="s">
        <v>453</v>
      </c>
      <c r="Q19" s="544" t="s">
        <v>453</v>
      </c>
      <c r="R19" s="544" t="s">
        <v>453</v>
      </c>
      <c r="S19" s="544" t="s">
        <v>453</v>
      </c>
      <c r="T19" s="544" t="s">
        <v>453</v>
      </c>
      <c r="U19" s="545" t="s">
        <v>453</v>
      </c>
    </row>
    <row r="20" spans="1:21" ht="15.5">
      <c r="A20" s="50">
        <v>22</v>
      </c>
      <c r="B20" s="334"/>
      <c r="C20" s="334"/>
      <c r="D20" s="50">
        <v>22</v>
      </c>
      <c r="E20" s="334"/>
      <c r="F20" s="334"/>
      <c r="G20" s="50">
        <v>6</v>
      </c>
      <c r="H20" s="334"/>
      <c r="I20" s="334"/>
      <c r="J20" s="511" t="s">
        <v>146</v>
      </c>
      <c r="K20" s="511"/>
      <c r="L20" s="511"/>
      <c r="M20" s="50"/>
      <c r="N20" s="375" t="s">
        <v>252</v>
      </c>
      <c r="O20" s="188" t="s">
        <v>231</v>
      </c>
      <c r="P20" s="188" t="s">
        <v>231</v>
      </c>
      <c r="Q20" s="188" t="s">
        <v>231</v>
      </c>
      <c r="R20" s="188" t="s">
        <v>231</v>
      </c>
      <c r="S20" s="188" t="s">
        <v>231</v>
      </c>
      <c r="T20" s="188" t="s">
        <v>231</v>
      </c>
      <c r="U20" s="371" t="s">
        <v>231</v>
      </c>
    </row>
    <row r="21" spans="1:21" ht="15.5">
      <c r="A21" s="50">
        <v>24</v>
      </c>
      <c r="B21" s="334"/>
      <c r="C21" s="334"/>
      <c r="D21" s="50">
        <v>24</v>
      </c>
      <c r="E21" s="334"/>
      <c r="F21" s="334"/>
      <c r="G21" s="1698" t="s">
        <v>622</v>
      </c>
      <c r="H21" s="1699"/>
      <c r="I21" s="1700"/>
      <c r="J21" s="511" t="s">
        <v>290</v>
      </c>
      <c r="K21" s="511"/>
      <c r="L21" s="511"/>
      <c r="M21" s="413"/>
      <c r="N21" s="376" t="s">
        <v>254</v>
      </c>
      <c r="O21" s="188" t="s">
        <v>232</v>
      </c>
      <c r="P21" s="188" t="s">
        <v>232</v>
      </c>
      <c r="Q21" s="188" t="s">
        <v>232</v>
      </c>
      <c r="R21" s="188" t="s">
        <v>232</v>
      </c>
      <c r="S21" s="188" t="s">
        <v>232</v>
      </c>
      <c r="T21" s="188" t="s">
        <v>232</v>
      </c>
      <c r="U21" s="188" t="s">
        <v>232</v>
      </c>
    </row>
    <row r="22" spans="1:21">
      <c r="A22" s="50">
        <v>26</v>
      </c>
      <c r="B22" s="334"/>
      <c r="C22" s="334"/>
      <c r="D22" s="50">
        <v>26</v>
      </c>
      <c r="E22" s="334"/>
      <c r="F22" s="334"/>
      <c r="G22" s="334" t="s">
        <v>146</v>
      </c>
      <c r="H22" s="334"/>
      <c r="I22" s="334"/>
      <c r="J22" s="338"/>
      <c r="K22" s="335" t="s">
        <v>163</v>
      </c>
      <c r="L22" s="336" t="s">
        <v>289</v>
      </c>
      <c r="M22" s="50"/>
    </row>
    <row r="23" spans="1:21">
      <c r="A23" s="50">
        <v>28</v>
      </c>
      <c r="B23" s="334"/>
      <c r="C23" s="334"/>
      <c r="D23" s="50">
        <v>28</v>
      </c>
      <c r="E23" s="334"/>
      <c r="F23" s="334"/>
      <c r="G23" s="334" t="s">
        <v>290</v>
      </c>
      <c r="H23" s="334"/>
      <c r="I23" s="862"/>
      <c r="J23" s="50">
        <v>2</v>
      </c>
      <c r="K23" s="510"/>
      <c r="L23" s="510"/>
      <c r="M23" s="50"/>
    </row>
    <row r="24" spans="1:21">
      <c r="A24" s="1698" t="s">
        <v>295</v>
      </c>
      <c r="B24" s="1699"/>
      <c r="C24" s="1700"/>
      <c r="D24" s="1698" t="s">
        <v>298</v>
      </c>
      <c r="E24" s="1699"/>
      <c r="F24" s="1700"/>
      <c r="G24" s="334"/>
      <c r="H24" s="335" t="s">
        <v>163</v>
      </c>
      <c r="I24" s="336" t="s">
        <v>289</v>
      </c>
      <c r="J24" s="50">
        <v>4</v>
      </c>
      <c r="K24" s="510"/>
      <c r="L24" s="510"/>
      <c r="M24" s="50"/>
    </row>
    <row r="25" spans="1:21">
      <c r="A25" s="334" t="s">
        <v>146</v>
      </c>
      <c r="B25" s="334"/>
      <c r="C25" s="334"/>
      <c r="D25" s="334" t="s">
        <v>146</v>
      </c>
      <c r="E25" s="334"/>
      <c r="F25" s="334"/>
      <c r="G25" s="50">
        <v>2</v>
      </c>
      <c r="H25" s="334"/>
      <c r="I25" s="870"/>
      <c r="J25" s="50">
        <v>6</v>
      </c>
      <c r="K25" s="950"/>
      <c r="L25" s="950"/>
      <c r="M25" s="950"/>
    </row>
    <row r="26" spans="1:21">
      <c r="A26" s="334" t="s">
        <v>290</v>
      </c>
      <c r="B26" s="344"/>
      <c r="C26" s="334"/>
      <c r="D26" s="334" t="s">
        <v>290</v>
      </c>
      <c r="E26" s="344"/>
      <c r="F26" s="334"/>
      <c r="G26" s="50">
        <v>4</v>
      </c>
      <c r="H26" s="334"/>
      <c r="I26" s="334"/>
      <c r="J26" s="50">
        <v>8</v>
      </c>
      <c r="K26" s="50"/>
      <c r="L26" s="50"/>
      <c r="M26" s="826"/>
    </row>
    <row r="27" spans="1:21">
      <c r="A27" s="334"/>
      <c r="B27" s="335" t="s">
        <v>163</v>
      </c>
      <c r="C27" s="336" t="s">
        <v>289</v>
      </c>
      <c r="D27" s="334"/>
      <c r="E27" s="335" t="s">
        <v>163</v>
      </c>
      <c r="F27" s="336" t="s">
        <v>289</v>
      </c>
      <c r="G27" s="50">
        <v>6</v>
      </c>
      <c r="H27" s="334"/>
      <c r="I27" s="334"/>
      <c r="J27" s="50">
        <v>10</v>
      </c>
      <c r="K27" s="50"/>
      <c r="L27" s="50"/>
      <c r="M27" s="511"/>
    </row>
    <row r="28" spans="1:21">
      <c r="A28" s="50">
        <v>2</v>
      </c>
      <c r="B28" s="334"/>
      <c r="C28" s="870"/>
      <c r="D28" s="50">
        <v>2</v>
      </c>
      <c r="E28" s="334"/>
      <c r="F28" s="870"/>
      <c r="G28" s="50">
        <v>8</v>
      </c>
      <c r="H28" s="334"/>
      <c r="I28" s="334"/>
      <c r="J28" s="50">
        <v>12</v>
      </c>
      <c r="K28" s="50"/>
      <c r="L28" s="50"/>
      <c r="M28" s="511"/>
    </row>
    <row r="29" spans="1:21">
      <c r="A29" s="50">
        <v>4</v>
      </c>
      <c r="B29" s="334"/>
      <c r="C29" s="334"/>
      <c r="D29" s="50">
        <v>4</v>
      </c>
      <c r="E29" s="334"/>
      <c r="F29" s="334"/>
      <c r="G29" s="1698" t="s">
        <v>300</v>
      </c>
      <c r="H29" s="1699"/>
      <c r="I29" s="1700"/>
      <c r="J29" s="50">
        <v>14</v>
      </c>
      <c r="K29" s="50"/>
      <c r="L29" s="50"/>
      <c r="M29" s="336"/>
    </row>
    <row r="30" spans="1:21">
      <c r="A30" s="50">
        <v>6</v>
      </c>
      <c r="B30" s="334"/>
      <c r="C30" s="334"/>
      <c r="D30" s="50">
        <v>6</v>
      </c>
      <c r="E30" s="334"/>
      <c r="F30" s="334"/>
      <c r="G30" s="334" t="s">
        <v>146</v>
      </c>
      <c r="H30" s="334"/>
      <c r="I30" s="334"/>
      <c r="J30" s="50">
        <v>16</v>
      </c>
      <c r="K30" s="337"/>
      <c r="L30" s="337"/>
      <c r="M30" s="337"/>
    </row>
    <row r="31" spans="1:21">
      <c r="A31" s="50">
        <v>8</v>
      </c>
      <c r="B31" s="334"/>
      <c r="C31" s="334"/>
      <c r="D31" s="50">
        <v>8</v>
      </c>
      <c r="E31" s="334"/>
      <c r="F31" s="334"/>
      <c r="G31" s="334" t="s">
        <v>290</v>
      </c>
      <c r="H31" s="334"/>
      <c r="I31" s="334"/>
      <c r="J31" s="50">
        <v>18</v>
      </c>
      <c r="K31" s="334"/>
      <c r="L31" s="334"/>
      <c r="M31" s="334"/>
    </row>
    <row r="32" spans="1:21">
      <c r="A32" s="50">
        <v>10</v>
      </c>
      <c r="B32" s="334"/>
      <c r="C32" s="334"/>
      <c r="D32" s="50">
        <v>10</v>
      </c>
      <c r="E32" s="334"/>
      <c r="F32" s="334"/>
      <c r="G32" s="334"/>
      <c r="H32" s="335" t="s">
        <v>163</v>
      </c>
      <c r="I32" s="336" t="s">
        <v>289</v>
      </c>
      <c r="J32" s="50">
        <v>20</v>
      </c>
      <c r="K32" s="334"/>
      <c r="L32" s="334"/>
      <c r="M32" s="334"/>
    </row>
    <row r="33" spans="1:13">
      <c r="A33" s="50">
        <v>12</v>
      </c>
      <c r="B33" s="334"/>
      <c r="C33" s="334"/>
      <c r="D33" s="50">
        <v>12</v>
      </c>
      <c r="E33" s="334"/>
      <c r="F33" s="334"/>
      <c r="G33" s="50">
        <v>2</v>
      </c>
      <c r="H33" s="334"/>
      <c r="I33" s="334"/>
      <c r="J33" s="1698" t="s">
        <v>634</v>
      </c>
      <c r="K33" s="1699"/>
      <c r="L33" s="1700"/>
      <c r="M33" s="414"/>
    </row>
    <row r="34" spans="1:13">
      <c r="A34" s="50">
        <v>14</v>
      </c>
      <c r="B34" s="334"/>
      <c r="C34" s="334"/>
      <c r="D34" s="50">
        <v>14</v>
      </c>
      <c r="E34" s="334"/>
      <c r="F34" s="334"/>
      <c r="G34" s="50">
        <v>4</v>
      </c>
      <c r="H34" s="334"/>
      <c r="I34" s="334"/>
      <c r="J34" s="334" t="s">
        <v>146</v>
      </c>
      <c r="K34" s="334"/>
      <c r="L34" s="334"/>
      <c r="M34" s="334"/>
    </row>
    <row r="35" spans="1:13">
      <c r="A35" s="50">
        <v>16</v>
      </c>
      <c r="B35" s="334"/>
      <c r="C35" s="334"/>
      <c r="D35" s="50">
        <v>16</v>
      </c>
      <c r="E35" s="334"/>
      <c r="F35" s="334"/>
      <c r="G35" s="50">
        <v>6</v>
      </c>
      <c r="H35" s="334"/>
      <c r="I35" s="334"/>
      <c r="J35" s="334" t="s">
        <v>290</v>
      </c>
      <c r="K35" s="334"/>
      <c r="L35" s="334"/>
      <c r="M35" s="334"/>
    </row>
    <row r="36" spans="1:13">
      <c r="A36" s="50">
        <v>18</v>
      </c>
      <c r="B36" s="334"/>
      <c r="C36" s="334"/>
      <c r="D36" s="50">
        <v>18</v>
      </c>
      <c r="E36" s="334"/>
      <c r="F36" s="334"/>
      <c r="G36" s="1698" t="s">
        <v>301</v>
      </c>
      <c r="H36" s="1699"/>
      <c r="I36" s="1700"/>
      <c r="J36" s="334"/>
      <c r="K36" s="335" t="s">
        <v>163</v>
      </c>
      <c r="L36" s="336" t="s">
        <v>289</v>
      </c>
      <c r="M36" s="336"/>
    </row>
    <row r="37" spans="1:13">
      <c r="A37" s="50">
        <v>20</v>
      </c>
      <c r="B37" s="334"/>
      <c r="C37" s="334"/>
      <c r="D37" s="50">
        <v>20</v>
      </c>
      <c r="E37" s="334"/>
      <c r="F37" s="334"/>
      <c r="G37" s="334" t="s">
        <v>146</v>
      </c>
      <c r="H37" s="334"/>
      <c r="I37" s="334"/>
      <c r="J37" s="50">
        <v>2</v>
      </c>
      <c r="K37" s="334"/>
      <c r="L37" s="334"/>
      <c r="M37" s="334"/>
    </row>
    <row r="38" spans="1:13">
      <c r="A38" s="50">
        <v>22</v>
      </c>
      <c r="B38" s="334"/>
      <c r="C38" s="334"/>
      <c r="D38" s="50">
        <v>22</v>
      </c>
      <c r="E38" s="334"/>
      <c r="F38" s="334"/>
      <c r="G38" s="334" t="s">
        <v>290</v>
      </c>
      <c r="H38" s="334"/>
      <c r="I38" s="334"/>
      <c r="J38" s="50">
        <v>4</v>
      </c>
      <c r="K38" s="50"/>
      <c r="L38" s="50"/>
      <c r="M38" s="50"/>
    </row>
    <row r="39" spans="1:13">
      <c r="A39" s="50">
        <v>24</v>
      </c>
      <c r="B39" s="334"/>
      <c r="C39" s="334"/>
      <c r="D39" s="50">
        <v>24</v>
      </c>
      <c r="E39" s="334"/>
      <c r="F39" s="334"/>
      <c r="G39" s="334"/>
      <c r="H39" s="335" t="s">
        <v>163</v>
      </c>
      <c r="I39" s="336" t="s">
        <v>289</v>
      </c>
      <c r="J39" s="50">
        <v>6</v>
      </c>
      <c r="K39" s="50"/>
      <c r="L39" s="50"/>
      <c r="M39" s="50"/>
    </row>
    <row r="40" spans="1:13">
      <c r="A40" s="50">
        <v>26</v>
      </c>
      <c r="B40" s="334"/>
      <c r="C40" s="334"/>
      <c r="D40" s="50">
        <v>26</v>
      </c>
      <c r="E40" s="334"/>
      <c r="F40" s="334"/>
      <c r="G40" s="50">
        <v>2</v>
      </c>
      <c r="H40" s="334"/>
      <c r="I40" s="334"/>
      <c r="J40" s="1705" t="s">
        <v>1240</v>
      </c>
      <c r="K40" s="1706"/>
      <c r="L40" s="1706"/>
      <c r="M40" s="1707"/>
    </row>
    <row r="41" spans="1:13">
      <c r="A41" s="50">
        <v>28</v>
      </c>
      <c r="B41" s="334"/>
      <c r="C41" s="334"/>
      <c r="D41" s="50">
        <v>28</v>
      </c>
      <c r="E41" s="334"/>
      <c r="F41" s="334"/>
      <c r="G41" s="50">
        <v>4</v>
      </c>
      <c r="H41" s="334"/>
      <c r="I41" s="334"/>
      <c r="J41" s="511" t="s">
        <v>146</v>
      </c>
      <c r="K41" s="511"/>
      <c r="L41" s="511"/>
      <c r="M41" s="50"/>
    </row>
    <row r="42" spans="1:13">
      <c r="A42" s="50">
        <v>30</v>
      </c>
      <c r="B42" s="50"/>
      <c r="D42" s="50">
        <v>30</v>
      </c>
      <c r="E42" s="334"/>
      <c r="F42" s="334"/>
      <c r="G42" s="50">
        <v>6</v>
      </c>
      <c r="H42" s="334"/>
      <c r="I42" s="334"/>
      <c r="J42" s="511" t="s">
        <v>290</v>
      </c>
      <c r="K42" s="511"/>
      <c r="L42" s="511"/>
      <c r="M42" s="50"/>
    </row>
    <row r="43" spans="1:13">
      <c r="A43" s="1698" t="s">
        <v>296</v>
      </c>
      <c r="B43" s="1699"/>
      <c r="C43" s="1700"/>
      <c r="D43" s="1698" t="s">
        <v>299</v>
      </c>
      <c r="E43" s="1699"/>
      <c r="F43" s="1700"/>
      <c r="G43" s="1698" t="s">
        <v>293</v>
      </c>
      <c r="H43" s="1699"/>
      <c r="I43" s="1700"/>
      <c r="J43" s="952"/>
      <c r="K43" s="953" t="s">
        <v>163</v>
      </c>
      <c r="L43" s="954" t="s">
        <v>289</v>
      </c>
      <c r="M43" s="50"/>
    </row>
    <row r="44" spans="1:13">
      <c r="A44" s="334" t="s">
        <v>146</v>
      </c>
      <c r="B44" s="334"/>
      <c r="C44" s="334"/>
      <c r="D44" s="334" t="s">
        <v>146</v>
      </c>
      <c r="E44" s="334"/>
      <c r="F44" s="334"/>
      <c r="G44" s="334" t="s">
        <v>146</v>
      </c>
      <c r="H44" s="334"/>
      <c r="I44" s="334"/>
      <c r="J44" s="50">
        <v>2</v>
      </c>
      <c r="K44" s="50"/>
      <c r="L44" s="50"/>
      <c r="M44" s="50"/>
    </row>
    <row r="45" spans="1:13">
      <c r="A45" s="334" t="s">
        <v>290</v>
      </c>
      <c r="B45" s="344"/>
      <c r="C45" s="334"/>
      <c r="D45" s="50" t="s">
        <v>188</v>
      </c>
      <c r="E45" s="871"/>
      <c r="F45" s="336"/>
      <c r="G45" s="511" t="s">
        <v>188</v>
      </c>
      <c r="H45" s="871"/>
      <c r="I45" s="336"/>
      <c r="J45" s="50">
        <v>4</v>
      </c>
      <c r="K45" s="50"/>
      <c r="L45" s="50"/>
      <c r="M45" s="50"/>
    </row>
    <row r="46" spans="1:13">
      <c r="A46" s="334"/>
      <c r="B46" s="335" t="s">
        <v>163</v>
      </c>
      <c r="C46" s="336" t="s">
        <v>289</v>
      </c>
      <c r="E46" s="334"/>
      <c r="F46" s="570"/>
      <c r="G46" s="50"/>
      <c r="H46" s="511"/>
      <c r="I46" s="50"/>
      <c r="J46" s="1721" t="s">
        <v>1241</v>
      </c>
      <c r="K46" s="1722"/>
      <c r="L46" s="1722"/>
      <c r="M46" s="1722"/>
    </row>
    <row r="47" spans="1:13">
      <c r="A47" s="50">
        <v>2</v>
      </c>
      <c r="B47" s="334"/>
      <c r="C47" s="870"/>
      <c r="D47" s="1698" t="s">
        <v>633</v>
      </c>
      <c r="E47" s="1699"/>
      <c r="F47" s="1699"/>
      <c r="G47" s="1698" t="s">
        <v>636</v>
      </c>
      <c r="H47" s="1699"/>
      <c r="I47" s="1700"/>
      <c r="J47" s="511" t="s">
        <v>146</v>
      </c>
      <c r="K47" s="511"/>
      <c r="L47" s="511"/>
      <c r="M47" s="334"/>
    </row>
    <row r="48" spans="1:13">
      <c r="A48" s="50">
        <v>4</v>
      </c>
      <c r="B48" s="334"/>
      <c r="C48" s="334"/>
      <c r="D48" s="338" t="s">
        <v>146</v>
      </c>
      <c r="E48" s="338"/>
      <c r="F48" s="338"/>
      <c r="G48" s="334" t="s">
        <v>146</v>
      </c>
      <c r="H48" s="334"/>
      <c r="I48" s="511" t="s">
        <v>1152</v>
      </c>
      <c r="J48" s="511" t="s">
        <v>290</v>
      </c>
      <c r="K48" s="511"/>
      <c r="L48" s="511"/>
      <c r="M48" s="334"/>
    </row>
    <row r="49" spans="1:25">
      <c r="A49" s="50">
        <v>6</v>
      </c>
      <c r="B49" s="334"/>
      <c r="C49" s="334"/>
      <c r="D49" s="338" t="s">
        <v>290</v>
      </c>
      <c r="E49" s="338"/>
      <c r="F49" s="338"/>
      <c r="G49" s="334" t="s">
        <v>290</v>
      </c>
      <c r="H49" s="334"/>
      <c r="I49" s="871"/>
      <c r="J49" s="511"/>
      <c r="K49" s="335" t="s">
        <v>163</v>
      </c>
      <c r="L49" s="336" t="s">
        <v>289</v>
      </c>
      <c r="M49" s="334"/>
    </row>
    <row r="50" spans="1:25">
      <c r="A50" s="50">
        <v>8</v>
      </c>
      <c r="B50" s="334"/>
      <c r="C50" s="334"/>
      <c r="D50" s="338"/>
      <c r="E50" s="817" t="s">
        <v>163</v>
      </c>
      <c r="F50" s="818" t="s">
        <v>289</v>
      </c>
      <c r="G50" s="334"/>
      <c r="H50" s="335" t="s">
        <v>163</v>
      </c>
      <c r="I50" s="821" t="s">
        <v>289</v>
      </c>
      <c r="J50" s="510">
        <v>2</v>
      </c>
      <c r="K50" s="510"/>
      <c r="L50" s="510"/>
      <c r="M50" s="951"/>
    </row>
    <row r="51" spans="1:25">
      <c r="A51" s="50">
        <v>10</v>
      </c>
      <c r="B51" s="334"/>
      <c r="C51" s="334"/>
      <c r="D51" s="50">
        <v>2</v>
      </c>
      <c r="E51" s="569"/>
      <c r="F51" s="569"/>
      <c r="G51" s="50">
        <v>2</v>
      </c>
      <c r="H51" s="334"/>
      <c r="I51" s="822"/>
      <c r="J51" s="50">
        <v>4</v>
      </c>
      <c r="K51" s="50"/>
      <c r="L51" s="50"/>
      <c r="M51" s="825"/>
    </row>
    <row r="52" spans="1:25">
      <c r="A52" s="50">
        <v>12</v>
      </c>
      <c r="B52" s="334"/>
      <c r="C52" s="334"/>
      <c r="D52" s="50">
        <v>4</v>
      </c>
      <c r="E52" s="569"/>
      <c r="F52" s="569"/>
      <c r="G52" s="50">
        <v>4</v>
      </c>
      <c r="H52" s="334"/>
      <c r="I52" s="822"/>
      <c r="J52" s="1721" t="s">
        <v>1242</v>
      </c>
      <c r="K52" s="1722"/>
      <c r="L52" s="1722"/>
      <c r="M52" s="1722"/>
    </row>
    <row r="53" spans="1:25">
      <c r="A53" s="50">
        <v>14</v>
      </c>
      <c r="B53" s="334"/>
      <c r="C53" s="334"/>
      <c r="D53" s="50">
        <v>6</v>
      </c>
      <c r="E53" s="569"/>
      <c r="F53" s="569"/>
      <c r="G53" s="50">
        <v>6</v>
      </c>
      <c r="H53" s="334"/>
      <c r="I53" s="822"/>
      <c r="J53" s="511" t="s">
        <v>146</v>
      </c>
      <c r="K53" s="511"/>
      <c r="L53" s="511"/>
      <c r="M53" s="511"/>
    </row>
    <row r="54" spans="1:25" ht="13.75" customHeight="1">
      <c r="A54" s="50">
        <v>16</v>
      </c>
      <c r="B54" s="334"/>
      <c r="C54" s="334"/>
      <c r="D54" s="50">
        <v>8</v>
      </c>
      <c r="E54" s="569"/>
      <c r="F54" s="569"/>
      <c r="G54" s="1705" t="s">
        <v>1243</v>
      </c>
      <c r="H54" s="1706"/>
      <c r="I54" s="1707"/>
      <c r="J54" s="511" t="s">
        <v>290</v>
      </c>
      <c r="K54" s="511"/>
      <c r="L54" s="511"/>
      <c r="M54" s="511"/>
    </row>
    <row r="55" spans="1:25">
      <c r="A55" s="50">
        <v>18</v>
      </c>
      <c r="B55" s="334"/>
      <c r="C55" s="334"/>
      <c r="D55" s="50">
        <v>10</v>
      </c>
      <c r="E55" s="569"/>
      <c r="F55" s="569"/>
      <c r="G55" s="511" t="s">
        <v>146</v>
      </c>
      <c r="H55" s="511"/>
      <c r="I55" s="511"/>
      <c r="J55" s="511"/>
      <c r="K55" s="335" t="s">
        <v>163</v>
      </c>
      <c r="L55" s="336" t="s">
        <v>289</v>
      </c>
      <c r="M55" s="511"/>
    </row>
    <row r="56" spans="1:25">
      <c r="A56" s="50">
        <v>20</v>
      </c>
      <c r="B56" s="334"/>
      <c r="C56" s="334"/>
      <c r="D56" s="50">
        <v>12</v>
      </c>
      <c r="E56" s="334"/>
      <c r="F56" s="334"/>
      <c r="G56" s="511" t="s">
        <v>290</v>
      </c>
      <c r="H56" s="511"/>
      <c r="I56" s="511"/>
      <c r="J56" s="510">
        <v>2</v>
      </c>
      <c r="K56" s="510"/>
      <c r="L56" s="510"/>
      <c r="M56" s="951"/>
    </row>
    <row r="57" spans="1:25">
      <c r="A57" s="50">
        <v>22</v>
      </c>
      <c r="B57" s="334"/>
      <c r="C57" s="334"/>
      <c r="D57" s="50">
        <v>14</v>
      </c>
      <c r="E57" s="83"/>
      <c r="F57" s="83"/>
      <c r="G57" s="511"/>
      <c r="H57" s="335" t="s">
        <v>163</v>
      </c>
      <c r="I57" s="336" t="s">
        <v>289</v>
      </c>
      <c r="J57" s="50">
        <v>4</v>
      </c>
      <c r="K57" s="50"/>
      <c r="L57" s="50"/>
      <c r="M57" s="825"/>
    </row>
    <row r="58" spans="1:25">
      <c r="A58" s="205"/>
      <c r="B58" s="205"/>
      <c r="C58" s="205"/>
      <c r="D58" s="148"/>
      <c r="E58" s="148"/>
      <c r="F58" s="148"/>
      <c r="G58" s="204">
        <v>2</v>
      </c>
      <c r="H58" s="83"/>
      <c r="I58" s="83"/>
    </row>
    <row r="59" spans="1:25">
      <c r="G59" s="50">
        <v>4</v>
      </c>
      <c r="H59" s="50"/>
      <c r="I59" s="50"/>
    </row>
    <row r="61" spans="1:25">
      <c r="A61" s="204"/>
      <c r="B61" s="1712" t="s">
        <v>947</v>
      </c>
      <c r="C61" s="1710"/>
      <c r="D61" s="1710"/>
      <c r="E61" s="1710"/>
      <c r="F61" s="1710"/>
      <c r="G61" s="1710"/>
      <c r="H61" s="1710"/>
      <c r="I61" s="1713"/>
      <c r="O61" s="204" t="s">
        <v>291</v>
      </c>
      <c r="P61" s="1712"/>
      <c r="Q61" s="1710"/>
      <c r="R61" s="1710"/>
      <c r="S61" s="1710"/>
      <c r="T61" s="1710"/>
      <c r="U61" s="1710"/>
      <c r="V61" s="1710"/>
      <c r="W61" s="1713"/>
      <c r="X61" s="710"/>
      <c r="Y61" s="710"/>
    </row>
    <row r="62" spans="1:25">
      <c r="A62" s="204" t="s">
        <v>292</v>
      </c>
      <c r="B62" s="1542" t="s">
        <v>1246</v>
      </c>
      <c r="C62" s="1542"/>
      <c r="D62" s="1542"/>
      <c r="E62" s="1542"/>
      <c r="F62" s="1542"/>
      <c r="G62" s="1542"/>
      <c r="H62" s="1542"/>
      <c r="I62" s="1542"/>
      <c r="O62" s="204" t="s">
        <v>292</v>
      </c>
      <c r="P62" s="1542"/>
      <c r="Q62" s="1542"/>
      <c r="R62" s="1542"/>
      <c r="S62" s="1542"/>
      <c r="T62" s="1542"/>
      <c r="U62" s="1542"/>
      <c r="V62" s="1542"/>
      <c r="W62" s="1542"/>
      <c r="X62" s="710"/>
      <c r="Y62" s="710"/>
    </row>
    <row r="63" spans="1:25">
      <c r="A63" s="204" t="s">
        <v>6</v>
      </c>
      <c r="B63" s="1565"/>
      <c r="C63" s="1565"/>
      <c r="D63" s="1565"/>
      <c r="E63" s="1565"/>
      <c r="F63" s="1565"/>
      <c r="G63" s="1565"/>
      <c r="H63" s="1565"/>
      <c r="I63" s="1565"/>
      <c r="O63" s="204" t="s">
        <v>6</v>
      </c>
      <c r="P63" s="1565"/>
      <c r="Q63" s="1565"/>
      <c r="R63" s="1565"/>
      <c r="S63" s="1565"/>
      <c r="T63" s="1565"/>
      <c r="U63" s="1565"/>
      <c r="V63" s="1565"/>
      <c r="W63" s="1565"/>
      <c r="X63" s="710"/>
      <c r="Y63" s="710"/>
    </row>
    <row r="64" spans="1:25">
      <c r="A64" s="204" t="s">
        <v>144</v>
      </c>
      <c r="B64" s="1708">
        <v>42303</v>
      </c>
      <c r="C64" s="1708"/>
      <c r="D64" s="1714"/>
      <c r="E64" s="1503"/>
      <c r="F64" s="1503"/>
      <c r="G64" s="1503"/>
      <c r="H64" s="1503"/>
      <c r="I64" s="1504"/>
      <c r="O64" s="204" t="s">
        <v>144</v>
      </c>
      <c r="P64" s="1708"/>
      <c r="Q64" s="1708"/>
      <c r="R64" s="1714" t="s">
        <v>1217</v>
      </c>
      <c r="S64" s="1503"/>
      <c r="T64" s="1503"/>
      <c r="U64" s="1503"/>
      <c r="V64" s="1503"/>
      <c r="W64" s="1504"/>
      <c r="X64" s="710"/>
      <c r="Y64" s="710"/>
    </row>
    <row r="65" spans="1:26">
      <c r="A65" s="321" t="s">
        <v>343</v>
      </c>
      <c r="B65" s="322"/>
      <c r="C65" s="323"/>
      <c r="D65" s="321" t="s">
        <v>297</v>
      </c>
      <c r="E65" s="322"/>
      <c r="F65" s="323"/>
      <c r="G65" s="321" t="s">
        <v>300</v>
      </c>
      <c r="H65" s="795"/>
      <c r="I65" s="323"/>
      <c r="J65" s="799"/>
      <c r="K65" s="800"/>
      <c r="O65" s="1695" t="s">
        <v>1212</v>
      </c>
      <c r="P65" s="1696"/>
      <c r="Q65" s="1697"/>
      <c r="R65" s="1695" t="s">
        <v>1213</v>
      </c>
      <c r="S65" s="1696"/>
      <c r="T65" s="1697"/>
      <c r="U65" s="1695" t="s">
        <v>1214</v>
      </c>
      <c r="V65" s="1696"/>
      <c r="W65" s="1697"/>
      <c r="X65" s="1715" t="s">
        <v>1207</v>
      </c>
      <c r="Y65" s="1716"/>
      <c r="Z65" s="1716"/>
    </row>
    <row r="66" spans="1:26" ht="16.75" customHeight="1">
      <c r="A66" s="203" t="s">
        <v>146</v>
      </c>
      <c r="B66" s="203"/>
      <c r="C66" s="203" t="s">
        <v>1094</v>
      </c>
      <c r="D66" s="204" t="s">
        <v>146</v>
      </c>
      <c r="E66" s="204"/>
      <c r="F66" s="203" t="s">
        <v>1094</v>
      </c>
      <c r="G66" s="204" t="s">
        <v>146</v>
      </c>
      <c r="H66" s="204"/>
      <c r="I66" s="203" t="s">
        <v>1094</v>
      </c>
      <c r="J66" s="203" t="s">
        <v>146</v>
      </c>
      <c r="K66" s="203"/>
      <c r="O66" s="203" t="s">
        <v>146</v>
      </c>
      <c r="P66" s="203"/>
      <c r="Q66" s="203" t="s">
        <v>1094</v>
      </c>
      <c r="R66" s="204" t="s">
        <v>146</v>
      </c>
      <c r="S66" s="204"/>
      <c r="T66" s="203" t="s">
        <v>1094</v>
      </c>
      <c r="U66" s="204" t="s">
        <v>146</v>
      </c>
      <c r="V66" s="204"/>
      <c r="W66" s="203" t="s">
        <v>1094</v>
      </c>
      <c r="X66" s="203" t="s">
        <v>146</v>
      </c>
      <c r="Y66" s="203"/>
      <c r="Z66" s="203" t="s">
        <v>1094</v>
      </c>
    </row>
    <row r="67" spans="1:26">
      <c r="A67" s="203" t="s">
        <v>1093</v>
      </c>
      <c r="B67" s="814"/>
      <c r="C67" s="526"/>
      <c r="D67" s="203" t="s">
        <v>1093</v>
      </c>
      <c r="E67" s="507"/>
      <c r="F67" s="513"/>
      <c r="G67" s="203" t="s">
        <v>1093</v>
      </c>
      <c r="H67" s="507"/>
      <c r="I67" s="513"/>
      <c r="J67" s="203" t="s">
        <v>1079</v>
      </c>
      <c r="K67" s="814"/>
      <c r="O67" s="203" t="s">
        <v>1093</v>
      </c>
      <c r="P67" s="814"/>
      <c r="Q67" s="526"/>
      <c r="R67" s="203" t="s">
        <v>1093</v>
      </c>
      <c r="S67" s="507"/>
      <c r="T67" s="538"/>
      <c r="U67" s="203" t="s">
        <v>1093</v>
      </c>
      <c r="V67" s="507"/>
      <c r="W67" s="538"/>
      <c r="X67" s="203" t="s">
        <v>1079</v>
      </c>
      <c r="Y67" s="814"/>
      <c r="Z67" s="538"/>
    </row>
    <row r="68" spans="1:26">
      <c r="A68" s="234" t="s">
        <v>150</v>
      </c>
      <c r="B68" s="234"/>
      <c r="C68" s="203"/>
      <c r="D68" s="234" t="s">
        <v>150</v>
      </c>
      <c r="E68" s="234"/>
      <c r="F68" s="204"/>
      <c r="G68" s="234" t="s">
        <v>150</v>
      </c>
      <c r="H68" s="234"/>
      <c r="I68" s="204"/>
      <c r="J68" s="428" t="s">
        <v>150</v>
      </c>
      <c r="K68" s="203"/>
      <c r="O68" s="234" t="s">
        <v>150</v>
      </c>
      <c r="P68" s="234"/>
      <c r="Q68" s="203"/>
      <c r="R68" s="234" t="s">
        <v>150</v>
      </c>
      <c r="S68" s="234"/>
      <c r="T68" s="204"/>
      <c r="U68" s="234" t="s">
        <v>150</v>
      </c>
      <c r="V68" s="234"/>
      <c r="W68" s="204"/>
      <c r="X68" s="234" t="s">
        <v>150</v>
      </c>
      <c r="Y68" s="234"/>
      <c r="Z68" s="204"/>
    </row>
    <row r="69" spans="1:26">
      <c r="A69" s="234" t="s">
        <v>149</v>
      </c>
      <c r="B69" s="234"/>
      <c r="C69" s="203"/>
      <c r="D69" s="234" t="s">
        <v>149</v>
      </c>
      <c r="E69" s="234"/>
      <c r="F69" s="204"/>
      <c r="G69" s="234" t="s">
        <v>149</v>
      </c>
      <c r="H69" s="234"/>
      <c r="I69" s="204"/>
      <c r="J69" s="428" t="s">
        <v>149</v>
      </c>
      <c r="K69" s="203"/>
      <c r="O69" s="234" t="s">
        <v>149</v>
      </c>
      <c r="P69" s="234"/>
      <c r="Q69" s="203"/>
      <c r="R69" s="234" t="s">
        <v>149</v>
      </c>
      <c r="S69" s="234"/>
      <c r="T69" s="204"/>
      <c r="U69" s="234" t="s">
        <v>149</v>
      </c>
      <c r="V69" s="234"/>
      <c r="W69" s="204"/>
      <c r="X69" s="234" t="s">
        <v>149</v>
      </c>
      <c r="Y69" s="234"/>
      <c r="Z69" s="204"/>
    </row>
    <row r="70" spans="1:26">
      <c r="A70" s="234" t="s">
        <v>148</v>
      </c>
      <c r="B70" s="234"/>
      <c r="C70" s="203"/>
      <c r="D70" s="234" t="s">
        <v>148</v>
      </c>
      <c r="E70" s="234"/>
      <c r="F70" s="204"/>
      <c r="G70" s="234" t="s">
        <v>148</v>
      </c>
      <c r="H70" s="234"/>
      <c r="I70" s="204"/>
      <c r="J70" s="428" t="s">
        <v>148</v>
      </c>
      <c r="K70" s="203"/>
      <c r="O70" s="234" t="s">
        <v>148</v>
      </c>
      <c r="P70" s="234"/>
      <c r="Q70" s="203"/>
      <c r="R70" s="234" t="s">
        <v>148</v>
      </c>
      <c r="S70" s="234"/>
      <c r="T70" s="204"/>
      <c r="U70" s="234" t="s">
        <v>148</v>
      </c>
      <c r="V70" s="234"/>
      <c r="W70" s="204"/>
      <c r="X70" s="234" t="s">
        <v>148</v>
      </c>
      <c r="Y70" s="234"/>
      <c r="Z70" s="204"/>
    </row>
    <row r="71" spans="1:26">
      <c r="A71" s="234" t="s">
        <v>147</v>
      </c>
      <c r="B71" s="234"/>
      <c r="C71" s="203"/>
      <c r="D71" s="234" t="s">
        <v>147</v>
      </c>
      <c r="E71" s="234"/>
      <c r="F71" s="204"/>
      <c r="G71" s="234" t="s">
        <v>147</v>
      </c>
      <c r="H71" s="234"/>
      <c r="I71" s="204"/>
      <c r="J71" s="428" t="s">
        <v>147</v>
      </c>
      <c r="K71" s="203"/>
      <c r="O71" s="234" t="s">
        <v>147</v>
      </c>
      <c r="P71" s="234"/>
      <c r="Q71" s="203"/>
      <c r="R71" s="234" t="s">
        <v>147</v>
      </c>
      <c r="S71" s="234"/>
      <c r="T71" s="204"/>
      <c r="U71" s="234" t="s">
        <v>147</v>
      </c>
      <c r="V71" s="234"/>
      <c r="W71" s="204"/>
      <c r="X71" s="234" t="s">
        <v>147</v>
      </c>
      <c r="Y71" s="234"/>
      <c r="Z71" s="204"/>
    </row>
    <row r="72" spans="1:26">
      <c r="A72" s="321" t="s">
        <v>633</v>
      </c>
      <c r="B72" s="322"/>
      <c r="C72" s="323"/>
      <c r="D72" s="321" t="s">
        <v>298</v>
      </c>
      <c r="E72" s="322"/>
      <c r="F72" s="323"/>
      <c r="G72" s="321" t="s">
        <v>301</v>
      </c>
      <c r="H72" s="322"/>
      <c r="I72" s="323"/>
      <c r="J72" s="799"/>
      <c r="K72" s="800"/>
      <c r="O72" s="1695" t="s">
        <v>1208</v>
      </c>
      <c r="P72" s="1696"/>
      <c r="Q72" s="1697"/>
      <c r="R72" s="1695" t="s">
        <v>1209</v>
      </c>
      <c r="S72" s="1696"/>
      <c r="T72" s="1697"/>
      <c r="U72" s="1695" t="s">
        <v>1210</v>
      </c>
      <c r="V72" s="1696"/>
      <c r="W72" s="1697"/>
      <c r="X72" s="1695" t="s">
        <v>1211</v>
      </c>
      <c r="Y72" s="1696"/>
      <c r="Z72" s="1696"/>
    </row>
    <row r="73" spans="1:26" ht="14.4" customHeight="1">
      <c r="A73" s="204" t="s">
        <v>146</v>
      </c>
      <c r="B73" s="204"/>
      <c r="C73" s="203" t="s">
        <v>1094</v>
      </c>
      <c r="D73" s="204" t="s">
        <v>146</v>
      </c>
      <c r="E73" s="204"/>
      <c r="F73" s="203" t="s">
        <v>1094</v>
      </c>
      <c r="G73" s="204" t="s">
        <v>146</v>
      </c>
      <c r="H73" s="204"/>
      <c r="I73" s="203" t="s">
        <v>1094</v>
      </c>
      <c r="J73" s="203" t="s">
        <v>146</v>
      </c>
      <c r="K73" s="203"/>
      <c r="O73" s="204" t="s">
        <v>146</v>
      </c>
      <c r="P73" s="204"/>
      <c r="Q73" s="203" t="s">
        <v>1094</v>
      </c>
      <c r="R73" s="204" t="s">
        <v>146</v>
      </c>
      <c r="S73" s="204"/>
      <c r="T73" s="203" t="s">
        <v>1094</v>
      </c>
      <c r="U73" s="204" t="s">
        <v>146</v>
      </c>
      <c r="V73" s="204"/>
      <c r="W73" s="203" t="s">
        <v>1094</v>
      </c>
      <c r="X73" s="203" t="s">
        <v>146</v>
      </c>
      <c r="Y73" s="203"/>
      <c r="Z73" s="203" t="s">
        <v>1094</v>
      </c>
    </row>
    <row r="74" spans="1:26">
      <c r="A74" s="203" t="s">
        <v>1093</v>
      </c>
      <c r="B74" s="507"/>
      <c r="C74" s="513"/>
      <c r="D74" s="203" t="s">
        <v>1093</v>
      </c>
      <c r="E74" s="204"/>
      <c r="F74" s="204"/>
      <c r="G74" s="203" t="s">
        <v>1093</v>
      </c>
      <c r="H74" s="507"/>
      <c r="I74" s="513"/>
      <c r="J74" s="203" t="s">
        <v>1079</v>
      </c>
      <c r="K74" s="814"/>
      <c r="O74" s="203" t="s">
        <v>1093</v>
      </c>
      <c r="P74" s="507"/>
      <c r="Q74" s="538"/>
      <c r="R74" s="203" t="s">
        <v>1093</v>
      </c>
      <c r="S74" s="204"/>
      <c r="T74" s="204"/>
      <c r="U74" s="203" t="s">
        <v>1093</v>
      </c>
      <c r="V74" s="507"/>
      <c r="W74" s="538"/>
      <c r="X74" s="203" t="s">
        <v>1079</v>
      </c>
      <c r="Y74" s="814"/>
      <c r="Z74" s="538"/>
    </row>
    <row r="75" spans="1:26">
      <c r="A75" s="234" t="s">
        <v>150</v>
      </c>
      <c r="B75" s="234"/>
      <c r="C75" s="204"/>
      <c r="D75" s="234" t="s">
        <v>150</v>
      </c>
      <c r="E75" s="234"/>
      <c r="F75" s="204"/>
      <c r="G75" s="234" t="s">
        <v>150</v>
      </c>
      <c r="H75" s="234"/>
      <c r="I75" s="204"/>
      <c r="J75" s="428" t="s">
        <v>150</v>
      </c>
      <c r="K75" s="203"/>
      <c r="O75" s="234" t="s">
        <v>150</v>
      </c>
      <c r="P75" s="234"/>
      <c r="Q75" s="204"/>
      <c r="R75" s="234" t="s">
        <v>150</v>
      </c>
      <c r="S75" s="234"/>
      <c r="T75" s="204"/>
      <c r="U75" s="234" t="s">
        <v>150</v>
      </c>
      <c r="V75" s="234"/>
      <c r="W75" s="204"/>
      <c r="X75" s="234" t="s">
        <v>150</v>
      </c>
      <c r="Y75" s="234"/>
      <c r="Z75" s="204"/>
    </row>
    <row r="76" spans="1:26">
      <c r="A76" s="234" t="s">
        <v>149</v>
      </c>
      <c r="B76" s="234"/>
      <c r="C76" s="204"/>
      <c r="D76" s="234" t="s">
        <v>149</v>
      </c>
      <c r="E76" s="234"/>
      <c r="F76" s="204"/>
      <c r="G76" s="234" t="s">
        <v>149</v>
      </c>
      <c r="H76" s="234"/>
      <c r="I76" s="204"/>
      <c r="J76" s="428" t="s">
        <v>149</v>
      </c>
      <c r="K76" s="203"/>
      <c r="O76" s="234" t="s">
        <v>149</v>
      </c>
      <c r="P76" s="234"/>
      <c r="Q76" s="204"/>
      <c r="R76" s="234" t="s">
        <v>149</v>
      </c>
      <c r="S76" s="234"/>
      <c r="T76" s="204"/>
      <c r="U76" s="234" t="s">
        <v>149</v>
      </c>
      <c r="V76" s="234"/>
      <c r="W76" s="204"/>
      <c r="X76" s="234" t="s">
        <v>149</v>
      </c>
      <c r="Y76" s="234"/>
      <c r="Z76" s="204"/>
    </row>
    <row r="77" spans="1:26">
      <c r="A77" s="234" t="s">
        <v>148</v>
      </c>
      <c r="B77" s="234"/>
      <c r="C77" s="204"/>
      <c r="D77" s="234" t="s">
        <v>148</v>
      </c>
      <c r="E77" s="234"/>
      <c r="F77" s="204"/>
      <c r="G77" s="234" t="s">
        <v>148</v>
      </c>
      <c r="H77" s="234"/>
      <c r="I77" s="204"/>
      <c r="J77" s="428" t="s">
        <v>148</v>
      </c>
      <c r="K77" s="203"/>
      <c r="O77" s="234" t="s">
        <v>148</v>
      </c>
      <c r="P77" s="234"/>
      <c r="Q77" s="204"/>
      <c r="R77" s="234" t="s">
        <v>148</v>
      </c>
      <c r="S77" s="234"/>
      <c r="T77" s="204"/>
      <c r="U77" s="234" t="s">
        <v>148</v>
      </c>
      <c r="V77" s="234"/>
      <c r="W77" s="204"/>
      <c r="X77" s="234" t="s">
        <v>148</v>
      </c>
      <c r="Y77" s="234"/>
      <c r="Z77" s="204"/>
    </row>
    <row r="78" spans="1:26">
      <c r="A78" s="234" t="s">
        <v>147</v>
      </c>
      <c r="B78" s="234"/>
      <c r="C78" s="204"/>
      <c r="D78" s="234" t="s">
        <v>147</v>
      </c>
      <c r="E78" s="234"/>
      <c r="F78" s="204"/>
      <c r="G78" s="234" t="s">
        <v>147</v>
      </c>
      <c r="H78" s="234"/>
      <c r="I78" s="204"/>
      <c r="J78" s="428" t="s">
        <v>147</v>
      </c>
      <c r="K78" s="203"/>
      <c r="O78" s="234" t="s">
        <v>147</v>
      </c>
      <c r="P78" s="234"/>
      <c r="Q78" s="204"/>
      <c r="R78" s="234" t="s">
        <v>147</v>
      </c>
      <c r="S78" s="234"/>
      <c r="T78" s="204"/>
      <c r="U78" s="234" t="s">
        <v>147</v>
      </c>
      <c r="V78" s="234"/>
      <c r="W78" s="204"/>
      <c r="X78" s="234" t="s">
        <v>147</v>
      </c>
      <c r="Y78" s="234"/>
      <c r="Z78" s="204"/>
    </row>
    <row r="79" spans="1:26">
      <c r="A79" s="321" t="s">
        <v>344</v>
      </c>
      <c r="B79" s="322"/>
      <c r="C79" s="323"/>
      <c r="D79" s="321" t="s">
        <v>299</v>
      </c>
      <c r="E79" s="322"/>
      <c r="F79" s="323"/>
      <c r="G79" s="321" t="s">
        <v>635</v>
      </c>
      <c r="H79" s="322"/>
      <c r="I79" s="323"/>
      <c r="J79" s="321"/>
      <c r="K79" s="322"/>
      <c r="O79" s="1695" t="s">
        <v>1215</v>
      </c>
      <c r="P79" s="1696"/>
      <c r="Q79" s="1697"/>
      <c r="R79" s="1695" t="s">
        <v>1216</v>
      </c>
      <c r="S79" s="1696"/>
      <c r="T79" s="1697"/>
      <c r="U79" s="1695"/>
      <c r="V79" s="1696"/>
      <c r="W79" s="1697"/>
      <c r="X79" s="321"/>
      <c r="Y79" s="322"/>
      <c r="Z79" s="322"/>
    </row>
    <row r="80" spans="1:26" ht="14.4" customHeight="1">
      <c r="A80" s="203" t="s">
        <v>146</v>
      </c>
      <c r="B80" s="203"/>
      <c r="C80" s="203" t="s">
        <v>1094</v>
      </c>
      <c r="D80" s="204" t="s">
        <v>146</v>
      </c>
      <c r="E80" s="204"/>
      <c r="F80" s="203" t="s">
        <v>1094</v>
      </c>
      <c r="G80" s="204" t="s">
        <v>146</v>
      </c>
      <c r="H80" s="204"/>
      <c r="I80" s="203" t="s">
        <v>1094</v>
      </c>
      <c r="J80" s="204" t="s">
        <v>146</v>
      </c>
      <c r="K80" s="204"/>
      <c r="O80" s="203" t="s">
        <v>146</v>
      </c>
      <c r="P80" s="203"/>
      <c r="Q80" s="203" t="s">
        <v>1094</v>
      </c>
      <c r="R80" s="204" t="s">
        <v>146</v>
      </c>
      <c r="S80" s="204"/>
      <c r="T80" s="203" t="s">
        <v>1094</v>
      </c>
      <c r="U80" s="204" t="s">
        <v>146</v>
      </c>
      <c r="V80" s="204"/>
      <c r="W80" s="203" t="s">
        <v>1094</v>
      </c>
      <c r="X80" s="204" t="s">
        <v>146</v>
      </c>
      <c r="Y80" s="204"/>
      <c r="Z80" s="203" t="s">
        <v>1094</v>
      </c>
    </row>
    <row r="81" spans="1:26">
      <c r="A81" s="203" t="s">
        <v>1093</v>
      </c>
      <c r="B81" s="814"/>
      <c r="C81" s="526"/>
      <c r="D81" s="203" t="s">
        <v>1093</v>
      </c>
      <c r="E81" s="816"/>
      <c r="F81" s="815"/>
      <c r="G81" s="203" t="s">
        <v>1093</v>
      </c>
      <c r="H81" s="507"/>
      <c r="I81" s="513"/>
      <c r="J81" s="204" t="s">
        <v>1079</v>
      </c>
      <c r="K81" s="814"/>
      <c r="O81" s="203" t="s">
        <v>1093</v>
      </c>
      <c r="P81" s="814"/>
      <c r="Q81" s="526"/>
      <c r="R81" s="203" t="s">
        <v>1093</v>
      </c>
      <c r="S81" s="816"/>
      <c r="T81" s="815"/>
      <c r="U81" s="203" t="s">
        <v>1093</v>
      </c>
      <c r="V81" s="507"/>
      <c r="W81" s="538"/>
      <c r="X81" s="204" t="s">
        <v>1079</v>
      </c>
      <c r="Y81" s="814"/>
      <c r="Z81" s="538"/>
    </row>
    <row r="82" spans="1:26">
      <c r="A82" s="234" t="s">
        <v>150</v>
      </c>
      <c r="B82" s="234"/>
      <c r="C82" s="203"/>
      <c r="D82" s="234" t="s">
        <v>150</v>
      </c>
      <c r="E82" s="234"/>
      <c r="F82" s="204"/>
      <c r="G82" s="234" t="s">
        <v>150</v>
      </c>
      <c r="H82" s="234"/>
      <c r="I82" s="204"/>
      <c r="J82" s="234" t="s">
        <v>150</v>
      </c>
      <c r="K82" s="203"/>
      <c r="O82" s="234" t="s">
        <v>150</v>
      </c>
      <c r="P82" s="234"/>
      <c r="Q82" s="203"/>
      <c r="R82" s="234" t="s">
        <v>150</v>
      </c>
      <c r="S82" s="234"/>
      <c r="T82" s="204"/>
      <c r="U82" s="234" t="s">
        <v>150</v>
      </c>
      <c r="V82" s="234"/>
      <c r="W82" s="204"/>
      <c r="X82" s="234" t="s">
        <v>150</v>
      </c>
      <c r="Y82" s="234"/>
      <c r="Z82" s="204"/>
    </row>
    <row r="83" spans="1:26">
      <c r="A83" s="234" t="s">
        <v>149</v>
      </c>
      <c r="B83" s="234"/>
      <c r="C83" s="203"/>
      <c r="D83" s="234" t="s">
        <v>149</v>
      </c>
      <c r="E83" s="234"/>
      <c r="F83" s="204"/>
      <c r="G83" s="234" t="s">
        <v>149</v>
      </c>
      <c r="H83" s="234"/>
      <c r="I83" s="204"/>
      <c r="J83" s="234" t="s">
        <v>149</v>
      </c>
      <c r="K83" s="203"/>
      <c r="O83" s="234" t="s">
        <v>149</v>
      </c>
      <c r="P83" s="234"/>
      <c r="Q83" s="203"/>
      <c r="R83" s="234" t="s">
        <v>149</v>
      </c>
      <c r="S83" s="234"/>
      <c r="T83" s="204"/>
      <c r="U83" s="234" t="s">
        <v>149</v>
      </c>
      <c r="V83" s="234"/>
      <c r="W83" s="204"/>
      <c r="X83" s="234" t="s">
        <v>149</v>
      </c>
      <c r="Y83" s="234"/>
      <c r="Z83" s="204"/>
    </row>
    <row r="84" spans="1:26">
      <c r="A84" s="234" t="s">
        <v>148</v>
      </c>
      <c r="B84" s="234"/>
      <c r="C84" s="203"/>
      <c r="D84" s="234" t="s">
        <v>148</v>
      </c>
      <c r="E84" s="234"/>
      <c r="F84" s="204"/>
      <c r="G84" s="234" t="s">
        <v>148</v>
      </c>
      <c r="H84" s="234"/>
      <c r="I84" s="204"/>
      <c r="J84" s="234" t="s">
        <v>148</v>
      </c>
      <c r="K84" s="203"/>
      <c r="O84" s="234" t="s">
        <v>148</v>
      </c>
      <c r="P84" s="234"/>
      <c r="Q84" s="203"/>
      <c r="R84" s="234" t="s">
        <v>148</v>
      </c>
      <c r="S84" s="234"/>
      <c r="T84" s="204"/>
      <c r="U84" s="234" t="s">
        <v>148</v>
      </c>
      <c r="V84" s="234"/>
      <c r="W84" s="204"/>
      <c r="X84" s="234" t="s">
        <v>148</v>
      </c>
      <c r="Y84" s="234"/>
      <c r="Z84" s="204"/>
    </row>
    <row r="85" spans="1:26">
      <c r="A85" s="234" t="s">
        <v>147</v>
      </c>
      <c r="B85" s="234"/>
      <c r="C85" s="203"/>
      <c r="D85" s="234" t="s">
        <v>147</v>
      </c>
      <c r="E85" s="234"/>
      <c r="F85" s="204"/>
      <c r="G85" s="234" t="s">
        <v>147</v>
      </c>
      <c r="H85" s="234"/>
      <c r="I85" s="204"/>
      <c r="J85" s="234" t="s">
        <v>147</v>
      </c>
      <c r="K85" s="203"/>
      <c r="O85" s="234" t="s">
        <v>147</v>
      </c>
      <c r="P85" s="234"/>
      <c r="Q85" s="203"/>
      <c r="R85" s="234" t="s">
        <v>147</v>
      </c>
      <c r="S85" s="234"/>
      <c r="T85" s="204"/>
      <c r="U85" s="234" t="s">
        <v>147</v>
      </c>
      <c r="V85" s="234"/>
      <c r="W85" s="204"/>
      <c r="X85" s="234" t="s">
        <v>147</v>
      </c>
      <c r="Y85" s="234"/>
      <c r="Z85" s="204"/>
    </row>
    <row r="86" spans="1:26">
      <c r="A86" s="321" t="s">
        <v>293</v>
      </c>
      <c r="B86" s="322"/>
      <c r="C86" s="323"/>
      <c r="D86" s="321" t="s">
        <v>621</v>
      </c>
      <c r="E86" s="322"/>
      <c r="F86" s="323"/>
      <c r="G86" s="321" t="s">
        <v>636</v>
      </c>
      <c r="H86" s="322"/>
      <c r="I86" s="323"/>
      <c r="J86" s="321"/>
      <c r="K86" s="322"/>
    </row>
    <row r="87" spans="1:26">
      <c r="A87" s="204" t="s">
        <v>146</v>
      </c>
      <c r="B87" s="204"/>
      <c r="C87" s="203" t="s">
        <v>1094</v>
      </c>
      <c r="D87" s="204" t="s">
        <v>146</v>
      </c>
      <c r="E87" s="204"/>
      <c r="F87" s="203" t="s">
        <v>1094</v>
      </c>
      <c r="G87" s="204" t="s">
        <v>146</v>
      </c>
      <c r="H87" s="204"/>
      <c r="I87" s="203" t="s">
        <v>1094</v>
      </c>
      <c r="J87" s="204" t="s">
        <v>146</v>
      </c>
      <c r="K87" s="204"/>
      <c r="O87" s="1698" t="s">
        <v>1120</v>
      </c>
      <c r="P87" s="1699"/>
      <c r="Q87" s="1699"/>
      <c r="R87" s="1698" t="s">
        <v>679</v>
      </c>
      <c r="S87" s="1699"/>
      <c r="T87" s="1700"/>
      <c r="U87" s="1698" t="s">
        <v>303</v>
      </c>
      <c r="V87" s="1699"/>
      <c r="W87" s="1699"/>
      <c r="X87" s="1717">
        <v>12</v>
      </c>
      <c r="Y87" s="1717"/>
      <c r="Z87" s="1717"/>
    </row>
    <row r="88" spans="1:26">
      <c r="A88" s="203" t="s">
        <v>1093</v>
      </c>
      <c r="B88" s="507"/>
      <c r="C88" s="513"/>
      <c r="D88" s="203" t="s">
        <v>1093</v>
      </c>
      <c r="E88" s="507"/>
      <c r="F88" s="513"/>
      <c r="G88" s="203" t="s">
        <v>1093</v>
      </c>
      <c r="H88" s="507"/>
      <c r="I88" s="513"/>
      <c r="J88" s="204" t="s">
        <v>1079</v>
      </c>
      <c r="K88" s="507"/>
      <c r="O88" s="338" t="s">
        <v>146</v>
      </c>
      <c r="P88" s="338"/>
      <c r="Q88" s="338"/>
      <c r="R88" s="511" t="s">
        <v>146</v>
      </c>
      <c r="S88" s="511"/>
      <c r="T88" s="511"/>
      <c r="U88" s="338" t="s">
        <v>146</v>
      </c>
      <c r="V88" s="338"/>
      <c r="W88" s="338"/>
      <c r="X88" s="511" t="s">
        <v>146</v>
      </c>
      <c r="Y88" s="511"/>
      <c r="Z88" s="511"/>
    </row>
    <row r="89" spans="1:26">
      <c r="A89" s="234" t="s">
        <v>150</v>
      </c>
      <c r="B89" s="234"/>
      <c r="C89" s="204"/>
      <c r="D89" s="234" t="s">
        <v>150</v>
      </c>
      <c r="E89" s="234"/>
      <c r="F89" s="204"/>
      <c r="G89" s="234" t="s">
        <v>150</v>
      </c>
      <c r="H89" s="234"/>
      <c r="I89" s="204"/>
      <c r="J89" s="234" t="s">
        <v>150</v>
      </c>
      <c r="K89" s="203"/>
      <c r="O89" s="338" t="s">
        <v>290</v>
      </c>
      <c r="P89" s="338"/>
      <c r="Q89" s="338"/>
      <c r="R89" s="511" t="s">
        <v>290</v>
      </c>
      <c r="S89" s="511"/>
      <c r="T89" s="521"/>
      <c r="U89" s="338" t="s">
        <v>290</v>
      </c>
      <c r="V89" s="338"/>
      <c r="W89" s="338"/>
      <c r="X89" s="511" t="s">
        <v>290</v>
      </c>
      <c r="Y89" s="511"/>
      <c r="Z89" s="521"/>
    </row>
    <row r="90" spans="1:26">
      <c r="A90" s="234" t="s">
        <v>149</v>
      </c>
      <c r="B90" s="234"/>
      <c r="C90" s="204"/>
      <c r="D90" s="234" t="s">
        <v>149</v>
      </c>
      <c r="E90" s="234"/>
      <c r="F90" s="204"/>
      <c r="G90" s="234" t="s">
        <v>149</v>
      </c>
      <c r="H90" s="234"/>
      <c r="I90" s="204"/>
      <c r="J90" s="234" t="s">
        <v>149</v>
      </c>
      <c r="K90" s="203"/>
      <c r="O90" s="338"/>
      <c r="P90" s="817" t="s">
        <v>163</v>
      </c>
      <c r="Q90" s="818" t="s">
        <v>289</v>
      </c>
      <c r="R90" s="511"/>
      <c r="S90" s="335" t="s">
        <v>163</v>
      </c>
      <c r="T90" s="821" t="s">
        <v>289</v>
      </c>
      <c r="U90" s="338"/>
      <c r="V90" s="817" t="s">
        <v>163</v>
      </c>
      <c r="W90" s="818" t="s">
        <v>289</v>
      </c>
      <c r="X90" s="511"/>
      <c r="Y90" s="335" t="s">
        <v>163</v>
      </c>
      <c r="Z90" s="336" t="s">
        <v>289</v>
      </c>
    </row>
    <row r="91" spans="1:26">
      <c r="A91" s="234" t="s">
        <v>148</v>
      </c>
      <c r="B91" s="234"/>
      <c r="C91" s="204"/>
      <c r="D91" s="234" t="s">
        <v>148</v>
      </c>
      <c r="E91" s="234"/>
      <c r="F91" s="204"/>
      <c r="G91" s="234" t="s">
        <v>148</v>
      </c>
      <c r="H91" s="234"/>
      <c r="I91" s="204"/>
      <c r="J91" s="234" t="s">
        <v>148</v>
      </c>
      <c r="K91" s="203"/>
      <c r="O91" s="126">
        <v>2</v>
      </c>
      <c r="P91" s="569"/>
      <c r="Q91" s="569"/>
      <c r="R91" s="126">
        <v>2</v>
      </c>
      <c r="S91" s="511"/>
      <c r="T91" s="822"/>
      <c r="U91" s="126">
        <v>2</v>
      </c>
      <c r="V91" s="569"/>
      <c r="W91" s="569"/>
      <c r="X91" s="126">
        <v>2</v>
      </c>
      <c r="Y91" s="511"/>
      <c r="Z91" s="511"/>
    </row>
    <row r="92" spans="1:26">
      <c r="A92" s="234" t="s">
        <v>147</v>
      </c>
      <c r="B92" s="234"/>
      <c r="C92" s="204"/>
      <c r="D92" s="234" t="s">
        <v>147</v>
      </c>
      <c r="E92" s="234"/>
      <c r="F92" s="204"/>
      <c r="G92" s="234" t="s">
        <v>147</v>
      </c>
      <c r="H92" s="234"/>
      <c r="I92" s="204"/>
      <c r="J92" s="234" t="s">
        <v>147</v>
      </c>
      <c r="K92" s="203"/>
      <c r="O92" s="126">
        <v>4</v>
      </c>
      <c r="P92" s="569"/>
      <c r="Q92" s="569"/>
      <c r="R92" s="126">
        <v>4</v>
      </c>
      <c r="S92" s="511"/>
      <c r="T92" s="822"/>
      <c r="U92" s="126">
        <v>4</v>
      </c>
      <c r="V92" s="569"/>
      <c r="W92" s="569"/>
      <c r="X92" s="126">
        <v>4</v>
      </c>
      <c r="Y92" s="511"/>
      <c r="Z92" s="511"/>
    </row>
    <row r="93" spans="1:26" ht="13.75" customHeight="1">
      <c r="A93" s="321" t="s">
        <v>294</v>
      </c>
      <c r="B93" s="322"/>
      <c r="C93" s="323"/>
      <c r="D93" s="321" t="s">
        <v>623</v>
      </c>
      <c r="E93" s="322"/>
      <c r="F93" s="323"/>
      <c r="G93" s="1705" t="s">
        <v>1240</v>
      </c>
      <c r="H93" s="1706"/>
      <c r="I93" s="1706"/>
      <c r="J93" s="1706"/>
      <c r="K93" s="1706"/>
      <c r="O93" s="126">
        <v>6</v>
      </c>
      <c r="P93" s="569"/>
      <c r="Q93" s="569"/>
      <c r="R93" s="126">
        <v>6</v>
      </c>
      <c r="S93" s="511"/>
      <c r="T93" s="822"/>
      <c r="U93" s="126">
        <v>6</v>
      </c>
      <c r="V93" s="569"/>
      <c r="W93" s="569"/>
      <c r="X93" s="126">
        <v>6</v>
      </c>
      <c r="Y93" s="511"/>
      <c r="Z93" s="511"/>
    </row>
    <row r="94" spans="1:26">
      <c r="A94" s="204" t="s">
        <v>146</v>
      </c>
      <c r="B94" s="204"/>
      <c r="C94" s="203" t="s">
        <v>1094</v>
      </c>
      <c r="D94" s="204" t="s">
        <v>146</v>
      </c>
      <c r="E94" s="204"/>
      <c r="F94" s="203" t="s">
        <v>1094</v>
      </c>
      <c r="G94" s="204" t="s">
        <v>146</v>
      </c>
      <c r="H94" s="204"/>
      <c r="I94" s="203" t="s">
        <v>1094</v>
      </c>
      <c r="J94" s="204" t="s">
        <v>146</v>
      </c>
      <c r="K94" s="204"/>
      <c r="O94" s="126">
        <v>8</v>
      </c>
      <c r="P94" s="569"/>
      <c r="Q94" s="569"/>
      <c r="R94" s="126">
        <v>8</v>
      </c>
      <c r="S94" s="338"/>
      <c r="T94" s="823"/>
      <c r="U94" s="126">
        <v>8</v>
      </c>
      <c r="V94" s="569"/>
      <c r="W94" s="569"/>
      <c r="X94" s="126">
        <v>8</v>
      </c>
      <c r="Y94" s="338"/>
      <c r="Z94" s="338"/>
    </row>
    <row r="95" spans="1:26">
      <c r="A95" s="203" t="s">
        <v>1093</v>
      </c>
      <c r="B95" s="507"/>
      <c r="C95" s="513"/>
      <c r="D95" s="203" t="s">
        <v>1093</v>
      </c>
      <c r="E95" s="507"/>
      <c r="F95" s="513"/>
      <c r="G95" s="203" t="s">
        <v>1093</v>
      </c>
      <c r="H95" s="507"/>
      <c r="I95" s="538"/>
      <c r="J95" s="204" t="s">
        <v>1079</v>
      </c>
      <c r="K95" s="507"/>
      <c r="O95" s="126">
        <v>10</v>
      </c>
      <c r="P95" s="569"/>
      <c r="Q95" s="569"/>
      <c r="R95" s="126">
        <v>10</v>
      </c>
      <c r="S95" s="520"/>
      <c r="T95" s="824"/>
      <c r="U95" s="126">
        <v>10</v>
      </c>
      <c r="V95" s="569"/>
      <c r="W95" s="569"/>
      <c r="X95" s="126">
        <v>10</v>
      </c>
      <c r="Y95" s="520"/>
      <c r="Z95" s="520"/>
    </row>
    <row r="96" spans="1:26">
      <c r="A96" s="234" t="s">
        <v>150</v>
      </c>
      <c r="B96" s="234"/>
      <c r="C96" s="204"/>
      <c r="D96" s="234" t="s">
        <v>150</v>
      </c>
      <c r="E96" s="234"/>
      <c r="F96" s="204"/>
      <c r="G96" s="234" t="s">
        <v>150</v>
      </c>
      <c r="H96" s="234"/>
      <c r="I96" s="204"/>
      <c r="J96" s="234" t="s">
        <v>150</v>
      </c>
      <c r="K96" s="203"/>
      <c r="O96" s="126">
        <v>12</v>
      </c>
      <c r="P96" s="511"/>
      <c r="Q96" s="511"/>
      <c r="R96" s="126">
        <v>12</v>
      </c>
      <c r="S96" s="338"/>
      <c r="T96" s="823"/>
      <c r="U96" s="126">
        <v>12</v>
      </c>
      <c r="V96" s="511"/>
      <c r="W96" s="511"/>
      <c r="X96" s="126">
        <v>12</v>
      </c>
      <c r="Y96" s="338"/>
      <c r="Z96" s="338"/>
    </row>
    <row r="97" spans="1:26">
      <c r="A97" s="234" t="s">
        <v>149</v>
      </c>
      <c r="B97" s="234"/>
      <c r="C97" s="204"/>
      <c r="D97" s="234" t="s">
        <v>149</v>
      </c>
      <c r="E97" s="234"/>
      <c r="F97" s="204"/>
      <c r="G97" s="234" t="s">
        <v>149</v>
      </c>
      <c r="H97" s="234"/>
      <c r="I97" s="204"/>
      <c r="J97" s="234" t="s">
        <v>149</v>
      </c>
      <c r="K97" s="203"/>
      <c r="O97" s="126">
        <v>14</v>
      </c>
      <c r="P97" s="83"/>
      <c r="Q97" s="83"/>
      <c r="R97" s="126">
        <v>14</v>
      </c>
      <c r="S97" s="83"/>
      <c r="T97" s="83"/>
      <c r="U97" s="126">
        <v>14</v>
      </c>
      <c r="V97" s="83"/>
      <c r="W97" s="83"/>
      <c r="X97" s="126">
        <v>14</v>
      </c>
      <c r="Y97" s="83"/>
      <c r="Z97" s="83"/>
    </row>
    <row r="98" spans="1:26">
      <c r="A98" s="234" t="s">
        <v>148</v>
      </c>
      <c r="B98" s="234"/>
      <c r="C98" s="204"/>
      <c r="D98" s="234" t="s">
        <v>148</v>
      </c>
      <c r="E98" s="234"/>
      <c r="F98" s="204"/>
      <c r="G98" s="234" t="s">
        <v>148</v>
      </c>
      <c r="H98" s="234"/>
      <c r="I98" s="204"/>
      <c r="J98" s="234" t="s">
        <v>148</v>
      </c>
      <c r="K98" s="203"/>
      <c r="O98" s="1719">
        <v>9</v>
      </c>
      <c r="P98" s="1720"/>
      <c r="Q98" s="1720"/>
      <c r="R98" s="1698" t="s">
        <v>1218</v>
      </c>
      <c r="S98" s="1699"/>
      <c r="T98" s="1700"/>
      <c r="U98" s="1719">
        <v>5</v>
      </c>
      <c r="V98" s="1720"/>
      <c r="W98" s="1720"/>
      <c r="X98" s="1718" t="s">
        <v>677</v>
      </c>
      <c r="Y98" s="1718"/>
      <c r="Z98" s="1718"/>
    </row>
    <row r="99" spans="1:26">
      <c r="A99" s="234" t="s">
        <v>147</v>
      </c>
      <c r="B99" s="234"/>
      <c r="C99" s="204"/>
      <c r="D99" s="234" t="s">
        <v>147</v>
      </c>
      <c r="E99" s="234"/>
      <c r="F99" s="204"/>
      <c r="G99" s="234" t="s">
        <v>147</v>
      </c>
      <c r="H99" s="234"/>
      <c r="I99" s="204"/>
      <c r="J99" s="234" t="s">
        <v>147</v>
      </c>
      <c r="K99" s="203"/>
      <c r="O99" s="338" t="s">
        <v>146</v>
      </c>
      <c r="P99" s="338"/>
      <c r="Q99" s="338"/>
      <c r="R99" s="511" t="s">
        <v>146</v>
      </c>
      <c r="S99" s="511"/>
      <c r="T99" s="511"/>
      <c r="U99" s="338" t="s">
        <v>146</v>
      </c>
      <c r="V99" s="338"/>
      <c r="W99" s="338"/>
      <c r="X99" s="511" t="s">
        <v>146</v>
      </c>
      <c r="Y99" s="511"/>
      <c r="Z99" s="511"/>
    </row>
    <row r="100" spans="1:26">
      <c r="A100" s="321" t="s">
        <v>295</v>
      </c>
      <c r="B100" s="322"/>
      <c r="C100" s="323"/>
      <c r="D100" s="321" t="s">
        <v>622</v>
      </c>
      <c r="E100" s="322"/>
      <c r="F100" s="323"/>
      <c r="G100" s="1705" t="s">
        <v>1174</v>
      </c>
      <c r="H100" s="1706"/>
      <c r="I100" s="1707"/>
      <c r="J100" s="955" t="s">
        <v>1245</v>
      </c>
      <c r="K100" s="322"/>
      <c r="O100" s="338" t="s">
        <v>290</v>
      </c>
      <c r="P100" s="338"/>
      <c r="Q100" s="338"/>
      <c r="R100" s="511" t="s">
        <v>290</v>
      </c>
      <c r="S100" s="511"/>
      <c r="T100" s="521"/>
      <c r="U100" s="338" t="s">
        <v>290</v>
      </c>
      <c r="V100" s="338"/>
      <c r="W100" s="338"/>
      <c r="X100" s="511" t="s">
        <v>290</v>
      </c>
      <c r="Y100" s="511"/>
      <c r="Z100" s="521"/>
    </row>
    <row r="101" spans="1:26">
      <c r="A101" s="204" t="s">
        <v>146</v>
      </c>
      <c r="B101" s="204"/>
      <c r="C101" s="203" t="s">
        <v>1094</v>
      </c>
      <c r="D101" s="204" t="s">
        <v>146</v>
      </c>
      <c r="E101" s="204"/>
      <c r="F101" s="203" t="s">
        <v>1094</v>
      </c>
      <c r="G101" s="204" t="s">
        <v>146</v>
      </c>
      <c r="H101" s="204"/>
      <c r="I101" s="203" t="s">
        <v>1094</v>
      </c>
      <c r="J101" s="204" t="s">
        <v>146</v>
      </c>
      <c r="K101" s="204"/>
      <c r="O101" s="338"/>
      <c r="P101" s="817" t="s">
        <v>163</v>
      </c>
      <c r="Q101" s="818" t="s">
        <v>289</v>
      </c>
      <c r="R101" s="511"/>
      <c r="S101" s="335" t="s">
        <v>163</v>
      </c>
      <c r="T101" s="821" t="s">
        <v>289</v>
      </c>
      <c r="U101" s="338"/>
      <c r="V101" s="817" t="s">
        <v>163</v>
      </c>
      <c r="W101" s="818" t="s">
        <v>289</v>
      </c>
      <c r="X101" s="511"/>
      <c r="Y101" s="335" t="s">
        <v>163</v>
      </c>
      <c r="Z101" s="336" t="s">
        <v>289</v>
      </c>
    </row>
    <row r="102" spans="1:26">
      <c r="A102" s="203" t="s">
        <v>1093</v>
      </c>
      <c r="B102" s="507"/>
      <c r="C102" s="513"/>
      <c r="D102" s="203" t="s">
        <v>1093</v>
      </c>
      <c r="E102" s="507"/>
      <c r="F102" s="513"/>
      <c r="G102" s="203" t="s">
        <v>1093</v>
      </c>
      <c r="H102" s="507"/>
      <c r="I102" s="538"/>
      <c r="J102" s="204" t="s">
        <v>1079</v>
      </c>
      <c r="K102" s="507"/>
      <c r="O102" s="126">
        <v>2</v>
      </c>
      <c r="P102" s="569"/>
      <c r="Q102" s="569"/>
      <c r="R102" s="126">
        <v>2</v>
      </c>
      <c r="S102" s="511"/>
      <c r="T102" s="822"/>
      <c r="U102" s="126">
        <v>2</v>
      </c>
      <c r="V102" s="569"/>
      <c r="W102" s="569"/>
      <c r="X102" s="126">
        <v>2</v>
      </c>
      <c r="Y102" s="511"/>
      <c r="Z102" s="511"/>
    </row>
    <row r="103" spans="1:26">
      <c r="A103" s="234" t="s">
        <v>150</v>
      </c>
      <c r="B103" s="234"/>
      <c r="C103" s="204"/>
      <c r="D103" s="234" t="s">
        <v>150</v>
      </c>
      <c r="E103" s="234"/>
      <c r="F103" s="204"/>
      <c r="G103" s="234" t="s">
        <v>150</v>
      </c>
      <c r="H103" s="234"/>
      <c r="I103" s="204"/>
      <c r="J103" s="234" t="s">
        <v>150</v>
      </c>
      <c r="K103" s="203"/>
      <c r="O103" s="126">
        <v>4</v>
      </c>
      <c r="P103" s="569"/>
      <c r="Q103" s="569"/>
      <c r="R103" s="126">
        <v>4</v>
      </c>
      <c r="S103" s="511"/>
      <c r="T103" s="822"/>
      <c r="U103" s="126">
        <v>4</v>
      </c>
      <c r="V103" s="569"/>
      <c r="W103" s="569"/>
      <c r="X103" s="126">
        <v>4</v>
      </c>
      <c r="Y103" s="511"/>
      <c r="Z103" s="511"/>
    </row>
    <row r="104" spans="1:26">
      <c r="A104" s="234" t="s">
        <v>149</v>
      </c>
      <c r="B104" s="234"/>
      <c r="C104" s="204"/>
      <c r="D104" s="234" t="s">
        <v>149</v>
      </c>
      <c r="E104" s="234"/>
      <c r="F104" s="204"/>
      <c r="G104" s="234" t="s">
        <v>149</v>
      </c>
      <c r="H104" s="234"/>
      <c r="I104" s="204"/>
      <c r="J104" s="234" t="s">
        <v>149</v>
      </c>
      <c r="K104" s="203"/>
      <c r="O104" s="126">
        <v>6</v>
      </c>
      <c r="P104" s="569"/>
      <c r="Q104" s="569"/>
      <c r="R104" s="126">
        <v>6</v>
      </c>
      <c r="S104" s="511"/>
      <c r="T104" s="822"/>
      <c r="U104" s="126">
        <v>6</v>
      </c>
      <c r="V104" s="569"/>
      <c r="W104" s="569"/>
      <c r="X104" s="126">
        <v>6</v>
      </c>
      <c r="Y104" s="511"/>
      <c r="Z104" s="511"/>
    </row>
    <row r="105" spans="1:26">
      <c r="A105" s="234" t="s">
        <v>148</v>
      </c>
      <c r="B105" s="234"/>
      <c r="C105" s="204"/>
      <c r="D105" s="234" t="s">
        <v>148</v>
      </c>
      <c r="E105" s="234"/>
      <c r="F105" s="204"/>
      <c r="G105" s="234" t="s">
        <v>148</v>
      </c>
      <c r="H105" s="234"/>
      <c r="I105" s="204"/>
      <c r="J105" s="234" t="s">
        <v>148</v>
      </c>
      <c r="K105" s="203"/>
      <c r="O105" s="126">
        <v>8</v>
      </c>
      <c r="P105" s="569"/>
      <c r="Q105" s="569"/>
      <c r="R105" s="126">
        <v>8</v>
      </c>
      <c r="S105" s="338"/>
      <c r="T105" s="823"/>
      <c r="U105" s="126">
        <v>8</v>
      </c>
      <c r="V105" s="569"/>
      <c r="W105" s="569"/>
      <c r="X105" s="126">
        <v>8</v>
      </c>
      <c r="Y105" s="338"/>
      <c r="Z105" s="338"/>
    </row>
    <row r="106" spans="1:26">
      <c r="A106" s="234" t="s">
        <v>147</v>
      </c>
      <c r="B106" s="234"/>
      <c r="C106" s="204"/>
      <c r="D106" s="234" t="s">
        <v>147</v>
      </c>
      <c r="E106" s="234"/>
      <c r="F106" s="204"/>
      <c r="G106" s="234" t="s">
        <v>147</v>
      </c>
      <c r="H106" s="234"/>
      <c r="I106" s="204"/>
      <c r="J106" s="234" t="s">
        <v>147</v>
      </c>
      <c r="K106" s="203"/>
      <c r="O106" s="126">
        <v>10</v>
      </c>
      <c r="P106" s="569"/>
      <c r="Q106" s="569"/>
      <c r="R106" s="126">
        <v>10</v>
      </c>
      <c r="S106" s="520"/>
      <c r="T106" s="824"/>
      <c r="U106" s="126">
        <v>10</v>
      </c>
      <c r="V106" s="569"/>
      <c r="W106" s="569"/>
      <c r="X106" s="126">
        <v>10</v>
      </c>
      <c r="Y106" s="520"/>
      <c r="Z106" s="520"/>
    </row>
    <row r="107" spans="1:26">
      <c r="A107" s="321" t="s">
        <v>296</v>
      </c>
      <c r="B107" s="322"/>
      <c r="C107" s="323"/>
      <c r="D107" s="321" t="s">
        <v>1244</v>
      </c>
      <c r="E107" s="322"/>
      <c r="F107" s="323"/>
      <c r="H107" s="540" t="s">
        <v>637</v>
      </c>
      <c r="I107" s="64">
        <v>15</v>
      </c>
      <c r="J107" s="539" t="s">
        <v>641</v>
      </c>
      <c r="L107" s="859"/>
      <c r="O107" s="126">
        <v>12</v>
      </c>
      <c r="P107" s="511"/>
      <c r="Q107" s="511"/>
      <c r="R107" s="126">
        <v>12</v>
      </c>
      <c r="S107" s="338"/>
      <c r="T107" s="823"/>
      <c r="U107" s="126">
        <v>12</v>
      </c>
      <c r="V107" s="511"/>
      <c r="W107" s="511"/>
      <c r="X107" s="126">
        <v>12</v>
      </c>
      <c r="Y107" s="338"/>
      <c r="Z107" s="338"/>
    </row>
    <row r="108" spans="1:26">
      <c r="A108" s="204" t="s">
        <v>146</v>
      </c>
      <c r="B108" s="204"/>
      <c r="C108" s="203" t="s">
        <v>1094</v>
      </c>
      <c r="D108" s="204" t="s">
        <v>146</v>
      </c>
      <c r="E108" s="204"/>
      <c r="F108" s="203" t="s">
        <v>1094</v>
      </c>
      <c r="H108" s="540" t="s">
        <v>638</v>
      </c>
      <c r="I108" s="64">
        <v>26</v>
      </c>
      <c r="J108" s="542" t="s">
        <v>1151</v>
      </c>
      <c r="K108" s="303">
        <f>I107-I109</f>
        <v>-16.8</v>
      </c>
      <c r="L108" s="860"/>
      <c r="O108" s="126">
        <v>14</v>
      </c>
      <c r="P108" s="83"/>
      <c r="Q108" s="83"/>
      <c r="R108" s="126">
        <v>14</v>
      </c>
      <c r="S108" s="83"/>
      <c r="T108" s="83"/>
      <c r="U108" s="126">
        <v>14</v>
      </c>
      <c r="V108" s="83"/>
      <c r="W108" s="83"/>
      <c r="X108" s="126">
        <v>14</v>
      </c>
      <c r="Y108" s="83"/>
      <c r="Z108" s="83"/>
    </row>
    <row r="109" spans="1:26">
      <c r="A109" s="203" t="s">
        <v>1093</v>
      </c>
      <c r="B109" s="507"/>
      <c r="C109" s="513"/>
      <c r="D109" s="203" t="s">
        <v>1093</v>
      </c>
      <c r="E109" s="507"/>
      <c r="F109" s="538"/>
      <c r="H109" s="540" t="s">
        <v>610</v>
      </c>
      <c r="I109" s="64">
        <v>31.8</v>
      </c>
      <c r="J109" s="956" t="s">
        <v>1157</v>
      </c>
      <c r="K109" s="303">
        <v>10</v>
      </c>
      <c r="L109" s="861"/>
      <c r="O109" s="1719" t="s">
        <v>678</v>
      </c>
      <c r="P109" s="1720"/>
      <c r="Q109" s="1720"/>
      <c r="R109" s="1698">
        <v>58</v>
      </c>
      <c r="S109" s="1699"/>
      <c r="T109" s="1700"/>
      <c r="U109" s="1719"/>
      <c r="V109" s="1720"/>
      <c r="W109" s="1720"/>
      <c r="X109" s="1718"/>
      <c r="Y109" s="1718"/>
      <c r="Z109" s="1718"/>
    </row>
    <row r="110" spans="1:26">
      <c r="A110" s="234" t="s">
        <v>150</v>
      </c>
      <c r="B110" s="234"/>
      <c r="C110" s="204"/>
      <c r="D110" s="234" t="s">
        <v>150</v>
      </c>
      <c r="E110" s="234"/>
      <c r="F110" s="204"/>
      <c r="H110" s="541" t="s">
        <v>1247</v>
      </c>
      <c r="I110" s="64">
        <v>64.400000000000006</v>
      </c>
      <c r="J110" s="542" t="s">
        <v>1150</v>
      </c>
      <c r="K110" s="303">
        <v>23</v>
      </c>
      <c r="L110" s="860"/>
      <c r="O110" s="338" t="s">
        <v>146</v>
      </c>
      <c r="P110" s="338"/>
      <c r="Q110" s="338"/>
      <c r="R110" s="511" t="s">
        <v>146</v>
      </c>
      <c r="S110" s="511"/>
      <c r="T110" s="511"/>
      <c r="U110" s="338" t="s">
        <v>146</v>
      </c>
      <c r="V110" s="338"/>
      <c r="W110" s="338"/>
      <c r="X110" s="511" t="s">
        <v>146</v>
      </c>
      <c r="Y110" s="511"/>
      <c r="Z110" s="511"/>
    </row>
    <row r="111" spans="1:26" ht="16.75" customHeight="1">
      <c r="A111" s="234" t="s">
        <v>149</v>
      </c>
      <c r="B111" s="234"/>
      <c r="C111" s="204"/>
      <c r="D111" s="234" t="s">
        <v>149</v>
      </c>
      <c r="E111" s="234"/>
      <c r="F111" s="204"/>
      <c r="H111" s="541" t="s">
        <v>639</v>
      </c>
      <c r="I111" s="64">
        <v>1750</v>
      </c>
      <c r="J111" s="542" t="s">
        <v>1148</v>
      </c>
      <c r="K111" s="303">
        <f>K109-K110</f>
        <v>-13</v>
      </c>
      <c r="L111" s="860"/>
      <c r="O111" s="338" t="s">
        <v>290</v>
      </c>
      <c r="P111" s="338"/>
      <c r="Q111" s="338"/>
      <c r="R111" s="511" t="s">
        <v>290</v>
      </c>
      <c r="S111" s="511"/>
      <c r="T111" s="521"/>
      <c r="U111" s="338" t="s">
        <v>290</v>
      </c>
      <c r="V111" s="338"/>
      <c r="W111" s="338"/>
      <c r="X111" s="511" t="s">
        <v>290</v>
      </c>
      <c r="Y111" s="511"/>
      <c r="Z111" s="521"/>
    </row>
    <row r="112" spans="1:26">
      <c r="A112" s="234" t="s">
        <v>148</v>
      </c>
      <c r="B112" s="234"/>
      <c r="C112" s="204"/>
      <c r="D112" s="234" t="s">
        <v>148</v>
      </c>
      <c r="E112" s="234"/>
      <c r="F112" s="204"/>
      <c r="H112" s="541" t="s">
        <v>640</v>
      </c>
      <c r="I112" s="64">
        <v>78.8</v>
      </c>
      <c r="J112" s="858"/>
      <c r="L112" s="860"/>
      <c r="O112" s="338"/>
      <c r="P112" s="817" t="s">
        <v>163</v>
      </c>
      <c r="Q112" s="818" t="s">
        <v>289</v>
      </c>
      <c r="R112" s="511"/>
      <c r="S112" s="335" t="s">
        <v>163</v>
      </c>
      <c r="T112" s="821" t="s">
        <v>289</v>
      </c>
      <c r="U112" s="338"/>
      <c r="V112" s="817" t="s">
        <v>163</v>
      </c>
      <c r="W112" s="818" t="s">
        <v>289</v>
      </c>
      <c r="X112" s="511"/>
      <c r="Y112" s="335" t="s">
        <v>163</v>
      </c>
      <c r="Z112" s="336" t="s">
        <v>289</v>
      </c>
    </row>
    <row r="113" spans="1:26">
      <c r="A113" s="234" t="s">
        <v>147</v>
      </c>
      <c r="B113" s="234"/>
      <c r="C113" s="204"/>
      <c r="D113" s="234" t="s">
        <v>147</v>
      </c>
      <c r="E113" s="234"/>
      <c r="F113" s="204"/>
      <c r="H113" s="541" t="s">
        <v>1158</v>
      </c>
      <c r="I113" s="869">
        <v>152</v>
      </c>
      <c r="J113" s="858"/>
      <c r="L113" s="860"/>
      <c r="O113" s="126">
        <v>2</v>
      </c>
      <c r="P113" s="569"/>
      <c r="Q113" s="569"/>
      <c r="R113" s="126">
        <v>2</v>
      </c>
      <c r="S113" s="511"/>
      <c r="T113" s="822"/>
      <c r="U113" s="126">
        <v>2</v>
      </c>
      <c r="V113" s="569"/>
      <c r="W113" s="569"/>
      <c r="X113" s="126">
        <v>2</v>
      </c>
      <c r="Y113" s="511"/>
      <c r="Z113" s="511"/>
    </row>
    <row r="114" spans="1:26">
      <c r="J114" s="10"/>
      <c r="O114" s="126">
        <v>4</v>
      </c>
      <c r="P114" s="569"/>
      <c r="Q114" s="569"/>
      <c r="R114" s="126">
        <v>4</v>
      </c>
      <c r="S114" s="511"/>
      <c r="T114" s="822"/>
      <c r="U114" s="126">
        <v>4</v>
      </c>
      <c r="V114" s="569"/>
      <c r="W114" s="569"/>
      <c r="X114" s="126">
        <v>4</v>
      </c>
      <c r="Y114" s="511"/>
      <c r="Z114" s="511"/>
    </row>
    <row r="115" spans="1:26">
      <c r="O115" s="126">
        <v>6</v>
      </c>
      <c r="P115" s="569"/>
      <c r="Q115" s="569"/>
      <c r="R115" s="126">
        <v>6</v>
      </c>
      <c r="S115" s="511"/>
      <c r="T115" s="822"/>
      <c r="U115" s="126">
        <v>6</v>
      </c>
      <c r="V115" s="569"/>
      <c r="W115" s="569"/>
      <c r="X115" s="126">
        <v>6</v>
      </c>
      <c r="Y115" s="511"/>
      <c r="Z115" s="511"/>
    </row>
    <row r="116" spans="1:26">
      <c r="O116" s="126">
        <v>8</v>
      </c>
      <c r="P116" s="569"/>
      <c r="Q116" s="569"/>
      <c r="R116" s="126">
        <v>8</v>
      </c>
      <c r="S116" s="338"/>
      <c r="T116" s="823"/>
      <c r="U116" s="126">
        <v>8</v>
      </c>
      <c r="V116" s="569"/>
      <c r="W116" s="569"/>
      <c r="X116" s="126">
        <v>8</v>
      </c>
      <c r="Y116" s="338"/>
      <c r="Z116" s="338"/>
    </row>
    <row r="117" spans="1:26">
      <c r="O117" s="126">
        <v>10</v>
      </c>
      <c r="P117" s="569"/>
      <c r="Q117" s="569"/>
      <c r="R117" s="126">
        <v>10</v>
      </c>
      <c r="S117" s="520"/>
      <c r="T117" s="824"/>
      <c r="U117" s="126">
        <v>10</v>
      </c>
      <c r="V117" s="569"/>
      <c r="W117" s="569"/>
      <c r="X117" s="126">
        <v>10</v>
      </c>
      <c r="Y117" s="520"/>
      <c r="Z117" s="520"/>
    </row>
    <row r="118" spans="1:26">
      <c r="O118" s="126">
        <v>12</v>
      </c>
      <c r="P118" s="511"/>
      <c r="Q118" s="511"/>
      <c r="R118" s="126">
        <v>12</v>
      </c>
      <c r="S118" s="338"/>
      <c r="T118" s="823"/>
      <c r="U118" s="126">
        <v>12</v>
      </c>
      <c r="V118" s="511"/>
      <c r="W118" s="511"/>
      <c r="X118" s="126">
        <v>12</v>
      </c>
      <c r="Y118" s="338"/>
      <c r="Z118" s="338"/>
    </row>
    <row r="119" spans="1:26">
      <c r="O119" s="126">
        <v>14</v>
      </c>
      <c r="P119" s="83"/>
      <c r="Q119" s="83"/>
      <c r="R119" s="126">
        <v>14</v>
      </c>
      <c r="S119" s="83"/>
      <c r="T119" s="83"/>
      <c r="U119" s="126">
        <v>14</v>
      </c>
      <c r="V119" s="83"/>
      <c r="W119" s="83"/>
      <c r="X119" s="126">
        <v>14</v>
      </c>
      <c r="Y119" s="83"/>
      <c r="Z119" s="83"/>
    </row>
  </sheetData>
  <mergeCells count="61">
    <mergeCell ref="G100:I100"/>
    <mergeCell ref="G93:I93"/>
    <mergeCell ref="J93:K93"/>
    <mergeCell ref="J46:M46"/>
    <mergeCell ref="J52:M52"/>
    <mergeCell ref="G54:I54"/>
    <mergeCell ref="X109:Z109"/>
    <mergeCell ref="O79:Q79"/>
    <mergeCell ref="R79:T79"/>
    <mergeCell ref="U79:W79"/>
    <mergeCell ref="O109:Q109"/>
    <mergeCell ref="R109:T109"/>
    <mergeCell ref="U109:W109"/>
    <mergeCell ref="O98:Q98"/>
    <mergeCell ref="R98:T98"/>
    <mergeCell ref="U98:W98"/>
    <mergeCell ref="X98:Z98"/>
    <mergeCell ref="P61:W61"/>
    <mergeCell ref="P62:W62"/>
    <mergeCell ref="P63:W63"/>
    <mergeCell ref="P64:Q64"/>
    <mergeCell ref="R64:W64"/>
    <mergeCell ref="X65:Z65"/>
    <mergeCell ref="X72:Z72"/>
    <mergeCell ref="O87:Q87"/>
    <mergeCell ref="R87:T87"/>
    <mergeCell ref="U87:W87"/>
    <mergeCell ref="X87:Z87"/>
    <mergeCell ref="O72:Q72"/>
    <mergeCell ref="R72:T72"/>
    <mergeCell ref="U72:W72"/>
    <mergeCell ref="O65:Q65"/>
    <mergeCell ref="R65:T65"/>
    <mergeCell ref="U65:W65"/>
    <mergeCell ref="B64:C64"/>
    <mergeCell ref="B63:I63"/>
    <mergeCell ref="B62:I62"/>
    <mergeCell ref="B2:E2"/>
    <mergeCell ref="B3:E3"/>
    <mergeCell ref="B5:C5"/>
    <mergeCell ref="B4:I4"/>
    <mergeCell ref="D24:F24"/>
    <mergeCell ref="G47:I47"/>
    <mergeCell ref="G29:I29"/>
    <mergeCell ref="D47:F47"/>
    <mergeCell ref="B61:I61"/>
    <mergeCell ref="D64:I64"/>
    <mergeCell ref="J6:L6"/>
    <mergeCell ref="G43:I43"/>
    <mergeCell ref="G6:I6"/>
    <mergeCell ref="A43:C43"/>
    <mergeCell ref="G36:I36"/>
    <mergeCell ref="G14:I14"/>
    <mergeCell ref="G21:I21"/>
    <mergeCell ref="J33:L33"/>
    <mergeCell ref="A6:C6"/>
    <mergeCell ref="D6:F6"/>
    <mergeCell ref="D43:F43"/>
    <mergeCell ref="A24:C24"/>
    <mergeCell ref="J19:M19"/>
    <mergeCell ref="J40:M40"/>
  </mergeCells>
  <pageMargins left="0.84" right="0.25" top="0.95" bottom="0.27" header="0.21" footer="0.2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N173"/>
  <sheetViews>
    <sheetView topLeftCell="D28" workbookViewId="0">
      <selection activeCell="U29" sqref="U29"/>
    </sheetView>
  </sheetViews>
  <sheetFormatPr defaultRowHeight="14"/>
  <cols>
    <col min="1" max="1" width="18.453125" style="17" customWidth="1"/>
    <col min="2" max="2" width="5.90625" style="17" customWidth="1"/>
    <col min="3" max="3" width="6" style="17" customWidth="1"/>
    <col min="5" max="5" width="20.36328125" customWidth="1"/>
    <col min="6" max="6" width="5.08984375" customWidth="1"/>
  </cols>
  <sheetData>
    <row r="1" spans="1:10" ht="15.5">
      <c r="A1" s="1428" t="s">
        <v>54</v>
      </c>
      <c r="B1" s="1428"/>
      <c r="C1" s="1428"/>
      <c r="D1" s="1428"/>
      <c r="E1" s="1428"/>
      <c r="F1" s="1428"/>
      <c r="G1" s="1428"/>
      <c r="H1" s="24"/>
      <c r="I1" s="24"/>
      <c r="J1" s="24"/>
    </row>
    <row r="2" spans="1:10">
      <c r="A2" s="77"/>
      <c r="B2" s="25" t="s">
        <v>47</v>
      </c>
      <c r="C2" s="26" t="s">
        <v>48</v>
      </c>
      <c r="D2" s="27"/>
      <c r="F2" s="25" t="s">
        <v>95</v>
      </c>
      <c r="G2" s="26" t="s">
        <v>48</v>
      </c>
    </row>
    <row r="3" spans="1:10">
      <c r="A3" s="15" t="s">
        <v>25</v>
      </c>
      <c r="B3" s="351">
        <v>1990</v>
      </c>
      <c r="C3" s="164">
        <v>119.5</v>
      </c>
      <c r="E3" s="15" t="s">
        <v>19</v>
      </c>
      <c r="F3" s="351">
        <v>1990</v>
      </c>
      <c r="G3" s="164">
        <v>334</v>
      </c>
    </row>
    <row r="4" spans="1:10">
      <c r="B4" s="351">
        <v>1991</v>
      </c>
      <c r="C4" s="164">
        <v>270</v>
      </c>
      <c r="E4" s="17"/>
      <c r="F4" s="351">
        <v>1991</v>
      </c>
      <c r="G4" s="164">
        <v>267</v>
      </c>
    </row>
    <row r="5" spans="1:10">
      <c r="B5" s="351">
        <v>1992</v>
      </c>
      <c r="C5" s="164">
        <v>201</v>
      </c>
      <c r="E5" s="17"/>
      <c r="F5" s="351">
        <v>1992</v>
      </c>
      <c r="G5" s="164">
        <v>277</v>
      </c>
    </row>
    <row r="6" spans="1:10">
      <c r="B6" s="351">
        <v>1993</v>
      </c>
      <c r="C6" s="164">
        <v>240</v>
      </c>
      <c r="E6" s="17"/>
      <c r="F6" s="351">
        <v>1993</v>
      </c>
      <c r="G6" s="164">
        <v>216</v>
      </c>
    </row>
    <row r="7" spans="1:10">
      <c r="B7" s="351">
        <v>1994</v>
      </c>
      <c r="C7" s="78">
        <v>100</v>
      </c>
      <c r="E7" s="17"/>
      <c r="F7" s="351">
        <v>1994</v>
      </c>
      <c r="G7" s="78">
        <v>122</v>
      </c>
    </row>
    <row r="8" spans="1:10">
      <c r="B8" s="351">
        <v>1995</v>
      </c>
      <c r="C8" s="78">
        <v>52</v>
      </c>
      <c r="E8" s="17"/>
      <c r="F8" s="351">
        <v>1995</v>
      </c>
      <c r="G8" s="78">
        <v>73</v>
      </c>
    </row>
    <row r="9" spans="1:10">
      <c r="B9" s="351">
        <v>1996</v>
      </c>
      <c r="C9" s="165">
        <v>66.1875</v>
      </c>
      <c r="E9" s="17"/>
      <c r="F9" s="351">
        <v>1996</v>
      </c>
      <c r="G9" s="165">
        <v>58.5</v>
      </c>
    </row>
    <row r="10" spans="1:10">
      <c r="B10" s="351">
        <v>1997</v>
      </c>
      <c r="C10" s="164">
        <v>85.579818007202547</v>
      </c>
      <c r="E10" s="17"/>
      <c r="F10" s="351">
        <v>1997</v>
      </c>
      <c r="G10" s="164">
        <v>63.093039493995008</v>
      </c>
    </row>
    <row r="11" spans="1:10">
      <c r="B11" s="351">
        <v>1998</v>
      </c>
      <c r="C11" s="164">
        <v>69.2</v>
      </c>
      <c r="E11" s="17"/>
      <c r="F11" s="351">
        <v>1998</v>
      </c>
      <c r="G11" s="164">
        <v>40.799999999999997</v>
      </c>
    </row>
    <row r="12" spans="1:10">
      <c r="B12" s="351">
        <v>1999</v>
      </c>
      <c r="C12" s="164">
        <v>54</v>
      </c>
      <c r="E12" s="17"/>
      <c r="F12" s="351">
        <v>1999</v>
      </c>
      <c r="G12" s="164">
        <v>38</v>
      </c>
    </row>
    <row r="13" spans="1:10">
      <c r="B13" s="351">
        <v>2000</v>
      </c>
      <c r="C13" s="164">
        <v>56</v>
      </c>
      <c r="E13" s="17"/>
      <c r="F13" s="351">
        <v>2000</v>
      </c>
      <c r="G13" s="164">
        <v>37</v>
      </c>
    </row>
    <row r="14" spans="1:10">
      <c r="B14" s="351">
        <v>2001</v>
      </c>
      <c r="C14" s="164">
        <v>64</v>
      </c>
      <c r="E14" s="17"/>
      <c r="F14" s="351">
        <v>2001</v>
      </c>
      <c r="G14" s="164">
        <v>22</v>
      </c>
    </row>
    <row r="15" spans="1:10">
      <c r="B15" s="351">
        <v>2002</v>
      </c>
      <c r="C15" s="164">
        <v>55.5</v>
      </c>
      <c r="E15" s="17"/>
      <c r="F15" s="351">
        <v>2002</v>
      </c>
      <c r="G15" s="164">
        <v>137.30000000000001</v>
      </c>
    </row>
    <row r="16" spans="1:10">
      <c r="B16" s="351">
        <v>2003</v>
      </c>
      <c r="C16" s="164">
        <v>52.9</v>
      </c>
      <c r="F16" s="351">
        <v>2003</v>
      </c>
      <c r="G16" s="164">
        <v>113.3</v>
      </c>
      <c r="I16" s="21"/>
    </row>
    <row r="17" spans="1:9">
      <c r="B17" s="351">
        <v>2004</v>
      </c>
      <c r="C17" s="164">
        <v>44.3</v>
      </c>
      <c r="F17" s="351">
        <v>2004</v>
      </c>
      <c r="G17" s="164">
        <v>34.1</v>
      </c>
      <c r="I17" s="21"/>
    </row>
    <row r="18" spans="1:9">
      <c r="B18" s="351">
        <v>2005</v>
      </c>
      <c r="C18" s="164">
        <v>47</v>
      </c>
      <c r="F18" s="351">
        <v>2005</v>
      </c>
      <c r="G18" s="164">
        <v>44</v>
      </c>
      <c r="I18" s="21"/>
    </row>
    <row r="19" spans="1:9">
      <c r="B19" s="351">
        <v>2006</v>
      </c>
      <c r="C19" s="164">
        <v>26</v>
      </c>
      <c r="F19" s="351">
        <v>2006</v>
      </c>
      <c r="G19" s="164">
        <v>21.3</v>
      </c>
      <c r="I19" s="21"/>
    </row>
    <row r="20" spans="1:9">
      <c r="B20" s="351">
        <v>2007</v>
      </c>
      <c r="C20" s="164">
        <v>31</v>
      </c>
      <c r="F20" s="351">
        <v>2007</v>
      </c>
      <c r="G20" s="164">
        <v>41</v>
      </c>
      <c r="I20" s="21"/>
    </row>
    <row r="21" spans="1:9">
      <c r="B21" s="351">
        <v>2008</v>
      </c>
      <c r="C21" s="164">
        <v>62.2</v>
      </c>
      <c r="F21" s="351">
        <v>2008</v>
      </c>
      <c r="G21" s="164">
        <v>37.700000000000003</v>
      </c>
      <c r="I21" s="21"/>
    </row>
    <row r="22" spans="1:9">
      <c r="B22" s="351">
        <v>2009</v>
      </c>
      <c r="C22" s="164">
        <v>35.299999999999997</v>
      </c>
      <c r="F22" s="351">
        <v>2009</v>
      </c>
      <c r="G22" s="164">
        <v>19.100000000000001</v>
      </c>
      <c r="I22" s="21"/>
    </row>
    <row r="23" spans="1:9">
      <c r="B23" s="351">
        <v>2010</v>
      </c>
      <c r="C23" s="164">
        <v>38.9</v>
      </c>
      <c r="F23" s="351">
        <v>2010</v>
      </c>
      <c r="G23" s="164">
        <v>45.9</v>
      </c>
      <c r="I23" s="21"/>
    </row>
    <row r="24" spans="1:9">
      <c r="B24" s="351">
        <v>2011</v>
      </c>
      <c r="C24" s="164">
        <v>47.9</v>
      </c>
      <c r="F24" s="351">
        <v>2011</v>
      </c>
      <c r="G24" s="164">
        <v>36.9</v>
      </c>
      <c r="I24" s="21"/>
    </row>
    <row r="25" spans="1:9">
      <c r="B25" s="351">
        <v>2012</v>
      </c>
      <c r="C25" s="164">
        <v>69.8</v>
      </c>
      <c r="F25" s="351">
        <v>2012</v>
      </c>
      <c r="G25" s="164">
        <v>61.7</v>
      </c>
      <c r="I25" s="21"/>
    </row>
    <row r="26" spans="1:9">
      <c r="B26" s="351">
        <v>2013</v>
      </c>
      <c r="C26" s="164">
        <v>59.8</v>
      </c>
      <c r="F26" s="351">
        <v>2013</v>
      </c>
      <c r="G26" s="164">
        <v>47.4</v>
      </c>
      <c r="I26" s="21"/>
    </row>
    <row r="27" spans="1:9">
      <c r="B27" s="628">
        <v>2014</v>
      </c>
      <c r="C27" s="164">
        <v>36.1</v>
      </c>
      <c r="F27" s="628">
        <v>2014</v>
      </c>
      <c r="G27" s="164">
        <v>28.4</v>
      </c>
      <c r="I27" s="21"/>
    </row>
    <row r="28" spans="1:9" s="710" customFormat="1">
      <c r="A28" s="17"/>
      <c r="B28" s="628">
        <v>2015</v>
      </c>
      <c r="C28" s="164">
        <v>69</v>
      </c>
      <c r="F28" s="628">
        <v>2015</v>
      </c>
      <c r="G28" s="164">
        <v>43</v>
      </c>
      <c r="I28" s="21"/>
    </row>
    <row r="29" spans="1:9">
      <c r="A29" s="15" t="s">
        <v>24</v>
      </c>
      <c r="B29" s="351">
        <v>1990</v>
      </c>
      <c r="C29" s="164">
        <v>124.5</v>
      </c>
      <c r="E29" s="15" t="s">
        <v>21</v>
      </c>
      <c r="F29" s="351">
        <v>1991</v>
      </c>
      <c r="G29" s="78"/>
      <c r="I29" s="21"/>
    </row>
    <row r="30" spans="1:9">
      <c r="B30" s="351">
        <v>1991</v>
      </c>
      <c r="C30" s="164">
        <v>137.19999999999999</v>
      </c>
      <c r="E30" s="17"/>
      <c r="F30" s="351">
        <v>1992</v>
      </c>
      <c r="G30" s="164">
        <v>121</v>
      </c>
      <c r="I30" s="21"/>
    </row>
    <row r="31" spans="1:9">
      <c r="B31" s="351">
        <v>1992</v>
      </c>
      <c r="C31" s="164">
        <v>140.21430000000001</v>
      </c>
      <c r="E31" s="17"/>
      <c r="F31" s="351">
        <v>1993</v>
      </c>
      <c r="G31" s="164">
        <v>146</v>
      </c>
      <c r="I31" s="21"/>
    </row>
    <row r="32" spans="1:9">
      <c r="B32" s="351">
        <v>1993</v>
      </c>
      <c r="C32" s="164">
        <v>164</v>
      </c>
      <c r="E32" s="17"/>
      <c r="F32" s="351">
        <v>1994</v>
      </c>
      <c r="G32" s="78">
        <v>69.625</v>
      </c>
      <c r="I32" s="21"/>
    </row>
    <row r="33" spans="2:9">
      <c r="B33" s="351">
        <v>1994</v>
      </c>
      <c r="C33" s="78">
        <v>79</v>
      </c>
      <c r="E33" s="17"/>
      <c r="F33" s="351">
        <v>1995</v>
      </c>
      <c r="G33" s="78">
        <v>73</v>
      </c>
      <c r="I33" s="21"/>
    </row>
    <row r="34" spans="2:9">
      <c r="B34" s="351">
        <v>1995</v>
      </c>
      <c r="C34" s="78">
        <v>37</v>
      </c>
      <c r="E34" s="17"/>
      <c r="F34" s="351">
        <v>1996</v>
      </c>
      <c r="G34" s="165">
        <v>32.5625</v>
      </c>
      <c r="I34" s="21"/>
    </row>
    <row r="35" spans="2:9">
      <c r="B35" s="351">
        <v>1996</v>
      </c>
      <c r="C35" s="165">
        <v>33.0625</v>
      </c>
      <c r="E35" s="17"/>
      <c r="F35" s="351">
        <v>1997</v>
      </c>
      <c r="G35" s="164">
        <v>45.862384843073144</v>
      </c>
      <c r="I35" s="21"/>
    </row>
    <row r="36" spans="2:9">
      <c r="B36" s="351">
        <v>1997</v>
      </c>
      <c r="C36" s="164">
        <v>44.577577959420516</v>
      </c>
      <c r="E36" s="17"/>
      <c r="F36" s="351">
        <v>1998</v>
      </c>
      <c r="G36" s="78">
        <v>35</v>
      </c>
      <c r="I36" s="21"/>
    </row>
    <row r="37" spans="2:9">
      <c r="B37" s="351">
        <v>1998</v>
      </c>
      <c r="C37" s="164">
        <v>39.799999999999997</v>
      </c>
      <c r="E37" s="17"/>
      <c r="F37" s="351">
        <v>1999</v>
      </c>
      <c r="G37" s="78">
        <v>36</v>
      </c>
      <c r="I37" s="21"/>
    </row>
    <row r="38" spans="2:9">
      <c r="B38" s="351">
        <v>1999</v>
      </c>
      <c r="C38" s="164">
        <v>37</v>
      </c>
      <c r="E38" s="17"/>
      <c r="F38" s="351">
        <v>2000</v>
      </c>
      <c r="G38" s="78">
        <v>55</v>
      </c>
      <c r="I38" s="21"/>
    </row>
    <row r="39" spans="2:9">
      <c r="B39" s="351">
        <v>2000</v>
      </c>
      <c r="C39" s="164">
        <v>57</v>
      </c>
      <c r="E39" s="17"/>
      <c r="F39" s="351">
        <v>2001</v>
      </c>
      <c r="G39" s="78">
        <v>42</v>
      </c>
      <c r="I39" s="21"/>
    </row>
    <row r="40" spans="2:9">
      <c r="B40" s="351">
        <v>2001</v>
      </c>
      <c r="C40" s="164">
        <v>42</v>
      </c>
      <c r="E40" s="17"/>
      <c r="F40" s="351">
        <v>2002</v>
      </c>
      <c r="G40" s="78">
        <v>34</v>
      </c>
      <c r="I40" s="21"/>
    </row>
    <row r="41" spans="2:9">
      <c r="B41" s="351">
        <v>2002</v>
      </c>
      <c r="C41" s="164">
        <v>49</v>
      </c>
      <c r="F41" s="351">
        <v>2003</v>
      </c>
      <c r="G41" s="78">
        <v>47.8</v>
      </c>
      <c r="I41" s="21"/>
    </row>
    <row r="42" spans="2:9">
      <c r="B42" s="351">
        <v>2003</v>
      </c>
      <c r="C42" s="164">
        <v>46.6</v>
      </c>
      <c r="F42" s="351">
        <v>2004</v>
      </c>
      <c r="G42" s="78">
        <v>30.1</v>
      </c>
      <c r="I42" s="21"/>
    </row>
    <row r="43" spans="2:9">
      <c r="B43" s="351">
        <v>2004</v>
      </c>
      <c r="C43" s="164">
        <v>26.9</v>
      </c>
      <c r="E43" s="38" t="s">
        <v>130</v>
      </c>
      <c r="F43" s="351">
        <v>2005</v>
      </c>
      <c r="G43" s="78">
        <v>37</v>
      </c>
      <c r="I43" s="21"/>
    </row>
    <row r="44" spans="2:9">
      <c r="B44" s="351">
        <v>2005</v>
      </c>
      <c r="C44" s="164">
        <v>34</v>
      </c>
      <c r="F44" s="351">
        <v>2006</v>
      </c>
      <c r="G44" s="78">
        <v>19.5</v>
      </c>
      <c r="I44" s="21"/>
    </row>
    <row r="45" spans="2:9">
      <c r="B45" s="351">
        <v>2006</v>
      </c>
      <c r="C45" s="164">
        <v>24.3</v>
      </c>
      <c r="F45" s="351">
        <v>2007</v>
      </c>
      <c r="G45" s="78">
        <v>36</v>
      </c>
      <c r="I45" s="21"/>
    </row>
    <row r="46" spans="2:9">
      <c r="B46" s="351">
        <v>2007</v>
      </c>
      <c r="C46" s="164">
        <v>31</v>
      </c>
      <c r="F46" s="351">
        <v>2008</v>
      </c>
      <c r="I46" s="21"/>
    </row>
    <row r="47" spans="2:9">
      <c r="B47" s="351"/>
      <c r="C47" s="164"/>
      <c r="F47" s="351">
        <v>2009</v>
      </c>
      <c r="I47" s="21"/>
    </row>
    <row r="48" spans="2:9">
      <c r="B48" s="351"/>
      <c r="C48" s="164"/>
      <c r="I48" s="21"/>
    </row>
    <row r="49" spans="1:9">
      <c r="B49" s="351"/>
      <c r="C49" s="164"/>
      <c r="I49" s="21"/>
    </row>
    <row r="50" spans="1:9">
      <c r="A50" s="15" t="s">
        <v>23</v>
      </c>
      <c r="B50" s="351">
        <v>1990</v>
      </c>
      <c r="C50" s="164">
        <v>129</v>
      </c>
      <c r="E50" s="15" t="s">
        <v>18</v>
      </c>
      <c r="F50" s="351">
        <v>1990</v>
      </c>
      <c r="G50" s="166">
        <v>537</v>
      </c>
      <c r="I50" s="21"/>
    </row>
    <row r="51" spans="1:9">
      <c r="B51" s="351">
        <v>1991</v>
      </c>
      <c r="C51" s="164">
        <v>144</v>
      </c>
      <c r="E51" s="17"/>
      <c r="F51" s="351">
        <v>1991</v>
      </c>
      <c r="G51" s="164">
        <v>383</v>
      </c>
      <c r="I51" s="21"/>
    </row>
    <row r="52" spans="1:9">
      <c r="B52" s="351">
        <v>1992</v>
      </c>
      <c r="C52" s="164">
        <v>146</v>
      </c>
      <c r="E52" s="17"/>
      <c r="F52" s="351">
        <v>1992</v>
      </c>
      <c r="G52" s="164">
        <v>362</v>
      </c>
      <c r="I52" s="21"/>
    </row>
    <row r="53" spans="1:9">
      <c r="B53" s="351">
        <v>1993</v>
      </c>
      <c r="C53" s="164">
        <v>175</v>
      </c>
      <c r="E53" s="17"/>
      <c r="F53" s="351">
        <v>1993</v>
      </c>
      <c r="G53" s="164">
        <v>269</v>
      </c>
      <c r="I53" s="21"/>
    </row>
    <row r="54" spans="1:9">
      <c r="B54" s="351">
        <v>1994</v>
      </c>
      <c r="C54" s="78">
        <v>83</v>
      </c>
      <c r="E54" s="17"/>
      <c r="F54" s="351">
        <v>1994</v>
      </c>
      <c r="G54" s="78">
        <v>91</v>
      </c>
      <c r="I54" s="21"/>
    </row>
    <row r="55" spans="1:9">
      <c r="B55" s="351">
        <v>1995</v>
      </c>
      <c r="C55" s="78">
        <v>34</v>
      </c>
      <c r="E55" s="17"/>
      <c r="F55" s="351">
        <v>1995</v>
      </c>
      <c r="G55" s="78">
        <v>47</v>
      </c>
      <c r="I55" s="21"/>
    </row>
    <row r="56" spans="1:9">
      <c r="B56" s="351">
        <v>1996</v>
      </c>
      <c r="C56" s="165">
        <v>29.4375</v>
      </c>
      <c r="E56" s="17"/>
      <c r="F56" s="351">
        <v>1996</v>
      </c>
      <c r="G56" s="165">
        <v>16.0625</v>
      </c>
      <c r="I56" s="21"/>
    </row>
    <row r="57" spans="1:9">
      <c r="B57" s="351">
        <v>1997</v>
      </c>
      <c r="C57" s="125">
        <v>38</v>
      </c>
      <c r="E57" s="17"/>
      <c r="F57" s="351">
        <v>1997</v>
      </c>
      <c r="G57" s="125">
        <v>80</v>
      </c>
      <c r="I57" s="21"/>
    </row>
    <row r="58" spans="1:9">
      <c r="B58" s="351">
        <v>1998</v>
      </c>
      <c r="C58" s="125">
        <v>33.299999999999997</v>
      </c>
      <c r="E58" s="17"/>
      <c r="F58" s="351">
        <v>1998</v>
      </c>
      <c r="G58" s="125">
        <v>33</v>
      </c>
      <c r="I58" s="21"/>
    </row>
    <row r="59" spans="1:9">
      <c r="B59" s="351">
        <v>1999</v>
      </c>
      <c r="C59" s="125">
        <v>34</v>
      </c>
      <c r="E59" s="17"/>
      <c r="F59" s="351">
        <v>1999</v>
      </c>
      <c r="G59" s="125">
        <v>47</v>
      </c>
      <c r="I59" s="21"/>
    </row>
    <row r="60" spans="1:9">
      <c r="B60" s="351">
        <v>2000</v>
      </c>
      <c r="C60" s="125">
        <v>59</v>
      </c>
      <c r="E60" s="17"/>
      <c r="F60" s="351">
        <v>2000</v>
      </c>
      <c r="G60" s="125">
        <v>19</v>
      </c>
      <c r="I60" s="21"/>
    </row>
    <row r="61" spans="1:9">
      <c r="B61" s="351">
        <v>2001</v>
      </c>
      <c r="C61" s="125">
        <v>42</v>
      </c>
      <c r="E61" s="17"/>
      <c r="F61" s="351">
        <v>2001</v>
      </c>
      <c r="G61" s="125">
        <v>22</v>
      </c>
      <c r="I61" s="21"/>
    </row>
    <row r="62" spans="1:9">
      <c r="B62" s="351">
        <v>2002</v>
      </c>
      <c r="C62" s="125">
        <v>46.1</v>
      </c>
      <c r="E62" s="17"/>
      <c r="F62" s="351">
        <v>2002</v>
      </c>
      <c r="G62" s="125">
        <v>14.9</v>
      </c>
      <c r="I62" s="21"/>
    </row>
    <row r="63" spans="1:9">
      <c r="B63" s="351">
        <v>2003</v>
      </c>
      <c r="C63" s="125">
        <v>49.1</v>
      </c>
      <c r="F63" s="351">
        <v>2003</v>
      </c>
      <c r="G63" s="125">
        <v>22.6</v>
      </c>
      <c r="I63" s="21"/>
    </row>
    <row r="64" spans="1:9">
      <c r="B64" s="351">
        <v>2004</v>
      </c>
      <c r="C64" s="125">
        <v>24.3</v>
      </c>
      <c r="F64" s="351">
        <v>2004</v>
      </c>
      <c r="G64" s="125">
        <v>21.7</v>
      </c>
      <c r="I64" s="21"/>
    </row>
    <row r="65" spans="1:9">
      <c r="B65" s="351">
        <v>2005</v>
      </c>
      <c r="C65" s="125">
        <v>33</v>
      </c>
      <c r="F65" s="351">
        <v>2005</v>
      </c>
      <c r="G65" s="125">
        <v>23</v>
      </c>
      <c r="I65" s="21"/>
    </row>
    <row r="66" spans="1:9">
      <c r="B66" s="351">
        <v>2006</v>
      </c>
      <c r="C66" s="125">
        <v>21.6</v>
      </c>
      <c r="F66" s="351">
        <v>2006</v>
      </c>
      <c r="G66" s="125">
        <v>7.6</v>
      </c>
      <c r="I66" s="21"/>
    </row>
    <row r="67" spans="1:9">
      <c r="B67" s="351">
        <v>2007</v>
      </c>
      <c r="C67" s="125">
        <v>30</v>
      </c>
      <c r="F67" s="351">
        <v>2007</v>
      </c>
      <c r="G67" s="125">
        <v>23</v>
      </c>
      <c r="I67" s="21"/>
    </row>
    <row r="68" spans="1:9">
      <c r="B68" s="351">
        <v>2008</v>
      </c>
      <c r="C68" s="125">
        <v>39.799999999999997</v>
      </c>
      <c r="F68" s="351">
        <v>2008</v>
      </c>
      <c r="G68" s="125">
        <v>14.8</v>
      </c>
      <c r="I68" s="21"/>
    </row>
    <row r="69" spans="1:9">
      <c r="B69" s="351">
        <v>2009</v>
      </c>
      <c r="C69" s="125">
        <v>34.200000000000003</v>
      </c>
      <c r="F69" s="351">
        <v>2009</v>
      </c>
      <c r="G69" s="125">
        <v>35.5</v>
      </c>
      <c r="I69" s="21"/>
    </row>
    <row r="70" spans="1:9">
      <c r="B70" s="351">
        <v>2010</v>
      </c>
      <c r="C70" s="125">
        <v>28.3</v>
      </c>
      <c r="F70" s="351">
        <v>2010</v>
      </c>
      <c r="G70" s="125">
        <v>19.3</v>
      </c>
      <c r="I70" s="21"/>
    </row>
    <row r="71" spans="1:9">
      <c r="B71" s="351">
        <v>2011</v>
      </c>
      <c r="C71" s="125">
        <v>33.700000000000003</v>
      </c>
      <c r="F71" s="351">
        <v>2011</v>
      </c>
      <c r="G71" s="125">
        <v>12.5</v>
      </c>
      <c r="I71" s="21"/>
    </row>
    <row r="72" spans="1:9">
      <c r="B72" s="351">
        <v>2012</v>
      </c>
      <c r="C72" s="125">
        <v>53.4</v>
      </c>
      <c r="F72" s="351">
        <v>2012</v>
      </c>
      <c r="G72" s="125">
        <v>32.299999999999997</v>
      </c>
      <c r="I72" s="21"/>
    </row>
    <row r="73" spans="1:9">
      <c r="B73" s="351">
        <v>2013</v>
      </c>
      <c r="C73" s="125">
        <v>71.400000000000006</v>
      </c>
      <c r="F73" s="351">
        <v>2013</v>
      </c>
      <c r="G73" s="125">
        <v>21.8</v>
      </c>
      <c r="I73" s="21"/>
    </row>
    <row r="74" spans="1:9">
      <c r="B74" s="628">
        <v>2014</v>
      </c>
      <c r="C74" s="125">
        <v>24.8</v>
      </c>
      <c r="F74" s="628">
        <v>2014</v>
      </c>
      <c r="G74" s="125">
        <v>19.899999999999999</v>
      </c>
      <c r="I74" s="21"/>
    </row>
    <row r="75" spans="1:9" s="710" customFormat="1">
      <c r="A75" s="17"/>
      <c r="B75" s="628">
        <v>2015</v>
      </c>
      <c r="C75" s="125">
        <v>42</v>
      </c>
      <c r="F75" s="628">
        <v>2015</v>
      </c>
      <c r="G75" s="125">
        <v>54</v>
      </c>
      <c r="I75" s="21"/>
    </row>
    <row r="76" spans="1:9" ht="15.5">
      <c r="A76" s="1428" t="s">
        <v>54</v>
      </c>
      <c r="B76" s="1428"/>
      <c r="C76" s="1428"/>
      <c r="D76" s="1428"/>
      <c r="E76" s="1428"/>
      <c r="F76" s="1428"/>
      <c r="G76" s="1428"/>
      <c r="I76" s="21"/>
    </row>
    <row r="77" spans="1:9">
      <c r="B77" s="25" t="s">
        <v>95</v>
      </c>
      <c r="C77" s="26" t="s">
        <v>48</v>
      </c>
      <c r="F77" s="25" t="s">
        <v>95</v>
      </c>
      <c r="G77" s="26" t="s">
        <v>48</v>
      </c>
      <c r="I77" s="21"/>
    </row>
    <row r="78" spans="1:9">
      <c r="A78" s="15" t="s">
        <v>20</v>
      </c>
      <c r="B78" s="351">
        <v>1990</v>
      </c>
      <c r="C78" s="164">
        <v>128</v>
      </c>
      <c r="E78" s="15" t="s">
        <v>52</v>
      </c>
      <c r="F78" s="351">
        <v>1990</v>
      </c>
      <c r="G78" s="78">
        <f t="shared" ref="G78:G103" si="0">(G50+G3)/2</f>
        <v>435.5</v>
      </c>
      <c r="I78" s="21"/>
    </row>
    <row r="79" spans="1:9">
      <c r="B79" s="351">
        <v>1991</v>
      </c>
      <c r="C79" s="164">
        <v>181</v>
      </c>
      <c r="E79" s="17"/>
      <c r="F79" s="351">
        <v>1991</v>
      </c>
      <c r="G79" s="78">
        <f t="shared" si="0"/>
        <v>325</v>
      </c>
      <c r="I79" s="21"/>
    </row>
    <row r="80" spans="1:9">
      <c r="B80" s="351">
        <v>1992</v>
      </c>
      <c r="C80" s="164">
        <v>157</v>
      </c>
      <c r="E80" s="17"/>
      <c r="F80" s="351">
        <v>1992</v>
      </c>
      <c r="G80" s="78">
        <f t="shared" si="0"/>
        <v>319.5</v>
      </c>
      <c r="I80" s="21"/>
    </row>
    <row r="81" spans="2:14">
      <c r="B81" s="351">
        <v>1993</v>
      </c>
      <c r="C81" s="164">
        <v>177</v>
      </c>
      <c r="E81" s="17"/>
      <c r="F81" s="351">
        <v>1993</v>
      </c>
      <c r="G81" s="78">
        <f t="shared" si="0"/>
        <v>242.5</v>
      </c>
      <c r="I81" s="21"/>
    </row>
    <row r="82" spans="2:14">
      <c r="B82" s="351">
        <v>1994</v>
      </c>
      <c r="C82" s="78">
        <v>92</v>
      </c>
      <c r="E82" s="17"/>
      <c r="F82" s="351">
        <v>1994</v>
      </c>
      <c r="G82" s="78">
        <f t="shared" si="0"/>
        <v>106.5</v>
      </c>
      <c r="I82" s="21"/>
    </row>
    <row r="83" spans="2:14">
      <c r="B83" s="351">
        <v>1995</v>
      </c>
      <c r="C83" s="78">
        <v>36</v>
      </c>
      <c r="E83" s="17"/>
      <c r="F83" s="351">
        <v>1995</v>
      </c>
      <c r="G83" s="78">
        <f t="shared" si="0"/>
        <v>60</v>
      </c>
      <c r="I83" s="21"/>
    </row>
    <row r="84" spans="2:14">
      <c r="B84" s="351">
        <v>1996</v>
      </c>
      <c r="C84" s="165">
        <v>34.9375</v>
      </c>
      <c r="E84" s="17"/>
      <c r="F84" s="351">
        <v>1996</v>
      </c>
      <c r="G84" s="78">
        <f t="shared" si="0"/>
        <v>37.28125</v>
      </c>
      <c r="I84" s="21"/>
    </row>
    <row r="85" spans="2:14">
      <c r="B85" s="351">
        <v>1997</v>
      </c>
      <c r="C85" s="164">
        <v>39</v>
      </c>
      <c r="E85" s="17"/>
      <c r="F85" s="351">
        <v>1997</v>
      </c>
      <c r="G85" s="78">
        <f t="shared" si="0"/>
        <v>71.546519746997504</v>
      </c>
      <c r="I85" s="21"/>
    </row>
    <row r="86" spans="2:14">
      <c r="B86" s="351">
        <v>1998</v>
      </c>
      <c r="C86" s="164">
        <v>34.5</v>
      </c>
      <c r="E86" s="17"/>
      <c r="F86" s="351">
        <v>1998</v>
      </c>
      <c r="G86" s="78">
        <f t="shared" si="0"/>
        <v>36.9</v>
      </c>
      <c r="I86" s="21"/>
    </row>
    <row r="87" spans="2:14">
      <c r="B87" s="351">
        <v>1999</v>
      </c>
      <c r="C87" s="164">
        <v>35</v>
      </c>
      <c r="E87" s="17"/>
      <c r="F87" s="351">
        <v>1999</v>
      </c>
      <c r="G87" s="78">
        <f t="shared" si="0"/>
        <v>42.5</v>
      </c>
      <c r="I87" s="21"/>
    </row>
    <row r="88" spans="2:14">
      <c r="B88" s="351">
        <v>2000</v>
      </c>
      <c r="C88" s="164">
        <v>58</v>
      </c>
      <c r="E88" s="17"/>
      <c r="F88" s="351">
        <v>2000</v>
      </c>
      <c r="G88" s="78">
        <f t="shared" si="0"/>
        <v>28</v>
      </c>
      <c r="I88" s="21"/>
    </row>
    <row r="89" spans="2:14">
      <c r="B89" s="351">
        <v>2001</v>
      </c>
      <c r="C89" s="164">
        <v>46</v>
      </c>
      <c r="E89" s="17"/>
      <c r="F89" s="351">
        <v>2001</v>
      </c>
      <c r="G89" s="78">
        <f t="shared" si="0"/>
        <v>22</v>
      </c>
      <c r="I89" s="21"/>
    </row>
    <row r="90" spans="2:14">
      <c r="B90" s="351">
        <v>2002</v>
      </c>
      <c r="C90" s="164">
        <v>46.9</v>
      </c>
      <c r="E90" s="17"/>
      <c r="F90" s="351">
        <v>2002</v>
      </c>
      <c r="G90" s="78">
        <f t="shared" si="0"/>
        <v>76.100000000000009</v>
      </c>
      <c r="I90" s="21"/>
    </row>
    <row r="91" spans="2:14">
      <c r="B91" s="351">
        <v>2003</v>
      </c>
      <c r="C91" s="164">
        <v>63.3</v>
      </c>
      <c r="F91" s="351">
        <v>2003</v>
      </c>
      <c r="G91" s="78">
        <f t="shared" si="0"/>
        <v>67.95</v>
      </c>
      <c r="I91" s="21"/>
    </row>
    <row r="92" spans="2:14">
      <c r="B92" s="351">
        <v>2004</v>
      </c>
      <c r="C92" s="164">
        <v>30.1</v>
      </c>
      <c r="F92" s="351">
        <v>2004</v>
      </c>
      <c r="G92" s="78">
        <f t="shared" si="0"/>
        <v>27.9</v>
      </c>
      <c r="I92" s="21"/>
    </row>
    <row r="93" spans="2:14">
      <c r="B93" s="351">
        <v>2005</v>
      </c>
      <c r="C93" s="164">
        <v>32</v>
      </c>
      <c r="F93" s="351">
        <v>2005</v>
      </c>
      <c r="G93" s="78">
        <f t="shared" si="0"/>
        <v>33.5</v>
      </c>
      <c r="I93" s="21"/>
    </row>
    <row r="94" spans="2:14">
      <c r="B94" s="351">
        <v>2006</v>
      </c>
      <c r="C94" s="164">
        <v>22.8</v>
      </c>
      <c r="F94" s="351">
        <v>2006</v>
      </c>
      <c r="G94" s="78">
        <f t="shared" si="0"/>
        <v>14.45</v>
      </c>
      <c r="I94" s="21"/>
    </row>
    <row r="95" spans="2:14">
      <c r="B95" s="351">
        <v>2007</v>
      </c>
      <c r="C95" s="164">
        <v>31</v>
      </c>
      <c r="F95" s="351">
        <v>2007</v>
      </c>
      <c r="G95" s="78">
        <f t="shared" si="0"/>
        <v>32</v>
      </c>
      <c r="I95" s="21"/>
    </row>
    <row r="96" spans="2:14" ht="42">
      <c r="B96" s="351">
        <v>2008</v>
      </c>
      <c r="C96" s="164">
        <v>29</v>
      </c>
      <c r="F96" s="351">
        <v>2008</v>
      </c>
      <c r="G96" s="78">
        <f t="shared" si="0"/>
        <v>26.25</v>
      </c>
      <c r="I96" s="21"/>
      <c r="J96" t="s">
        <v>90</v>
      </c>
      <c r="K96" t="s">
        <v>82</v>
      </c>
      <c r="L96" t="s">
        <v>91</v>
      </c>
      <c r="M96" t="s">
        <v>92</v>
      </c>
      <c r="N96" t="s">
        <v>93</v>
      </c>
    </row>
    <row r="97" spans="1:14">
      <c r="B97" s="351">
        <v>2009</v>
      </c>
      <c r="C97" s="164">
        <v>24.2</v>
      </c>
      <c r="F97" s="351">
        <v>2009</v>
      </c>
      <c r="G97" s="78">
        <f t="shared" si="0"/>
        <v>27.3</v>
      </c>
      <c r="I97" s="21" t="s">
        <v>1612</v>
      </c>
      <c r="J97">
        <v>54.333333333333336</v>
      </c>
      <c r="K97">
        <v>277</v>
      </c>
      <c r="L97">
        <v>67.666666666666671</v>
      </c>
      <c r="M97">
        <v>55.466666666666669</v>
      </c>
      <c r="N97">
        <v>87.833333333333329</v>
      </c>
    </row>
    <row r="98" spans="1:14">
      <c r="B98" s="351">
        <v>2010</v>
      </c>
      <c r="C98" s="164">
        <v>31.1</v>
      </c>
      <c r="F98" s="351">
        <v>2010</v>
      </c>
      <c r="G98" s="78">
        <f t="shared" si="0"/>
        <v>32.6</v>
      </c>
      <c r="I98" s="21" t="s">
        <v>1613</v>
      </c>
      <c r="J98">
        <v>43.133333333333333</v>
      </c>
      <c r="K98">
        <v>112</v>
      </c>
      <c r="L98">
        <v>54.166666666666664</v>
      </c>
    </row>
    <row r="99" spans="1:14">
      <c r="B99" s="351">
        <v>2011</v>
      </c>
      <c r="C99" s="164">
        <v>39.5</v>
      </c>
      <c r="F99" s="351">
        <v>2011</v>
      </c>
      <c r="G99" s="78">
        <f t="shared" si="0"/>
        <v>24.7</v>
      </c>
      <c r="I99" s="21" t="s">
        <v>1614</v>
      </c>
      <c r="J99">
        <v>37.6</v>
      </c>
      <c r="K99">
        <v>76</v>
      </c>
      <c r="L99">
        <v>39.333333333333336</v>
      </c>
    </row>
    <row r="100" spans="1:14">
      <c r="B100" s="351">
        <v>2012</v>
      </c>
      <c r="C100" s="164">
        <v>55.9</v>
      </c>
      <c r="F100" s="351">
        <v>2012</v>
      </c>
      <c r="G100" s="78">
        <f t="shared" si="0"/>
        <v>47</v>
      </c>
      <c r="I100" s="21" t="s">
        <v>1615</v>
      </c>
      <c r="J100">
        <v>42</v>
      </c>
      <c r="K100">
        <v>112</v>
      </c>
      <c r="L100">
        <v>60</v>
      </c>
    </row>
    <row r="101" spans="1:14">
      <c r="B101" s="351">
        <v>2013</v>
      </c>
      <c r="C101" s="164">
        <v>82.4</v>
      </c>
      <c r="F101" s="351">
        <v>2013</v>
      </c>
      <c r="G101" s="78">
        <f t="shared" si="0"/>
        <v>34.6</v>
      </c>
      <c r="I101" s="21" t="s">
        <v>1616</v>
      </c>
      <c r="J101">
        <v>68.933333333333337</v>
      </c>
      <c r="K101">
        <v>191</v>
      </c>
      <c r="L101">
        <v>115.66666666666667</v>
      </c>
    </row>
    <row r="102" spans="1:14">
      <c r="B102" s="628">
        <v>2014</v>
      </c>
      <c r="C102" s="164">
        <v>25</v>
      </c>
      <c r="F102" s="628">
        <v>2014</v>
      </c>
      <c r="G102" s="78">
        <f t="shared" si="0"/>
        <v>24.15</v>
      </c>
      <c r="I102" s="21" t="s">
        <v>1617</v>
      </c>
      <c r="J102">
        <v>55.466666666666669</v>
      </c>
      <c r="K102">
        <v>151.5</v>
      </c>
      <c r="L102">
        <v>87.833333333333329</v>
      </c>
    </row>
    <row r="103" spans="1:14" s="710" customFormat="1">
      <c r="A103" s="17"/>
      <c r="B103" s="628">
        <v>2015</v>
      </c>
      <c r="C103" s="164">
        <v>38</v>
      </c>
      <c r="F103" s="628">
        <v>2015</v>
      </c>
      <c r="G103" s="78">
        <f t="shared" si="0"/>
        <v>48.5</v>
      </c>
      <c r="I103" s="21"/>
    </row>
    <row r="104" spans="1:14">
      <c r="A104" s="15" t="s">
        <v>17</v>
      </c>
      <c r="B104" s="351">
        <v>1990</v>
      </c>
      <c r="C104" s="78">
        <f t="shared" ref="C104:C118" si="1">(C3+C29+C50)/3</f>
        <v>124.33333333333333</v>
      </c>
      <c r="E104" s="15" t="s">
        <v>53</v>
      </c>
      <c r="F104" s="351">
        <v>1990</v>
      </c>
      <c r="G104" s="78">
        <f t="shared" ref="G104:G129" si="2">+G78-C78</f>
        <v>307.5</v>
      </c>
      <c r="I104" s="21"/>
    </row>
    <row r="105" spans="1:14">
      <c r="B105" s="351">
        <v>1991</v>
      </c>
      <c r="C105" s="78">
        <f t="shared" si="1"/>
        <v>183.73333333333335</v>
      </c>
      <c r="E105" s="17"/>
      <c r="F105" s="351">
        <v>1991</v>
      </c>
      <c r="G105" s="78">
        <f t="shared" si="2"/>
        <v>144</v>
      </c>
      <c r="I105" s="21"/>
    </row>
    <row r="106" spans="1:14">
      <c r="B106" s="351">
        <v>1992</v>
      </c>
      <c r="C106" s="78">
        <f t="shared" si="1"/>
        <v>162.40476666666666</v>
      </c>
      <c r="E106" s="17"/>
      <c r="F106" s="351">
        <v>1992</v>
      </c>
      <c r="G106" s="78">
        <f t="shared" si="2"/>
        <v>162.5</v>
      </c>
      <c r="I106" s="21"/>
    </row>
    <row r="107" spans="1:14">
      <c r="B107" s="351">
        <v>1993</v>
      </c>
      <c r="C107" s="78">
        <f t="shared" si="1"/>
        <v>193</v>
      </c>
      <c r="E107" s="17"/>
      <c r="F107" s="351">
        <v>1993</v>
      </c>
      <c r="G107" s="78">
        <f t="shared" si="2"/>
        <v>65.5</v>
      </c>
      <c r="I107" s="21"/>
    </row>
    <row r="108" spans="1:14">
      <c r="B108" s="351">
        <v>1994</v>
      </c>
      <c r="C108" s="78">
        <f t="shared" si="1"/>
        <v>87.333333333333329</v>
      </c>
      <c r="E108" s="17"/>
      <c r="F108" s="351">
        <v>1994</v>
      </c>
      <c r="G108" s="78">
        <f t="shared" si="2"/>
        <v>14.5</v>
      </c>
      <c r="I108" s="21"/>
    </row>
    <row r="109" spans="1:14">
      <c r="B109" s="351">
        <v>1995</v>
      </c>
      <c r="C109" s="78">
        <f t="shared" si="1"/>
        <v>41</v>
      </c>
      <c r="E109" s="17"/>
      <c r="F109" s="351">
        <v>1995</v>
      </c>
      <c r="G109" s="78">
        <f t="shared" si="2"/>
        <v>24</v>
      </c>
      <c r="I109" s="21"/>
    </row>
    <row r="110" spans="1:14">
      <c r="B110" s="351">
        <v>1996</v>
      </c>
      <c r="C110" s="78">
        <f t="shared" si="1"/>
        <v>42.895833333333336</v>
      </c>
      <c r="E110" s="17"/>
      <c r="F110" s="351">
        <v>1996</v>
      </c>
      <c r="G110" s="78">
        <f t="shared" si="2"/>
        <v>2.34375</v>
      </c>
      <c r="I110" s="21"/>
    </row>
    <row r="111" spans="1:14">
      <c r="B111" s="351">
        <v>1997</v>
      </c>
      <c r="C111" s="78">
        <f t="shared" si="1"/>
        <v>56.052465322207688</v>
      </c>
      <c r="E111" s="17"/>
      <c r="F111" s="351">
        <v>1997</v>
      </c>
      <c r="G111" s="78">
        <f t="shared" si="2"/>
        <v>32.546519746997504</v>
      </c>
      <c r="I111" s="21"/>
    </row>
    <row r="112" spans="1:14">
      <c r="B112" s="351">
        <v>1998</v>
      </c>
      <c r="C112" s="78">
        <f t="shared" si="1"/>
        <v>47.433333333333337</v>
      </c>
      <c r="E112" s="17"/>
      <c r="F112" s="351">
        <v>1998</v>
      </c>
      <c r="G112" s="78">
        <f t="shared" si="2"/>
        <v>2.3999999999999986</v>
      </c>
      <c r="I112" s="21"/>
    </row>
    <row r="113" spans="2:9">
      <c r="B113" s="351">
        <v>1999</v>
      </c>
      <c r="C113" s="78">
        <f t="shared" si="1"/>
        <v>41.666666666666664</v>
      </c>
      <c r="E113" s="17"/>
      <c r="F113" s="351">
        <v>1999</v>
      </c>
      <c r="G113" s="78">
        <f t="shared" si="2"/>
        <v>7.5</v>
      </c>
      <c r="I113" s="21"/>
    </row>
    <row r="114" spans="2:9">
      <c r="B114" s="351">
        <v>2000</v>
      </c>
      <c r="C114" s="78">
        <f t="shared" si="1"/>
        <v>57.333333333333336</v>
      </c>
      <c r="E114" s="17"/>
      <c r="F114" s="351">
        <v>2000</v>
      </c>
      <c r="G114" s="78">
        <f t="shared" si="2"/>
        <v>-30</v>
      </c>
      <c r="I114" s="21"/>
    </row>
    <row r="115" spans="2:9">
      <c r="B115" s="351">
        <v>2001</v>
      </c>
      <c r="C115" s="78">
        <f t="shared" si="1"/>
        <v>49.333333333333336</v>
      </c>
      <c r="E115" s="17"/>
      <c r="F115" s="351">
        <v>2001</v>
      </c>
      <c r="G115" s="78">
        <f t="shared" si="2"/>
        <v>-24</v>
      </c>
      <c r="I115" s="21"/>
    </row>
    <row r="116" spans="2:9">
      <c r="B116" s="351">
        <v>2002</v>
      </c>
      <c r="C116" s="78">
        <f t="shared" si="1"/>
        <v>50.199999999999996</v>
      </c>
      <c r="E116" s="17"/>
      <c r="F116" s="351">
        <v>2002</v>
      </c>
      <c r="G116" s="78">
        <f t="shared" si="2"/>
        <v>29.20000000000001</v>
      </c>
      <c r="I116" s="21"/>
    </row>
    <row r="117" spans="2:9">
      <c r="B117" s="351">
        <v>2003</v>
      </c>
      <c r="C117" s="78">
        <f t="shared" si="1"/>
        <v>49.533333333333331</v>
      </c>
      <c r="F117" s="351">
        <v>2003</v>
      </c>
      <c r="G117" s="78">
        <f t="shared" si="2"/>
        <v>4.6500000000000057</v>
      </c>
      <c r="I117" s="21"/>
    </row>
    <row r="118" spans="2:9">
      <c r="B118" s="351">
        <v>2004</v>
      </c>
      <c r="C118" s="78">
        <f t="shared" si="1"/>
        <v>31.833333333333329</v>
      </c>
      <c r="F118" s="351">
        <v>2004</v>
      </c>
      <c r="G118" s="78">
        <f t="shared" si="2"/>
        <v>-2.2000000000000028</v>
      </c>
      <c r="I118" s="21"/>
    </row>
    <row r="119" spans="2:9">
      <c r="B119" s="351">
        <v>2005</v>
      </c>
      <c r="C119" s="78">
        <v>39</v>
      </c>
      <c r="F119" s="351">
        <v>2005</v>
      </c>
      <c r="G119" s="78">
        <f t="shared" si="2"/>
        <v>1.5</v>
      </c>
      <c r="I119" s="21"/>
    </row>
    <row r="120" spans="2:9">
      <c r="B120" s="351">
        <v>2006</v>
      </c>
      <c r="C120" s="17">
        <v>24</v>
      </c>
      <c r="F120" s="351">
        <v>2006</v>
      </c>
      <c r="G120" s="78">
        <f t="shared" si="2"/>
        <v>-8.3500000000000014</v>
      </c>
      <c r="I120" s="21"/>
    </row>
    <row r="121" spans="2:9">
      <c r="B121" s="351">
        <v>2007</v>
      </c>
      <c r="C121" s="17">
        <v>30.7</v>
      </c>
      <c r="F121" s="351">
        <v>2007</v>
      </c>
      <c r="G121" s="78">
        <f t="shared" si="2"/>
        <v>1</v>
      </c>
      <c r="I121" s="21"/>
    </row>
    <row r="122" spans="2:9">
      <c r="B122" s="351">
        <v>2008</v>
      </c>
      <c r="C122" s="78">
        <v>50.6</v>
      </c>
      <c r="F122" s="351">
        <v>2008</v>
      </c>
      <c r="G122" s="78">
        <f t="shared" si="2"/>
        <v>-2.75</v>
      </c>
      <c r="I122" s="21"/>
    </row>
    <row r="123" spans="2:9">
      <c r="B123" s="351">
        <v>2009</v>
      </c>
      <c r="C123" s="78">
        <v>34.799999999999997</v>
      </c>
      <c r="F123" s="351">
        <v>2009</v>
      </c>
      <c r="G123" s="78">
        <f t="shared" si="2"/>
        <v>3.1000000000000014</v>
      </c>
      <c r="I123" s="21"/>
    </row>
    <row r="124" spans="2:9">
      <c r="B124" s="351">
        <v>2010</v>
      </c>
      <c r="C124" s="78">
        <v>33.6</v>
      </c>
      <c r="F124" s="351">
        <v>2010</v>
      </c>
      <c r="G124" s="78">
        <f t="shared" si="2"/>
        <v>1.5</v>
      </c>
      <c r="I124" s="21"/>
    </row>
    <row r="125" spans="2:9">
      <c r="B125" s="351">
        <v>2011</v>
      </c>
      <c r="C125" s="78">
        <v>40.799999999999997</v>
      </c>
      <c r="F125" s="351">
        <v>2011</v>
      </c>
      <c r="G125" s="78">
        <f t="shared" si="2"/>
        <v>-14.8</v>
      </c>
      <c r="I125" s="21"/>
    </row>
    <row r="126" spans="2:9">
      <c r="B126" s="351">
        <v>2012</v>
      </c>
      <c r="C126" s="78">
        <v>69.8</v>
      </c>
      <c r="F126" s="351">
        <v>2012</v>
      </c>
      <c r="G126" s="78">
        <f t="shared" si="2"/>
        <v>-8.8999999999999986</v>
      </c>
      <c r="I126" s="21"/>
    </row>
    <row r="127" spans="2:9">
      <c r="B127" s="460">
        <v>2013</v>
      </c>
      <c r="C127" s="78">
        <v>65.599999999999994</v>
      </c>
      <c r="F127" s="460">
        <v>2013</v>
      </c>
      <c r="G127" s="78">
        <f t="shared" si="2"/>
        <v>-47.800000000000004</v>
      </c>
      <c r="I127" s="21"/>
    </row>
    <row r="128" spans="2:9">
      <c r="B128" s="628">
        <v>2014</v>
      </c>
      <c r="C128" s="17">
        <v>30.5</v>
      </c>
      <c r="F128" s="628">
        <v>2014</v>
      </c>
      <c r="G128" s="78">
        <f t="shared" si="2"/>
        <v>-0.85000000000000142</v>
      </c>
      <c r="I128" s="21"/>
    </row>
    <row r="129" spans="2:9">
      <c r="B129" s="460">
        <v>2015</v>
      </c>
      <c r="C129" s="17">
        <v>55</v>
      </c>
      <c r="F129" s="674">
        <v>2015</v>
      </c>
      <c r="G129" s="78">
        <f t="shared" si="2"/>
        <v>10.5</v>
      </c>
      <c r="I129" s="21"/>
    </row>
    <row r="130" spans="2:9">
      <c r="I130" s="21"/>
    </row>
    <row r="131" spans="2:9">
      <c r="I131" s="21"/>
    </row>
    <row r="132" spans="2:9">
      <c r="I132" s="21"/>
    </row>
    <row r="133" spans="2:9">
      <c r="I133" s="21"/>
    </row>
    <row r="134" spans="2:9">
      <c r="I134" s="21"/>
    </row>
    <row r="135" spans="2:9">
      <c r="I135" s="21"/>
    </row>
    <row r="136" spans="2:9">
      <c r="I136" s="21"/>
    </row>
    <row r="137" spans="2:9">
      <c r="I137" s="21"/>
    </row>
    <row r="138" spans="2:9">
      <c r="I138" s="21"/>
    </row>
    <row r="139" spans="2:9">
      <c r="I139" s="21"/>
    </row>
    <row r="140" spans="2:9">
      <c r="I140" s="21"/>
    </row>
    <row r="141" spans="2:9">
      <c r="I141" s="21"/>
    </row>
    <row r="142" spans="2:9">
      <c r="I142" s="21"/>
    </row>
    <row r="143" spans="2:9">
      <c r="I143" s="21"/>
    </row>
    <row r="144" spans="2:9">
      <c r="I144" s="21"/>
    </row>
    <row r="145" spans="9:9">
      <c r="I145" s="21"/>
    </row>
    <row r="146" spans="9:9">
      <c r="I146" s="21"/>
    </row>
    <row r="147" spans="9:9">
      <c r="I147" s="21"/>
    </row>
    <row r="148" spans="9:9">
      <c r="I148" s="21"/>
    </row>
    <row r="149" spans="9:9">
      <c r="I149" s="21"/>
    </row>
    <row r="150" spans="9:9">
      <c r="I150" s="21"/>
    </row>
    <row r="151" spans="9:9">
      <c r="I151" s="21"/>
    </row>
    <row r="152" spans="9:9">
      <c r="I152" s="21"/>
    </row>
    <row r="153" spans="9:9">
      <c r="I153" s="21"/>
    </row>
    <row r="154" spans="9:9">
      <c r="I154" s="21"/>
    </row>
    <row r="155" spans="9:9">
      <c r="I155" s="21"/>
    </row>
    <row r="156" spans="9:9">
      <c r="I156" s="21"/>
    </row>
    <row r="157" spans="9:9">
      <c r="I157" s="21"/>
    </row>
    <row r="158" spans="9:9">
      <c r="I158" s="21"/>
    </row>
    <row r="159" spans="9:9">
      <c r="I159" s="21"/>
    </row>
    <row r="160" spans="9:9">
      <c r="I160" s="21"/>
    </row>
    <row r="161" spans="3:9">
      <c r="I161" s="21"/>
    </row>
    <row r="162" spans="3:9">
      <c r="I162" s="21"/>
    </row>
    <row r="163" spans="3:9">
      <c r="I163" s="21"/>
    </row>
    <row r="164" spans="3:9">
      <c r="I164" s="21"/>
    </row>
    <row r="165" spans="3:9">
      <c r="I165" s="21"/>
    </row>
    <row r="166" spans="3:9">
      <c r="I166" s="21"/>
    </row>
    <row r="167" spans="3:9">
      <c r="I167" s="21"/>
    </row>
    <row r="168" spans="3:9">
      <c r="C168" s="77"/>
      <c r="I168" s="21"/>
    </row>
    <row r="169" spans="3:9">
      <c r="C169" s="77"/>
      <c r="I169" s="21"/>
    </row>
    <row r="170" spans="3:9">
      <c r="C170" s="77"/>
      <c r="I170" s="21"/>
    </row>
    <row r="171" spans="3:9">
      <c r="C171" s="77"/>
      <c r="I171" s="21"/>
    </row>
    <row r="172" spans="3:9">
      <c r="C172" s="77"/>
      <c r="I172" s="21"/>
    </row>
    <row r="173" spans="3:9">
      <c r="C173" s="77"/>
      <c r="I173" s="21"/>
    </row>
  </sheetData>
  <mergeCells count="2">
    <mergeCell ref="A1:G1"/>
    <mergeCell ref="A76:G76"/>
  </mergeCells>
  <phoneticPr fontId="7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F79"/>
  <sheetViews>
    <sheetView topLeftCell="A100" workbookViewId="0">
      <selection activeCell="U53" sqref="U53"/>
    </sheetView>
  </sheetViews>
  <sheetFormatPr defaultRowHeight="14"/>
  <cols>
    <col min="1" max="1" width="34.90625" style="28" customWidth="1"/>
    <col min="2" max="2" width="9.08984375" customWidth="1"/>
    <col min="3" max="3" width="8.08984375" customWidth="1"/>
    <col min="4" max="4" width="7.453125" customWidth="1"/>
    <col min="5" max="5" width="7.54296875" customWidth="1"/>
    <col min="6" max="6" width="10.08984375" bestFit="1" customWidth="1"/>
    <col min="7" max="7" width="9.08984375" bestFit="1" customWidth="1"/>
    <col min="8" max="8" width="8.54296875" customWidth="1"/>
    <col min="9" max="9" width="7.453125" customWidth="1"/>
    <col min="10" max="10" width="6.54296875" bestFit="1" customWidth="1"/>
    <col min="11" max="11" width="7.1796875" bestFit="1" customWidth="1"/>
    <col min="12" max="13" width="7.54296875" customWidth="1"/>
    <col min="14" max="14" width="14.6328125" customWidth="1"/>
    <col min="15" max="15" width="10" customWidth="1"/>
    <col min="16" max="16" width="9.54296875" customWidth="1"/>
    <col min="17" max="17" width="24" bestFit="1" customWidth="1"/>
    <col min="18" max="18" width="11.81640625" bestFit="1" customWidth="1"/>
    <col min="19" max="19" width="6.54296875" bestFit="1" customWidth="1"/>
    <col min="20" max="20" width="7.54296875" bestFit="1" customWidth="1"/>
    <col min="21" max="21" width="10.08984375" bestFit="1" customWidth="1"/>
    <col min="22" max="22" width="10.6328125" bestFit="1" customWidth="1"/>
    <col min="23" max="23" width="10.08984375" customWidth="1"/>
  </cols>
  <sheetData>
    <row r="1" spans="1:28">
      <c r="A1" s="1398" t="s">
        <v>94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1398"/>
      <c r="M1" s="1398"/>
      <c r="N1" s="1398"/>
      <c r="O1" s="28"/>
      <c r="P1" s="28"/>
      <c r="Q1" s="28"/>
      <c r="R1" s="29"/>
      <c r="S1" s="28"/>
      <c r="T1" s="28"/>
    </row>
    <row r="2" spans="1:28">
      <c r="A2" s="288"/>
      <c r="B2" s="1433" t="s">
        <v>86</v>
      </c>
      <c r="C2" s="1433"/>
      <c r="D2" s="1433"/>
      <c r="E2" s="1433"/>
      <c r="F2" s="1433"/>
      <c r="G2" s="1433"/>
      <c r="H2" s="1433"/>
      <c r="I2" s="1433"/>
      <c r="J2" s="1433"/>
      <c r="K2" s="1433"/>
      <c r="L2" s="1433"/>
      <c r="M2" s="1433"/>
      <c r="N2" s="222"/>
      <c r="O2" s="28"/>
      <c r="P2" s="251"/>
      <c r="Q2" s="251"/>
      <c r="R2" s="687"/>
      <c r="S2" s="251"/>
      <c r="T2" s="251"/>
      <c r="U2" s="51"/>
      <c r="V2" s="51"/>
      <c r="W2" s="51"/>
      <c r="X2" s="51"/>
      <c r="Y2" s="51"/>
      <c r="Z2" s="51"/>
      <c r="AA2" s="51"/>
      <c r="AB2" s="51"/>
    </row>
    <row r="3" spans="1:28">
      <c r="A3" s="289"/>
      <c r="B3" s="290" t="s">
        <v>68</v>
      </c>
      <c r="C3" s="290" t="s">
        <v>69</v>
      </c>
      <c r="D3" s="290" t="s">
        <v>70</v>
      </c>
      <c r="E3" s="290" t="s">
        <v>71</v>
      </c>
      <c r="F3" s="290" t="s">
        <v>72</v>
      </c>
      <c r="G3" s="290" t="s">
        <v>73</v>
      </c>
      <c r="H3" s="290" t="s">
        <v>74</v>
      </c>
      <c r="I3" s="290" t="s">
        <v>75</v>
      </c>
      <c r="J3" s="290" t="s">
        <v>76</v>
      </c>
      <c r="K3" s="290" t="s">
        <v>77</v>
      </c>
      <c r="L3" s="290" t="s">
        <v>78</v>
      </c>
      <c r="M3" s="290" t="s">
        <v>79</v>
      </c>
      <c r="N3" s="291" t="s">
        <v>87</v>
      </c>
      <c r="O3" s="28"/>
      <c r="P3" s="251"/>
      <c r="Q3" s="251"/>
      <c r="R3" s="251"/>
      <c r="S3" s="251"/>
      <c r="T3" s="251"/>
      <c r="U3" s="51"/>
      <c r="V3" s="51"/>
      <c r="W3" s="51"/>
      <c r="X3" s="51"/>
      <c r="Y3" s="51"/>
      <c r="Z3" s="51"/>
      <c r="AA3" s="51"/>
      <c r="AB3" s="51"/>
    </row>
    <row r="4" spans="1:28">
      <c r="A4" s="292" t="s">
        <v>367</v>
      </c>
      <c r="B4" s="169">
        <v>152.45303999999999</v>
      </c>
      <c r="C4" s="169">
        <v>135.71652</v>
      </c>
      <c r="D4" s="169">
        <v>192.41048999999998</v>
      </c>
      <c r="E4" s="169">
        <v>2480.7330000000002</v>
      </c>
      <c r="F4" s="169">
        <v>22130.28</v>
      </c>
      <c r="G4" s="169">
        <v>8804.52</v>
      </c>
      <c r="H4" s="169">
        <v>1413.8790000000001</v>
      </c>
      <c r="I4" s="169">
        <v>344.55616500000002</v>
      </c>
      <c r="J4" s="169">
        <v>45.212400000000002</v>
      </c>
      <c r="K4" s="169">
        <v>98.356800000000021</v>
      </c>
      <c r="L4" s="169">
        <v>29.745000000000001</v>
      </c>
      <c r="M4" s="169">
        <v>196.71360000000004</v>
      </c>
      <c r="N4" s="293">
        <f>SUM(B4:M4)</f>
        <v>36024.576015000006</v>
      </c>
      <c r="O4" s="30"/>
      <c r="P4" s="631"/>
      <c r="Q4" s="688"/>
      <c r="R4" s="688"/>
      <c r="S4" s="51"/>
      <c r="T4" s="251"/>
      <c r="U4" s="51"/>
      <c r="V4" s="51"/>
      <c r="W4" s="51"/>
      <c r="X4" s="51"/>
      <c r="Y4" s="51"/>
      <c r="Z4" s="51"/>
      <c r="AA4" s="51"/>
      <c r="AB4" s="51"/>
    </row>
    <row r="5" spans="1:28">
      <c r="A5" s="292" t="s">
        <v>366</v>
      </c>
      <c r="B5" s="169">
        <v>399.5745</v>
      </c>
      <c r="C5" s="169">
        <v>1207.6469999999999</v>
      </c>
      <c r="D5" s="169">
        <v>1413.8790000000001</v>
      </c>
      <c r="E5" s="169">
        <v>3688.3800000000006</v>
      </c>
      <c r="F5" s="169">
        <v>33502.785000000003</v>
      </c>
      <c r="G5" s="169">
        <v>27960.3</v>
      </c>
      <c r="H5" s="169">
        <v>8790.639000000001</v>
      </c>
      <c r="I5" s="169">
        <v>2458.92</v>
      </c>
      <c r="J5" s="169">
        <v>623.57417999999996</v>
      </c>
      <c r="K5" s="169">
        <v>475.26825400000013</v>
      </c>
      <c r="L5" s="169">
        <v>416.43</v>
      </c>
      <c r="M5" s="169">
        <v>1967.1360000000002</v>
      </c>
      <c r="N5" s="293">
        <f>SUM(B5:M5)</f>
        <v>82904.532933999973</v>
      </c>
      <c r="O5" s="28"/>
      <c r="P5" s="631"/>
      <c r="Q5" s="689"/>
      <c r="R5" s="689"/>
      <c r="S5" s="51"/>
      <c r="T5" s="251"/>
      <c r="U5" s="51"/>
      <c r="V5" s="51"/>
      <c r="W5" s="51"/>
      <c r="X5" s="51"/>
      <c r="Y5" s="51"/>
      <c r="Z5" s="51"/>
      <c r="AA5" s="51"/>
      <c r="AB5" s="51"/>
    </row>
    <row r="6" spans="1:28">
      <c r="A6" s="289" t="s">
        <v>22</v>
      </c>
      <c r="B6" s="465">
        <v>552.02754000000004</v>
      </c>
      <c r="C6" s="465">
        <v>1343.3635199999999</v>
      </c>
      <c r="D6" s="465">
        <v>1606.2894900000001</v>
      </c>
      <c r="E6" s="465">
        <v>6169.1130000000012</v>
      </c>
      <c r="F6" s="465">
        <v>55633.065000000002</v>
      </c>
      <c r="G6" s="465">
        <v>36764.82</v>
      </c>
      <c r="H6" s="465">
        <v>10204.518000000002</v>
      </c>
      <c r="I6" s="465">
        <v>2803.476165</v>
      </c>
      <c r="J6" s="465">
        <v>668.78657999999996</v>
      </c>
      <c r="K6" s="465">
        <v>573.62505400000009</v>
      </c>
      <c r="L6" s="465">
        <v>446.17500000000001</v>
      </c>
      <c r="M6" s="465">
        <v>2163.8496000000005</v>
      </c>
      <c r="N6" s="293">
        <f>SUM(N4:N5)</f>
        <v>118929.10894899999</v>
      </c>
      <c r="O6" s="28"/>
      <c r="P6" s="631"/>
      <c r="Q6" s="689"/>
      <c r="R6" s="689"/>
      <c r="S6" s="51"/>
      <c r="T6" s="251"/>
      <c r="U6" s="51"/>
      <c r="V6" s="51"/>
      <c r="W6" s="51"/>
      <c r="X6" s="51"/>
      <c r="Y6" s="51"/>
      <c r="Z6" s="51"/>
      <c r="AA6" s="51"/>
      <c r="AB6" s="51"/>
    </row>
    <row r="7" spans="1:28">
      <c r="A7" s="289" t="s">
        <v>552</v>
      </c>
      <c r="B7" s="461">
        <v>1143.3978000000002</v>
      </c>
      <c r="C7" s="461">
        <v>1207.6469999999999</v>
      </c>
      <c r="D7" s="461">
        <v>1782.7170000000001</v>
      </c>
      <c r="E7" s="461">
        <v>5175.63</v>
      </c>
      <c r="F7" s="461">
        <v>26863.701000000001</v>
      </c>
      <c r="G7" s="461">
        <v>25937.640000000003</v>
      </c>
      <c r="H7" s="461">
        <v>13647.005999999999</v>
      </c>
      <c r="I7" s="461">
        <v>3688.38</v>
      </c>
      <c r="J7" s="461">
        <v>437.23098620689672</v>
      </c>
      <c r="K7" s="461">
        <v>1297.4967299999998</v>
      </c>
      <c r="L7" s="461">
        <v>237.96</v>
      </c>
      <c r="M7" s="461">
        <v>1352.4060000000002</v>
      </c>
      <c r="N7" s="302">
        <f>SUM(B7:M7)</f>
        <v>82771.212516206899</v>
      </c>
      <c r="O7" s="28"/>
      <c r="P7" s="631"/>
      <c r="Q7" s="689"/>
      <c r="R7" s="689"/>
      <c r="S7" s="51"/>
      <c r="T7" s="251"/>
      <c r="U7" s="51"/>
      <c r="V7" s="51"/>
      <c r="W7" s="51"/>
      <c r="X7" s="51"/>
      <c r="Y7" s="51"/>
      <c r="Z7" s="51"/>
      <c r="AA7" s="51"/>
      <c r="AB7" s="51"/>
    </row>
    <row r="8" spans="1:28">
      <c r="A8" s="311" t="s">
        <v>554</v>
      </c>
      <c r="B8" s="461">
        <f>B6-B7</f>
        <v>-591.37026000000014</v>
      </c>
      <c r="C8" s="461">
        <f t="shared" ref="C8:M8" si="0">C6-C7</f>
        <v>135.71651999999995</v>
      </c>
      <c r="D8" s="461">
        <f t="shared" si="0"/>
        <v>-176.42750999999998</v>
      </c>
      <c r="E8" s="461">
        <f t="shared" si="0"/>
        <v>993.48300000000108</v>
      </c>
      <c r="F8" s="461">
        <f t="shared" si="0"/>
        <v>28769.364000000001</v>
      </c>
      <c r="G8" s="461">
        <f t="shared" si="0"/>
        <v>10827.179999999997</v>
      </c>
      <c r="H8" s="461">
        <f t="shared" si="0"/>
        <v>-3442.4879999999976</v>
      </c>
      <c r="I8" s="461">
        <f t="shared" si="0"/>
        <v>-884.90383500000007</v>
      </c>
      <c r="J8" s="461">
        <f t="shared" si="0"/>
        <v>231.55559379310324</v>
      </c>
      <c r="K8" s="461">
        <f t="shared" si="0"/>
        <v>-723.87167599999975</v>
      </c>
      <c r="L8" s="461">
        <f t="shared" si="0"/>
        <v>208.215</v>
      </c>
      <c r="M8" s="461">
        <f t="shared" si="0"/>
        <v>811.44360000000029</v>
      </c>
      <c r="N8" s="302">
        <f>SUM(B8:M8)</f>
        <v>36157.896432793103</v>
      </c>
      <c r="O8" s="28"/>
      <c r="P8" s="417"/>
      <c r="Q8" s="689"/>
      <c r="R8" s="689"/>
      <c r="S8" s="51"/>
      <c r="T8" s="251"/>
      <c r="U8" s="51"/>
      <c r="V8" s="51"/>
      <c r="W8" s="51"/>
      <c r="X8" s="51"/>
      <c r="Y8" s="51"/>
      <c r="Z8" s="51"/>
      <c r="AA8" s="51"/>
      <c r="AB8" s="51"/>
    </row>
    <row r="9" spans="1:28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8"/>
      <c r="P9" s="680"/>
      <c r="Q9" s="689"/>
      <c r="R9" s="689"/>
      <c r="S9" s="51"/>
      <c r="T9" s="251"/>
      <c r="U9" s="51"/>
      <c r="V9" s="51"/>
      <c r="W9" s="51"/>
      <c r="X9" s="51"/>
      <c r="Y9" s="51"/>
      <c r="Z9" s="51"/>
      <c r="AA9" s="51"/>
      <c r="AB9" s="51"/>
    </row>
    <row r="10" spans="1:28">
      <c r="A10" s="295" t="s">
        <v>65</v>
      </c>
      <c r="B10" s="290" t="s">
        <v>68</v>
      </c>
      <c r="C10" s="290" t="s">
        <v>69</v>
      </c>
      <c r="D10" s="290" t="s">
        <v>70</v>
      </c>
      <c r="E10" s="290" t="s">
        <v>71</v>
      </c>
      <c r="F10" s="290" t="s">
        <v>72</v>
      </c>
      <c r="G10" s="290" t="s">
        <v>73</v>
      </c>
      <c r="H10" s="290" t="s">
        <v>74</v>
      </c>
      <c r="I10" s="290" t="s">
        <v>75</v>
      </c>
      <c r="J10" s="290" t="s">
        <v>76</v>
      </c>
      <c r="K10" s="290" t="s">
        <v>77</v>
      </c>
      <c r="L10" s="290" t="s">
        <v>78</v>
      </c>
      <c r="M10" s="290" t="s">
        <v>79</v>
      </c>
      <c r="N10" s="295" t="s">
        <v>88</v>
      </c>
      <c r="O10" s="31"/>
      <c r="P10" s="680"/>
      <c r="Q10" s="251"/>
      <c r="R10" s="251"/>
      <c r="S10" s="251"/>
      <c r="T10" s="251"/>
      <c r="U10" s="51"/>
      <c r="V10" s="51"/>
      <c r="W10" s="51"/>
      <c r="X10" s="51"/>
      <c r="Y10" s="51"/>
      <c r="Z10" s="51"/>
      <c r="AA10" s="51"/>
      <c r="AB10" s="51"/>
    </row>
    <row r="11" spans="1:28">
      <c r="A11" s="292" t="s">
        <v>367</v>
      </c>
      <c r="B11" s="666">
        <v>614</v>
      </c>
      <c r="C11" s="666">
        <v>473</v>
      </c>
      <c r="D11" s="666">
        <v>644</v>
      </c>
      <c r="E11" s="666">
        <v>591</v>
      </c>
      <c r="F11" s="666">
        <v>668</v>
      </c>
      <c r="G11" s="666">
        <v>452</v>
      </c>
      <c r="H11" s="666">
        <v>399.5</v>
      </c>
      <c r="I11" s="666">
        <v>513.5</v>
      </c>
      <c r="J11" s="666">
        <v>970.5</v>
      </c>
      <c r="K11" s="666">
        <v>417</v>
      </c>
      <c r="L11" s="666">
        <v>916</v>
      </c>
      <c r="M11" s="666">
        <v>584</v>
      </c>
      <c r="N11" s="293">
        <f>AVERAGE(B11:M11)</f>
        <v>603.54166666666663</v>
      </c>
      <c r="O11" s="32"/>
      <c r="P11" s="680"/>
      <c r="Q11" s="251"/>
      <c r="R11" s="251"/>
      <c r="S11" s="251"/>
      <c r="T11" s="251"/>
      <c r="U11" s="51"/>
      <c r="V11" s="51"/>
      <c r="W11" s="51"/>
      <c r="X11" s="51"/>
      <c r="Y11" s="51"/>
      <c r="Z11" s="51"/>
      <c r="AA11" s="51"/>
      <c r="AB11" s="51"/>
    </row>
    <row r="12" spans="1:28">
      <c r="A12" s="292" t="s">
        <v>366</v>
      </c>
      <c r="B12" s="300">
        <v>971</v>
      </c>
      <c r="C12" s="300">
        <v>751</v>
      </c>
      <c r="D12" s="300">
        <v>640</v>
      </c>
      <c r="E12" s="300">
        <v>746</v>
      </c>
      <c r="F12" s="300">
        <v>447</v>
      </c>
      <c r="G12" s="300">
        <v>233</v>
      </c>
      <c r="H12" s="300">
        <v>247</v>
      </c>
      <c r="I12" s="300">
        <v>381</v>
      </c>
      <c r="J12" s="463">
        <v>702.5</v>
      </c>
      <c r="K12" s="463">
        <v>740</v>
      </c>
      <c r="L12" s="415">
        <v>585</v>
      </c>
      <c r="M12" s="415">
        <v>584</v>
      </c>
      <c r="N12" s="293">
        <f>AVERAGE(B12:M12)</f>
        <v>585.625</v>
      </c>
      <c r="O12" s="32"/>
      <c r="P12" s="690"/>
      <c r="Q12" s="646"/>
      <c r="R12" s="646"/>
      <c r="S12" s="631"/>
      <c r="T12" s="631"/>
      <c r="U12" s="631"/>
      <c r="V12" s="51"/>
      <c r="W12" s="51"/>
      <c r="X12" s="51"/>
      <c r="Y12" s="51"/>
      <c r="Z12" s="51"/>
      <c r="AA12" s="51"/>
      <c r="AB12" s="51"/>
    </row>
    <row r="13" spans="1:28">
      <c r="A13" s="301" t="s">
        <v>553</v>
      </c>
      <c r="B13" s="300">
        <v>623</v>
      </c>
      <c r="C13" s="300">
        <v>595</v>
      </c>
      <c r="D13" s="300">
        <v>522</v>
      </c>
      <c r="E13" s="300">
        <v>452</v>
      </c>
      <c r="F13" s="300">
        <v>562</v>
      </c>
      <c r="G13" s="300">
        <v>245</v>
      </c>
      <c r="H13" s="300">
        <v>179</v>
      </c>
      <c r="I13" s="300">
        <v>198.5</v>
      </c>
      <c r="J13" s="463">
        <v>148.5</v>
      </c>
      <c r="K13" s="463">
        <v>336</v>
      </c>
      <c r="L13" s="415">
        <v>1118</v>
      </c>
      <c r="M13" s="415">
        <v>579</v>
      </c>
      <c r="N13" s="302">
        <f>AVERAGE(B13:M13)</f>
        <v>463.16666666666669</v>
      </c>
      <c r="O13" s="32"/>
      <c r="P13" s="690"/>
      <c r="Q13" s="646"/>
      <c r="R13" s="377"/>
      <c r="S13" s="631"/>
      <c r="T13" s="631"/>
      <c r="U13" s="631"/>
      <c r="V13" s="51"/>
      <c r="W13" s="51"/>
      <c r="X13" s="51"/>
      <c r="Y13" s="51"/>
      <c r="Z13" s="51"/>
      <c r="AA13" s="51"/>
      <c r="AB13" s="51"/>
    </row>
    <row r="14" spans="1:28">
      <c r="A14" s="222" t="s">
        <v>80</v>
      </c>
      <c r="B14" s="462">
        <v>2.7230000000000002E-3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8"/>
      <c r="P14" s="251"/>
      <c r="Q14" s="646"/>
      <c r="R14" s="646"/>
      <c r="S14" s="631"/>
      <c r="T14" s="631"/>
      <c r="U14" s="631"/>
      <c r="V14" s="51"/>
      <c r="W14" s="51"/>
      <c r="X14" s="51"/>
      <c r="Y14" s="51"/>
      <c r="Z14" s="51"/>
      <c r="AA14" s="51"/>
      <c r="AB14" s="51"/>
    </row>
    <row r="15" spans="1:28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8"/>
      <c r="P15" s="251"/>
      <c r="Q15" s="353"/>
      <c r="R15" s="646"/>
      <c r="S15" s="417"/>
      <c r="T15" s="417"/>
      <c r="U15" s="417"/>
      <c r="V15" s="51"/>
      <c r="W15" s="51"/>
      <c r="X15" s="51"/>
      <c r="Y15" s="51"/>
      <c r="Z15" s="51"/>
      <c r="AA15" s="51"/>
      <c r="AB15" s="51"/>
    </row>
    <row r="16" spans="1:28">
      <c r="A16" s="295" t="s">
        <v>81</v>
      </c>
      <c r="B16" s="296" t="s">
        <v>68</v>
      </c>
      <c r="C16" s="296" t="s">
        <v>69</v>
      </c>
      <c r="D16" s="296" t="s">
        <v>70</v>
      </c>
      <c r="E16" s="296" t="s">
        <v>71</v>
      </c>
      <c r="F16" s="296" t="s">
        <v>72</v>
      </c>
      <c r="G16" s="296" t="s">
        <v>73</v>
      </c>
      <c r="H16" s="296" t="s">
        <v>74</v>
      </c>
      <c r="I16" s="296" t="s">
        <v>75</v>
      </c>
      <c r="J16" s="296" t="s">
        <v>76</v>
      </c>
      <c r="K16" s="296" t="s">
        <v>77</v>
      </c>
      <c r="L16" s="296" t="s">
        <v>78</v>
      </c>
      <c r="M16" s="296" t="s">
        <v>79</v>
      </c>
      <c r="N16" s="296" t="s">
        <v>276</v>
      </c>
      <c r="O16" s="28"/>
      <c r="P16" s="251"/>
      <c r="Q16" s="646"/>
      <c r="R16" s="1434"/>
      <c r="S16" s="1434"/>
      <c r="T16" s="1434"/>
      <c r="U16" s="680"/>
      <c r="V16" s="646"/>
      <c r="W16" s="1434"/>
      <c r="X16" s="1434"/>
      <c r="Y16" s="1434"/>
      <c r="Z16" s="51"/>
      <c r="AA16" s="51"/>
      <c r="AB16" s="51"/>
    </row>
    <row r="17" spans="1:32">
      <c r="A17" s="292" t="s">
        <v>367</v>
      </c>
      <c r="B17" s="252">
        <f>B4*$B$14*B11</f>
        <v>254.88959154287997</v>
      </c>
      <c r="C17" s="252">
        <f t="shared" ref="C17:M17" si="1">C4*$B$14*C11</f>
        <v>174.80002771308</v>
      </c>
      <c r="D17" s="252">
        <f t="shared" si="1"/>
        <v>337.41334418987998</v>
      </c>
      <c r="E17" s="252">
        <f t="shared" si="1"/>
        <v>3992.2262517690006</v>
      </c>
      <c r="F17" s="252">
        <f t="shared" si="1"/>
        <v>40254.182629919997</v>
      </c>
      <c r="G17" s="252">
        <f t="shared" si="1"/>
        <v>10836.567997920001</v>
      </c>
      <c r="H17" s="252">
        <f t="shared" si="1"/>
        <v>1538.0720105415003</v>
      </c>
      <c r="I17" s="252">
        <f t="shared" si="1"/>
        <v>481.77927555098256</v>
      </c>
      <c r="J17" s="252">
        <f t="shared" si="1"/>
        <v>119.48152092660001</v>
      </c>
      <c r="K17" s="252">
        <f t="shared" si="1"/>
        <v>111.68326118880002</v>
      </c>
      <c r="L17" s="252">
        <f t="shared" si="1"/>
        <v>74.192001660000003</v>
      </c>
      <c r="M17" s="252">
        <f t="shared" si="1"/>
        <v>312.82026155520003</v>
      </c>
      <c r="N17" s="293">
        <f>SUM(B17:M17)</f>
        <v>58488.108174477922</v>
      </c>
      <c r="O17" s="28"/>
      <c r="P17" s="251"/>
      <c r="Q17" s="251"/>
      <c r="R17" s="251"/>
      <c r="S17" s="251"/>
      <c r="T17" s="251"/>
      <c r="U17" s="51"/>
      <c r="V17" s="251"/>
      <c r="W17" s="691"/>
      <c r="X17" s="691"/>
      <c r="Y17" s="691"/>
      <c r="Z17" s="66"/>
      <c r="AA17" s="51"/>
      <c r="AB17" s="51"/>
    </row>
    <row r="18" spans="1:32">
      <c r="A18" s="292" t="s">
        <v>366</v>
      </c>
      <c r="B18" s="252">
        <f>B5*$B$14*B12</f>
        <v>1056.4881639585001</v>
      </c>
      <c r="C18" s="252">
        <f t="shared" ref="C18:M18" si="2">C5*$B$14*C12</f>
        <v>2469.6055085309999</v>
      </c>
      <c r="D18" s="252">
        <f t="shared" si="2"/>
        <v>2463.9952108800003</v>
      </c>
      <c r="E18" s="252">
        <f t="shared" si="2"/>
        <v>7492.4202200400014</v>
      </c>
      <c r="F18" s="252">
        <f t="shared" si="2"/>
        <v>40778.953349085008</v>
      </c>
      <c r="G18" s="252">
        <f t="shared" si="2"/>
        <v>17739.663977700002</v>
      </c>
      <c r="H18" s="252">
        <f t="shared" si="2"/>
        <v>5912.4167692590008</v>
      </c>
      <c r="I18" s="252">
        <f t="shared" si="2"/>
        <v>2551.0385199600005</v>
      </c>
      <c r="J18" s="252">
        <f t="shared" si="2"/>
        <v>1192.83972572835</v>
      </c>
      <c r="K18" s="252">
        <f t="shared" si="2"/>
        <v>957.67503717508043</v>
      </c>
      <c r="L18" s="252">
        <f t="shared" si="2"/>
        <v>663.35425065000004</v>
      </c>
      <c r="M18" s="252">
        <f t="shared" si="2"/>
        <v>3128.2026155520002</v>
      </c>
      <c r="N18" s="293">
        <f>SUM(B18:M18)</f>
        <v>86406.653348518928</v>
      </c>
      <c r="O18" s="28"/>
      <c r="P18" s="251"/>
      <c r="Q18" s="681"/>
      <c r="R18" s="684"/>
      <c r="S18" s="684"/>
      <c r="T18" s="684"/>
      <c r="U18" s="51"/>
      <c r="V18" s="681"/>
      <c r="W18" s="682"/>
      <c r="X18" s="682"/>
      <c r="Y18" s="682"/>
      <c r="Z18" s="692"/>
      <c r="AA18" s="51"/>
      <c r="AB18" s="51"/>
    </row>
    <row r="19" spans="1:32">
      <c r="A19" s="297" t="s">
        <v>89</v>
      </c>
      <c r="B19" s="464">
        <f>SUM(B17:B18)</f>
        <v>1311.3777555013801</v>
      </c>
      <c r="C19" s="464">
        <f t="shared" ref="C19:N19" si="3">SUM(C17:C18)</f>
        <v>2644.4055362440799</v>
      </c>
      <c r="D19" s="464">
        <f t="shared" si="3"/>
        <v>2801.4085550698801</v>
      </c>
      <c r="E19" s="464">
        <f t="shared" si="3"/>
        <v>11484.646471809003</v>
      </c>
      <c r="F19" s="464">
        <f t="shared" si="3"/>
        <v>81033.135979005005</v>
      </c>
      <c r="G19" s="464">
        <f t="shared" si="3"/>
        <v>28576.231975620001</v>
      </c>
      <c r="H19" s="464">
        <f t="shared" si="3"/>
        <v>7450.4887798005011</v>
      </c>
      <c r="I19" s="464">
        <f t="shared" si="3"/>
        <v>3032.8177955109832</v>
      </c>
      <c r="J19" s="464">
        <f t="shared" si="3"/>
        <v>1312.3212466549501</v>
      </c>
      <c r="K19" s="464">
        <f t="shared" si="3"/>
        <v>1069.3582983638805</v>
      </c>
      <c r="L19" s="464">
        <f t="shared" si="3"/>
        <v>737.54625231</v>
      </c>
      <c r="M19" s="464">
        <f t="shared" si="3"/>
        <v>3441.0228771072002</v>
      </c>
      <c r="N19" s="293">
        <f t="shared" si="3"/>
        <v>144894.76152299685</v>
      </c>
      <c r="O19" s="28"/>
      <c r="P19" s="251"/>
      <c r="Q19" s="693"/>
      <c r="R19" s="684"/>
      <c r="S19" s="684"/>
      <c r="T19" s="684"/>
      <c r="U19" s="51"/>
      <c r="V19" s="693"/>
      <c r="W19" s="682"/>
      <c r="X19" s="682"/>
      <c r="Y19" s="682"/>
      <c r="Z19" s="692"/>
      <c r="AA19" s="51"/>
      <c r="AB19" s="51"/>
    </row>
    <row r="20" spans="1:32">
      <c r="A20" s="301" t="s">
        <v>553</v>
      </c>
      <c r="B20" s="252">
        <f>B7*$B$14*B13</f>
        <v>1939.6931864562005</v>
      </c>
      <c r="C20" s="252">
        <f t="shared" ref="C20:M20" si="4">C7*$B$14*C13</f>
        <v>1956.611554695</v>
      </c>
      <c r="D20" s="252">
        <f t="shared" si="4"/>
        <v>2533.9646401020004</v>
      </c>
      <c r="E20" s="252">
        <f t="shared" si="4"/>
        <v>6370.1447014800005</v>
      </c>
      <c r="F20" s="252">
        <f t="shared" si="4"/>
        <v>41110.220096526005</v>
      </c>
      <c r="G20" s="252">
        <f t="shared" si="4"/>
        <v>17303.907461400002</v>
      </c>
      <c r="H20" s="252">
        <f t="shared" si="4"/>
        <v>6651.7827235020004</v>
      </c>
      <c r="I20" s="252">
        <f t="shared" si="4"/>
        <v>1993.62655989</v>
      </c>
      <c r="J20" s="252">
        <f t="shared" si="4"/>
        <v>176.80112635304488</v>
      </c>
      <c r="K20" s="252">
        <f t="shared" si="4"/>
        <v>1187.11608818544</v>
      </c>
      <c r="L20" s="252">
        <f t="shared" si="4"/>
        <v>724.42495944000007</v>
      </c>
      <c r="M20" s="252">
        <f t="shared" si="4"/>
        <v>2132.2262905020002</v>
      </c>
      <c r="N20" s="302">
        <f>SUM(B20:M20)</f>
        <v>84080.519388531713</v>
      </c>
      <c r="O20" s="28"/>
      <c r="P20" s="251"/>
      <c r="Q20" s="693"/>
      <c r="R20" s="684"/>
      <c r="S20" s="684"/>
      <c r="T20" s="684"/>
      <c r="U20" s="51"/>
      <c r="V20" s="693"/>
      <c r="W20" s="682"/>
      <c r="X20" s="682"/>
      <c r="Y20" s="682"/>
      <c r="Z20" s="692"/>
      <c r="AA20" s="51"/>
      <c r="AB20" s="51"/>
    </row>
    <row r="21" spans="1:32">
      <c r="A21" s="301" t="s">
        <v>555</v>
      </c>
      <c r="B21" s="252">
        <f>B19-B20</f>
        <v>-628.31543095482039</v>
      </c>
      <c r="C21" s="252">
        <f t="shared" ref="C21:M21" si="5">C19-C20</f>
        <v>687.79398154907994</v>
      </c>
      <c r="D21" s="252">
        <f t="shared" si="5"/>
        <v>267.44391496787966</v>
      </c>
      <c r="E21" s="252">
        <f t="shared" si="5"/>
        <v>5114.5017703290023</v>
      </c>
      <c r="F21" s="252">
        <f t="shared" si="5"/>
        <v>39922.915882478999</v>
      </c>
      <c r="G21" s="252">
        <f t="shared" si="5"/>
        <v>11272.324514219999</v>
      </c>
      <c r="H21" s="252">
        <f t="shared" si="5"/>
        <v>798.7060562985007</v>
      </c>
      <c r="I21" s="252">
        <f t="shared" si="5"/>
        <v>1039.1912356209832</v>
      </c>
      <c r="J21" s="252">
        <f t="shared" si="5"/>
        <v>1135.5201203019051</v>
      </c>
      <c r="K21" s="252">
        <f t="shared" si="5"/>
        <v>-117.75778982155953</v>
      </c>
      <c r="L21" s="252">
        <f t="shared" si="5"/>
        <v>13.121292869999934</v>
      </c>
      <c r="M21" s="252">
        <f t="shared" si="5"/>
        <v>1308.7965866052</v>
      </c>
      <c r="N21" s="302">
        <f>SUM(B21:M21)</f>
        <v>60814.242134465152</v>
      </c>
      <c r="O21" s="28"/>
      <c r="P21" s="251"/>
      <c r="Q21" s="693"/>
      <c r="R21" s="684"/>
      <c r="S21" s="684"/>
      <c r="T21" s="684"/>
      <c r="U21" s="51"/>
      <c r="V21" s="693"/>
      <c r="W21" s="682"/>
      <c r="X21" s="682"/>
      <c r="Y21" s="682"/>
      <c r="Z21" s="692"/>
      <c r="AA21" s="51"/>
      <c r="AB21" s="51"/>
    </row>
    <row r="22" spans="1:32">
      <c r="A22" s="314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299"/>
      <c r="O22" s="28"/>
      <c r="P22" s="251"/>
      <c r="Q22" s="683"/>
      <c r="R22" s="684"/>
      <c r="S22" s="684"/>
      <c r="T22" s="684"/>
      <c r="U22" s="51"/>
      <c r="V22" s="683"/>
      <c r="W22" s="682"/>
      <c r="X22" s="682"/>
      <c r="Y22" s="682"/>
      <c r="Z22" s="692"/>
      <c r="AA22" s="51"/>
      <c r="AB22" s="51"/>
    </row>
    <row r="23" spans="1:32" s="10" customFormat="1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50"/>
      <c r="P23" s="251"/>
      <c r="Q23" s="693"/>
      <c r="R23" s="684"/>
      <c r="S23" s="684"/>
      <c r="T23" s="684"/>
      <c r="U23" s="51"/>
      <c r="V23" s="693"/>
      <c r="W23" s="682"/>
      <c r="X23" s="682"/>
      <c r="Y23" s="682"/>
      <c r="Z23" s="692"/>
      <c r="AA23" s="51"/>
      <c r="AB23" s="51"/>
    </row>
    <row r="24" spans="1:32" s="10" customFormat="1">
      <c r="A24" s="295" t="s">
        <v>279</v>
      </c>
      <c r="B24" s="290" t="s">
        <v>68</v>
      </c>
      <c r="C24" s="290" t="s">
        <v>69</v>
      </c>
      <c r="D24" s="290" t="s">
        <v>70</v>
      </c>
      <c r="E24" s="290" t="s">
        <v>71</v>
      </c>
      <c r="F24" s="290" t="s">
        <v>72</v>
      </c>
      <c r="G24" s="290" t="s">
        <v>73</v>
      </c>
      <c r="H24" s="290" t="s">
        <v>74</v>
      </c>
      <c r="I24" s="290" t="s">
        <v>75</v>
      </c>
      <c r="J24" s="290" t="s">
        <v>76</v>
      </c>
      <c r="K24" s="290" t="s">
        <v>77</v>
      </c>
      <c r="L24" s="290" t="s">
        <v>78</v>
      </c>
      <c r="M24" s="290" t="s">
        <v>79</v>
      </c>
      <c r="N24" s="295" t="s">
        <v>88</v>
      </c>
      <c r="O24" s="250"/>
      <c r="P24" s="251"/>
      <c r="Q24" s="251"/>
      <c r="R24" s="1380">
        <v>2008</v>
      </c>
      <c r="S24" s="1380">
        <v>2009</v>
      </c>
      <c r="T24" s="1380">
        <v>2010</v>
      </c>
      <c r="U24" s="1380">
        <v>2011</v>
      </c>
      <c r="V24" s="1380">
        <v>2012</v>
      </c>
      <c r="W24" s="1380">
        <v>2013</v>
      </c>
      <c r="X24" s="1380">
        <v>2014</v>
      </c>
      <c r="Y24" s="1380">
        <v>2015</v>
      </c>
      <c r="Z24" s="51"/>
      <c r="AA24" s="51"/>
      <c r="AB24" s="51"/>
    </row>
    <row r="25" spans="1:32" s="10" customFormat="1" ht="22.75" customHeight="1">
      <c r="A25" s="292" t="s">
        <v>367</v>
      </c>
      <c r="B25" s="463">
        <v>1056</v>
      </c>
      <c r="C25" s="463">
        <v>772</v>
      </c>
      <c r="D25" s="463">
        <v>1372</v>
      </c>
      <c r="E25" s="463">
        <v>818</v>
      </c>
      <c r="F25" s="463">
        <v>1114</v>
      </c>
      <c r="G25" s="463">
        <v>887</v>
      </c>
      <c r="H25" s="463">
        <v>790</v>
      </c>
      <c r="I25" s="1126">
        <v>1184.5</v>
      </c>
      <c r="J25" s="1126">
        <v>1151</v>
      </c>
      <c r="K25" s="1126">
        <v>718</v>
      </c>
      <c r="L25" s="300">
        <v>997</v>
      </c>
      <c r="M25" s="300">
        <v>725</v>
      </c>
      <c r="N25" s="293">
        <f>AVERAGE(B25:M25)</f>
        <v>965.375</v>
      </c>
      <c r="O25" s="250"/>
      <c r="P25" s="251"/>
      <c r="Q25" s="1357" t="s">
        <v>557</v>
      </c>
      <c r="R25" s="1381">
        <v>667</v>
      </c>
      <c r="S25" s="1381">
        <v>1014</v>
      </c>
      <c r="T25" s="1381">
        <v>1395</v>
      </c>
      <c r="U25" s="1376">
        <v>223</v>
      </c>
      <c r="V25" s="1376">
        <v>374</v>
      </c>
      <c r="W25" s="1376">
        <v>6759</v>
      </c>
      <c r="X25" s="1376">
        <v>2030.6921468590576</v>
      </c>
      <c r="Y25" s="1382">
        <v>18866.581804432863</v>
      </c>
      <c r="Z25" s="51">
        <f>SUM(R25:Y25)</f>
        <v>31329.273951291922</v>
      </c>
      <c r="AA25" s="1431" t="s">
        <v>1820</v>
      </c>
      <c r="AB25" s="1431"/>
      <c r="AC25" s="1431"/>
      <c r="AD25" s="1431"/>
      <c r="AE25" s="1431"/>
      <c r="AF25" s="1431"/>
    </row>
    <row r="26" spans="1:32" s="10" customFormat="1" ht="28">
      <c r="A26" s="292" t="s">
        <v>366</v>
      </c>
      <c r="B26" s="463">
        <v>1316</v>
      </c>
      <c r="C26" s="463">
        <v>1089</v>
      </c>
      <c r="D26" s="463">
        <v>939</v>
      </c>
      <c r="E26" s="463">
        <v>947</v>
      </c>
      <c r="F26" s="463">
        <v>818</v>
      </c>
      <c r="G26" s="463">
        <v>581</v>
      </c>
      <c r="H26" s="463">
        <v>441</v>
      </c>
      <c r="I26" s="463">
        <v>575.5</v>
      </c>
      <c r="J26" s="463">
        <v>946.5</v>
      </c>
      <c r="K26" s="463">
        <v>1028</v>
      </c>
      <c r="L26" s="463">
        <v>753</v>
      </c>
      <c r="M26" s="463">
        <v>725</v>
      </c>
      <c r="N26" s="293">
        <f>AVERAGE(B26:M26)</f>
        <v>846.58333333333337</v>
      </c>
      <c r="O26" s="250"/>
      <c r="P26" s="251"/>
      <c r="Q26" s="251"/>
      <c r="R26" s="251"/>
      <c r="S26" s="251"/>
      <c r="T26" s="251"/>
      <c r="U26" s="51"/>
      <c r="V26" s="51"/>
      <c r="W26" s="51"/>
      <c r="X26" s="51"/>
      <c r="Y26" s="51"/>
      <c r="Z26" s="51"/>
      <c r="AA26" s="1360"/>
      <c r="AB26" s="1360" t="s">
        <v>1821</v>
      </c>
      <c r="AC26" s="1360" t="s">
        <v>1822</v>
      </c>
      <c r="AD26" s="1360" t="s">
        <v>1823</v>
      </c>
      <c r="AE26" s="1360" t="s">
        <v>1824</v>
      </c>
      <c r="AF26" s="1360" t="s">
        <v>1817</v>
      </c>
    </row>
    <row r="27" spans="1:32" s="10" customFormat="1">
      <c r="A27" s="314" t="s">
        <v>553</v>
      </c>
      <c r="B27" s="463">
        <v>1050</v>
      </c>
      <c r="C27" s="463">
        <v>915</v>
      </c>
      <c r="D27" s="463">
        <v>1077</v>
      </c>
      <c r="E27" s="463">
        <v>916</v>
      </c>
      <c r="F27" s="463">
        <v>975</v>
      </c>
      <c r="G27" s="463">
        <v>591</v>
      </c>
      <c r="H27" s="463">
        <v>549.5</v>
      </c>
      <c r="I27" s="463">
        <v>653.5</v>
      </c>
      <c r="J27" s="463">
        <v>623</v>
      </c>
      <c r="K27" s="463">
        <v>714</v>
      </c>
      <c r="L27" s="463">
        <v>1746</v>
      </c>
      <c r="M27" s="463">
        <v>885</v>
      </c>
      <c r="N27" s="293">
        <f>AVERAGE(B27:M27)</f>
        <v>891.25</v>
      </c>
      <c r="O27" s="250"/>
      <c r="P27" s="251"/>
      <c r="Q27" s="467"/>
      <c r="R27" s="467"/>
      <c r="S27" s="251"/>
      <c r="T27" s="685"/>
      <c r="U27" s="686"/>
      <c r="V27" s="686"/>
      <c r="W27" s="686"/>
      <c r="X27" s="51"/>
      <c r="Y27" s="51"/>
      <c r="Z27" s="51"/>
      <c r="AA27" s="1377">
        <v>2000</v>
      </c>
      <c r="AB27" s="1042">
        <v>3637</v>
      </c>
      <c r="AC27" s="1042">
        <f>AB27*0.25</f>
        <v>909.25</v>
      </c>
      <c r="AD27" s="1042">
        <v>1216</v>
      </c>
      <c r="AE27" s="1042">
        <f>AD27-AC27</f>
        <v>306.75</v>
      </c>
      <c r="AF27" s="1361">
        <f>AE27/AD27</f>
        <v>0.25226151315789475</v>
      </c>
    </row>
    <row r="28" spans="1:32" s="10" customFormat="1">
      <c r="A28" s="301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302"/>
      <c r="O28" s="250"/>
      <c r="P28" s="251"/>
      <c r="Q28" s="467"/>
      <c r="R28" s="467"/>
      <c r="S28" s="251"/>
      <c r="T28" s="251"/>
      <c r="U28" s="51"/>
      <c r="V28" s="51"/>
      <c r="W28" s="51"/>
      <c r="X28" s="51"/>
      <c r="Y28" s="51"/>
      <c r="Z28" s="51"/>
      <c r="AA28" s="1377">
        <v>2001</v>
      </c>
      <c r="AB28" s="1042">
        <v>2638</v>
      </c>
      <c r="AC28" s="1042">
        <f t="shared" ref="AC28:AC42" si="6">AB28*0.25</f>
        <v>659.5</v>
      </c>
      <c r="AD28" s="1042">
        <v>1542</v>
      </c>
      <c r="AE28" s="1042">
        <f t="shared" ref="AE28:AE42" si="7">AD28-AC28</f>
        <v>882.5</v>
      </c>
      <c r="AF28" s="1361">
        <f t="shared" ref="AF28:AF42" si="8">AE28/AD28</f>
        <v>0.57230869001297013</v>
      </c>
    </row>
    <row r="29" spans="1:32" s="10" customFormat="1">
      <c r="A29" s="295" t="s">
        <v>315</v>
      </c>
      <c r="B29" s="296" t="s">
        <v>68</v>
      </c>
      <c r="C29" s="296" t="s">
        <v>69</v>
      </c>
      <c r="D29" s="296" t="s">
        <v>70</v>
      </c>
      <c r="E29" s="296" t="s">
        <v>71</v>
      </c>
      <c r="F29" s="296" t="s">
        <v>72</v>
      </c>
      <c r="G29" s="296" t="s">
        <v>73</v>
      </c>
      <c r="H29" s="296" t="s">
        <v>74</v>
      </c>
      <c r="I29" s="296" t="s">
        <v>75</v>
      </c>
      <c r="J29" s="296" t="s">
        <v>76</v>
      </c>
      <c r="K29" s="296" t="s">
        <v>77</v>
      </c>
      <c r="L29" s="296" t="s">
        <v>78</v>
      </c>
      <c r="M29" s="296" t="s">
        <v>79</v>
      </c>
      <c r="N29" s="296" t="s">
        <v>276</v>
      </c>
      <c r="O29" s="250"/>
      <c r="P29" s="251"/>
      <c r="Q29" s="467"/>
      <c r="R29" s="467"/>
      <c r="S29" s="251"/>
      <c r="T29" s="251"/>
      <c r="U29" s="51"/>
      <c r="V29" s="51"/>
      <c r="W29" s="51"/>
      <c r="X29" s="51"/>
      <c r="Y29" s="51"/>
      <c r="Z29" s="51"/>
      <c r="AA29" s="1377">
        <v>2002</v>
      </c>
      <c r="AB29" s="1042">
        <v>2721.5</v>
      </c>
      <c r="AC29" s="1042">
        <f t="shared" si="6"/>
        <v>680.375</v>
      </c>
      <c r="AD29" s="1042">
        <v>442</v>
      </c>
      <c r="AE29" s="1042">
        <f t="shared" si="7"/>
        <v>-238.375</v>
      </c>
      <c r="AF29" s="1361">
        <v>0.02</v>
      </c>
    </row>
    <row r="30" spans="1:32" s="10" customFormat="1">
      <c r="A30" s="292" t="s">
        <v>367</v>
      </c>
      <c r="B30" s="252">
        <v>756</v>
      </c>
      <c r="C30" s="252">
        <v>855</v>
      </c>
      <c r="D30" s="252">
        <v>896</v>
      </c>
      <c r="E30" s="252">
        <v>571</v>
      </c>
      <c r="F30" s="252">
        <v>785</v>
      </c>
      <c r="G30" s="252">
        <v>529</v>
      </c>
      <c r="H30" s="252">
        <v>489.5</v>
      </c>
      <c r="I30" s="252">
        <v>451.5</v>
      </c>
      <c r="J30" s="252">
        <v>344.5</v>
      </c>
      <c r="K30" s="252">
        <v>471</v>
      </c>
      <c r="L30" s="252">
        <v>581</v>
      </c>
      <c r="M30" s="252">
        <v>892</v>
      </c>
      <c r="N30" s="293">
        <f>SUM(B30:M30)</f>
        <v>7621.5</v>
      </c>
      <c r="O30" s="250"/>
      <c r="P30" s="251"/>
      <c r="Q30" s="467"/>
      <c r="R30" s="467"/>
      <c r="S30" s="251"/>
      <c r="T30" s="251"/>
      <c r="U30" s="51"/>
      <c r="V30" s="51"/>
      <c r="W30" s="51"/>
      <c r="X30" s="51"/>
      <c r="Y30" s="51"/>
      <c r="Z30" s="51"/>
      <c r="AA30" s="1377">
        <v>2003</v>
      </c>
      <c r="AB30" s="1042">
        <v>4498.4600000000009</v>
      </c>
      <c r="AC30" s="1042">
        <f t="shared" si="6"/>
        <v>1124.6150000000002</v>
      </c>
      <c r="AD30" s="1042">
        <v>1687</v>
      </c>
      <c r="AE30" s="1042">
        <f t="shared" si="7"/>
        <v>562.38499999999976</v>
      </c>
      <c r="AF30" s="1361">
        <f t="shared" si="8"/>
        <v>0.33336395969176036</v>
      </c>
    </row>
    <row r="31" spans="1:32" s="10" customFormat="1">
      <c r="A31" s="292" t="s">
        <v>366</v>
      </c>
      <c r="B31" s="252">
        <f>B5*$B$14*B26</f>
        <v>1431.8624343660001</v>
      </c>
      <c r="C31" s="252">
        <f t="shared" ref="C31:M31" si="9">C5*$B$14*C26</f>
        <v>3581.0924085090001</v>
      </c>
      <c r="D31" s="252">
        <f t="shared" si="9"/>
        <v>3615.1429734630005</v>
      </c>
      <c r="E31" s="252">
        <f t="shared" si="9"/>
        <v>9511.155426780002</v>
      </c>
      <c r="F31" s="252">
        <f t="shared" si="9"/>
        <v>74624.572347990004</v>
      </c>
      <c r="G31" s="252">
        <f t="shared" si="9"/>
        <v>44234.956098900002</v>
      </c>
      <c r="H31" s="252">
        <f t="shared" si="9"/>
        <v>10556.177308677003</v>
      </c>
      <c r="I31" s="252">
        <f t="shared" si="9"/>
        <v>3853.3403365800004</v>
      </c>
      <c r="J31" s="252">
        <f t="shared" si="9"/>
        <v>1607.1498938105101</v>
      </c>
      <c r="K31" s="252">
        <f t="shared" si="9"/>
        <v>1330.3918083999765</v>
      </c>
      <c r="L31" s="252">
        <f t="shared" si="9"/>
        <v>853.85598417000006</v>
      </c>
      <c r="M31" s="252">
        <f t="shared" si="9"/>
        <v>3883.4707128000005</v>
      </c>
      <c r="N31" s="293">
        <f>SUM(B31:M31)</f>
        <v>159083.16773444548</v>
      </c>
      <c r="O31" s="250"/>
      <c r="P31" s="251"/>
      <c r="Q31" s="467"/>
      <c r="R31" s="467"/>
      <c r="S31" s="251"/>
      <c r="T31" s="251"/>
      <c r="U31" s="51"/>
      <c r="V31" s="51"/>
      <c r="W31" s="51"/>
      <c r="X31" s="51"/>
      <c r="Y31" s="51"/>
      <c r="Z31" s="51"/>
      <c r="AA31" s="1377">
        <v>2004</v>
      </c>
      <c r="AB31" s="1042">
        <v>1716.1</v>
      </c>
      <c r="AC31" s="1042">
        <f t="shared" si="6"/>
        <v>429.02499999999998</v>
      </c>
      <c r="AD31" s="1042">
        <v>2318</v>
      </c>
      <c r="AE31" s="1042">
        <f t="shared" si="7"/>
        <v>1888.9749999999999</v>
      </c>
      <c r="AF31" s="1361">
        <f t="shared" si="8"/>
        <v>0.81491587575496116</v>
      </c>
    </row>
    <row r="32" spans="1:32">
      <c r="A32" s="297" t="s">
        <v>89</v>
      </c>
      <c r="B32" s="464">
        <f>SUM(B30:B31)</f>
        <v>2187.8624343660003</v>
      </c>
      <c r="C32" s="464">
        <f t="shared" ref="C32:N32" si="10">SUM(C30:C31)</f>
        <v>4436.0924085090001</v>
      </c>
      <c r="D32" s="464">
        <f t="shared" si="10"/>
        <v>4511.1429734630001</v>
      </c>
      <c r="E32" s="464">
        <f t="shared" si="10"/>
        <v>10082.155426780002</v>
      </c>
      <c r="F32" s="464">
        <f t="shared" si="10"/>
        <v>75409.572347990004</v>
      </c>
      <c r="G32" s="464">
        <f t="shared" si="10"/>
        <v>44763.956098900002</v>
      </c>
      <c r="H32" s="464">
        <f t="shared" si="10"/>
        <v>11045.677308677003</v>
      </c>
      <c r="I32" s="464">
        <f t="shared" si="10"/>
        <v>4304.8403365800004</v>
      </c>
      <c r="J32" s="464">
        <f t="shared" si="10"/>
        <v>1951.6498938105101</v>
      </c>
      <c r="K32" s="464">
        <f t="shared" si="10"/>
        <v>1801.3918083999765</v>
      </c>
      <c r="L32" s="464">
        <f t="shared" si="10"/>
        <v>1434.8559841700001</v>
      </c>
      <c r="M32" s="464">
        <f t="shared" si="10"/>
        <v>4775.4707128000009</v>
      </c>
      <c r="N32" s="293">
        <f t="shared" si="10"/>
        <v>166704.66773444548</v>
      </c>
      <c r="O32" s="33"/>
      <c r="P32" s="251"/>
      <c r="Q32" s="467"/>
      <c r="R32" s="467"/>
      <c r="S32" s="251"/>
      <c r="T32" s="251"/>
      <c r="U32" s="51"/>
      <c r="V32" s="51"/>
      <c r="W32" s="51"/>
      <c r="X32" s="51"/>
      <c r="Y32" s="51"/>
      <c r="Z32" s="51"/>
      <c r="AA32" s="1377">
        <v>2005</v>
      </c>
      <c r="AB32" s="1042">
        <v>1993.63</v>
      </c>
      <c r="AC32" s="1042">
        <f t="shared" si="6"/>
        <v>498.40750000000003</v>
      </c>
      <c r="AD32" s="1042">
        <v>2795</v>
      </c>
      <c r="AE32" s="1042">
        <f t="shared" si="7"/>
        <v>2296.5924999999997</v>
      </c>
      <c r="AF32" s="1361">
        <f t="shared" si="8"/>
        <v>0.8216788908765652</v>
      </c>
    </row>
    <row r="33" spans="1:32">
      <c r="A33" s="301" t="s">
        <v>553</v>
      </c>
      <c r="B33" s="252">
        <f>B7*$B$14*B27</f>
        <v>3269.1458198700007</v>
      </c>
      <c r="C33" s="252">
        <f t="shared" ref="C33:M33" si="11">C7*$B$14*C27</f>
        <v>3008.906844615</v>
      </c>
      <c r="D33" s="252">
        <f t="shared" si="11"/>
        <v>5228.1224471070009</v>
      </c>
      <c r="E33" s="252">
        <f t="shared" si="11"/>
        <v>12909.408288840001</v>
      </c>
      <c r="F33" s="252">
        <f t="shared" si="11"/>
        <v>71321.111377425012</v>
      </c>
      <c r="G33" s="252">
        <f t="shared" si="11"/>
        <v>41741.262488520006</v>
      </c>
      <c r="H33" s="252">
        <f t="shared" si="11"/>
        <v>20419.858137231</v>
      </c>
      <c r="I33" s="252">
        <f t="shared" si="11"/>
        <v>6563.4002865900002</v>
      </c>
      <c r="J33" s="252">
        <f t="shared" si="11"/>
        <v>741.73132469997961</v>
      </c>
      <c r="K33" s="252">
        <f t="shared" si="11"/>
        <v>2522.6216873940598</v>
      </c>
      <c r="L33" s="252">
        <f t="shared" si="11"/>
        <v>1131.3470296800001</v>
      </c>
      <c r="M33" s="252">
        <f t="shared" si="11"/>
        <v>3259.1023611300006</v>
      </c>
      <c r="N33" s="302">
        <f>SUM(B33:M33)</f>
        <v>172116.01809310209</v>
      </c>
      <c r="O33" s="33"/>
      <c r="P33" s="251"/>
      <c r="Q33" s="467"/>
      <c r="R33" s="467"/>
      <c r="S33" s="251"/>
      <c r="T33" s="251"/>
      <c r="U33" s="51"/>
      <c r="V33" s="51"/>
      <c r="W33" s="51"/>
      <c r="X33" s="51"/>
      <c r="Y33" s="51"/>
      <c r="Z33" s="51"/>
      <c r="AA33" s="1377">
        <v>2006</v>
      </c>
      <c r="AB33" s="1042">
        <v>1544.82</v>
      </c>
      <c r="AC33" s="1042">
        <f t="shared" si="6"/>
        <v>386.20499999999998</v>
      </c>
      <c r="AD33" s="1042">
        <v>1016</v>
      </c>
      <c r="AE33" s="1042">
        <f t="shared" si="7"/>
        <v>629.79500000000007</v>
      </c>
      <c r="AF33" s="1361">
        <f t="shared" si="8"/>
        <v>0.61987696850393703</v>
      </c>
    </row>
    <row r="34" spans="1:32">
      <c r="A34" s="301" t="s">
        <v>556</v>
      </c>
      <c r="B34" s="466">
        <f>B32-B33</f>
        <v>-1081.2833855040003</v>
      </c>
      <c r="C34" s="466">
        <f t="shared" ref="C34:M34" si="12">C32-C33</f>
        <v>1427.1855638940001</v>
      </c>
      <c r="D34" s="466">
        <f t="shared" si="12"/>
        <v>-716.97947364400079</v>
      </c>
      <c r="E34" s="466">
        <f t="shared" si="12"/>
        <v>-2827.2528620599987</v>
      </c>
      <c r="F34" s="466">
        <f t="shared" si="12"/>
        <v>4088.4609705649927</v>
      </c>
      <c r="G34" s="466">
        <f t="shared" si="12"/>
        <v>3022.6936103799962</v>
      </c>
      <c r="H34" s="466">
        <f t="shared" si="12"/>
        <v>-9374.1808285539973</v>
      </c>
      <c r="I34" s="466">
        <f t="shared" si="12"/>
        <v>-2258.5599500099997</v>
      </c>
      <c r="J34" s="466">
        <f t="shared" si="12"/>
        <v>1209.9185691105304</v>
      </c>
      <c r="K34" s="466">
        <f t="shared" si="12"/>
        <v>-721.22987899408326</v>
      </c>
      <c r="L34" s="466">
        <f t="shared" si="12"/>
        <v>303.50895448999995</v>
      </c>
      <c r="M34" s="466">
        <f t="shared" si="12"/>
        <v>1516.3683516700003</v>
      </c>
      <c r="N34" s="302">
        <f>SUM(B34:M34)</f>
        <v>-5411.3503586565603</v>
      </c>
      <c r="O34" s="33"/>
      <c r="P34" s="251"/>
      <c r="Q34" s="467"/>
      <c r="R34" s="467"/>
      <c r="S34" s="251"/>
      <c r="T34" s="251"/>
      <c r="U34" s="51"/>
      <c r="V34" s="51"/>
      <c r="W34" s="51"/>
      <c r="X34" s="51"/>
      <c r="Y34" s="51"/>
      <c r="Z34" s="51"/>
      <c r="AA34" s="1377">
        <v>2007</v>
      </c>
      <c r="AB34" s="1042">
        <v>1871.82</v>
      </c>
      <c r="AC34" s="1042">
        <f t="shared" si="6"/>
        <v>467.95499999999998</v>
      </c>
      <c r="AD34" s="1042">
        <v>6357</v>
      </c>
      <c r="AE34" s="1042">
        <f t="shared" si="7"/>
        <v>5889.0450000000001</v>
      </c>
      <c r="AF34" s="1361">
        <f t="shared" si="8"/>
        <v>0.92638744690891928</v>
      </c>
    </row>
    <row r="35" spans="1:32">
      <c r="A35" s="314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33"/>
      <c r="P35" s="251"/>
      <c r="Q35" s="467"/>
      <c r="R35" s="467"/>
      <c r="S35" s="251"/>
      <c r="T35" s="251"/>
      <c r="U35" s="51"/>
      <c r="V35" s="51"/>
      <c r="W35" s="51"/>
      <c r="X35" s="51"/>
      <c r="Y35" s="51"/>
      <c r="Z35" s="51"/>
      <c r="AA35" s="1377">
        <v>2008</v>
      </c>
      <c r="AB35" s="1042">
        <v>1243.4000000000001</v>
      </c>
      <c r="AC35" s="1042">
        <f t="shared" si="6"/>
        <v>310.85000000000002</v>
      </c>
      <c r="AD35" s="1042">
        <v>1658</v>
      </c>
      <c r="AE35" s="1042">
        <f t="shared" si="7"/>
        <v>1347.15</v>
      </c>
      <c r="AF35" s="1361">
        <f t="shared" si="8"/>
        <v>0.81251507840772019</v>
      </c>
    </row>
    <row r="36" spans="1:32" s="10" customFormat="1">
      <c r="A36" s="315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51"/>
      <c r="P36" s="251"/>
      <c r="Q36" s="467"/>
      <c r="R36" s="467"/>
      <c r="S36" s="251"/>
      <c r="T36" s="251"/>
      <c r="U36" s="51"/>
      <c r="V36" s="51"/>
      <c r="W36" s="51"/>
      <c r="X36" s="51"/>
      <c r="Y36" s="51"/>
      <c r="Z36" s="51"/>
      <c r="AA36" s="1377">
        <v>2009</v>
      </c>
      <c r="AB36" s="1042">
        <v>1251.8000000000002</v>
      </c>
      <c r="AC36" s="1042">
        <f t="shared" si="6"/>
        <v>312.95000000000005</v>
      </c>
      <c r="AD36" s="1042">
        <v>2375</v>
      </c>
      <c r="AE36" s="1042">
        <f t="shared" si="7"/>
        <v>2062.0500000000002</v>
      </c>
      <c r="AF36" s="1361">
        <f t="shared" si="8"/>
        <v>0.86823157894736847</v>
      </c>
    </row>
    <row r="37" spans="1:32">
      <c r="A37" s="295" t="s">
        <v>66</v>
      </c>
      <c r="B37" s="290" t="s">
        <v>68</v>
      </c>
      <c r="C37" s="290" t="s">
        <v>69</v>
      </c>
      <c r="D37" s="290" t="s">
        <v>70</v>
      </c>
      <c r="E37" s="290" t="s">
        <v>71</v>
      </c>
      <c r="F37" s="290" t="s">
        <v>72</v>
      </c>
      <c r="G37" s="290" t="s">
        <v>73</v>
      </c>
      <c r="H37" s="290" t="s">
        <v>74</v>
      </c>
      <c r="I37" s="290" t="s">
        <v>75</v>
      </c>
      <c r="J37" s="290" t="s">
        <v>76</v>
      </c>
      <c r="K37" s="290" t="s">
        <v>77</v>
      </c>
      <c r="L37" s="290" t="s">
        <v>78</v>
      </c>
      <c r="M37" s="290" t="s">
        <v>79</v>
      </c>
      <c r="N37" s="296" t="s">
        <v>88</v>
      </c>
      <c r="O37" s="34"/>
      <c r="P37" s="694"/>
      <c r="Q37" s="695"/>
      <c r="R37" s="695"/>
      <c r="S37" s="51"/>
      <c r="T37" s="251"/>
      <c r="U37" s="51"/>
      <c r="V37" s="51"/>
      <c r="W37" s="51"/>
      <c r="X37" s="51"/>
      <c r="Y37" s="51"/>
      <c r="Z37" s="51"/>
      <c r="AA37" s="1377">
        <v>2010</v>
      </c>
      <c r="AB37" s="1042">
        <v>1121.4100000000001</v>
      </c>
      <c r="AC37" s="1042">
        <f t="shared" si="6"/>
        <v>280.35250000000002</v>
      </c>
      <c r="AD37" s="1042">
        <v>3654</v>
      </c>
      <c r="AE37" s="1042">
        <f t="shared" si="7"/>
        <v>3373.6475</v>
      </c>
      <c r="AF37" s="1361">
        <f t="shared" si="8"/>
        <v>0.92327517788724689</v>
      </c>
    </row>
    <row r="38" spans="1:32">
      <c r="A38" s="303" t="s">
        <v>116</v>
      </c>
      <c r="B38" s="461">
        <v>13</v>
      </c>
      <c r="C38" s="461">
        <v>8</v>
      </c>
      <c r="D38" s="461">
        <v>32</v>
      </c>
      <c r="E38" s="461">
        <v>66</v>
      </c>
      <c r="F38" s="461">
        <v>199</v>
      </c>
      <c r="G38" s="461">
        <v>78</v>
      </c>
      <c r="H38" s="461">
        <v>51.5</v>
      </c>
      <c r="I38" s="425">
        <v>143.5</v>
      </c>
      <c r="J38" s="425">
        <v>8</v>
      </c>
      <c r="K38" s="425">
        <v>7</v>
      </c>
      <c r="L38" s="461">
        <v>4</v>
      </c>
      <c r="M38" s="461">
        <v>2</v>
      </c>
      <c r="N38" s="304">
        <f>AVERAGE(B38:M38)</f>
        <v>51</v>
      </c>
      <c r="O38" s="35"/>
      <c r="P38" s="696"/>
      <c r="Q38" s="697"/>
      <c r="R38" s="697"/>
      <c r="S38" s="51"/>
      <c r="T38" s="251"/>
      <c r="U38" s="51"/>
      <c r="V38" s="51"/>
      <c r="W38" s="51"/>
      <c r="X38" s="51"/>
      <c r="Y38" s="51"/>
      <c r="Z38" s="51"/>
      <c r="AA38" s="1377">
        <v>2011</v>
      </c>
      <c r="AB38" s="1042">
        <v>909.31000000000006</v>
      </c>
      <c r="AC38" s="1042">
        <f t="shared" si="6"/>
        <v>227.32750000000001</v>
      </c>
      <c r="AD38" s="1042">
        <v>847</v>
      </c>
      <c r="AE38" s="1042">
        <f t="shared" si="7"/>
        <v>619.67250000000001</v>
      </c>
      <c r="AF38" s="1361">
        <f t="shared" si="8"/>
        <v>0.73160861865407323</v>
      </c>
    </row>
    <row r="39" spans="1:32">
      <c r="A39" s="303" t="s">
        <v>115</v>
      </c>
      <c r="B39" s="461">
        <v>22</v>
      </c>
      <c r="C39" s="461">
        <v>30</v>
      </c>
      <c r="D39" s="300">
        <v>47</v>
      </c>
      <c r="E39" s="461">
        <v>54</v>
      </c>
      <c r="F39" s="461">
        <v>83</v>
      </c>
      <c r="G39" s="461">
        <v>56</v>
      </c>
      <c r="H39" s="461">
        <v>51.5</v>
      </c>
      <c r="I39" s="461">
        <v>33</v>
      </c>
      <c r="J39" s="300">
        <v>78</v>
      </c>
      <c r="K39" s="300">
        <v>26</v>
      </c>
      <c r="L39" s="300">
        <v>2</v>
      </c>
      <c r="M39" s="300">
        <v>2</v>
      </c>
      <c r="N39" s="294">
        <f>AVERAGE(B39:M39)</f>
        <v>40.375</v>
      </c>
      <c r="O39" s="35"/>
      <c r="P39" s="696"/>
      <c r="Q39" s="697"/>
      <c r="R39" s="697"/>
      <c r="S39" s="51"/>
      <c r="T39" s="251"/>
      <c r="U39" s="51"/>
      <c r="V39" s="51"/>
      <c r="W39" s="51"/>
      <c r="X39" s="51"/>
      <c r="Y39" s="51"/>
      <c r="Z39" s="51"/>
      <c r="AA39" s="1377">
        <v>2012</v>
      </c>
      <c r="AB39" s="1042">
        <v>971.91999999999985</v>
      </c>
      <c r="AC39" s="1042">
        <f t="shared" si="6"/>
        <v>242.97999999999996</v>
      </c>
      <c r="AD39" s="1042">
        <v>634</v>
      </c>
      <c r="AE39" s="1042">
        <f t="shared" si="7"/>
        <v>391.02000000000004</v>
      </c>
      <c r="AF39" s="1361">
        <f t="shared" si="8"/>
        <v>0.61675078864353317</v>
      </c>
    </row>
    <row r="40" spans="1:32">
      <c r="A40" s="301" t="s">
        <v>553</v>
      </c>
      <c r="B40" s="461">
        <v>13</v>
      </c>
      <c r="C40" s="461">
        <v>17</v>
      </c>
      <c r="D40" s="300">
        <v>22</v>
      </c>
      <c r="E40" s="461">
        <v>46</v>
      </c>
      <c r="F40" s="461">
        <v>61</v>
      </c>
      <c r="G40" s="461">
        <v>42</v>
      </c>
      <c r="H40" s="461">
        <v>38</v>
      </c>
      <c r="I40" s="461">
        <v>34</v>
      </c>
      <c r="J40" s="300">
        <v>46</v>
      </c>
      <c r="K40" s="300">
        <v>38</v>
      </c>
      <c r="L40" s="300">
        <v>76</v>
      </c>
      <c r="M40" s="300">
        <v>13</v>
      </c>
      <c r="N40" s="294">
        <f>AVERAGE(B40:M40)</f>
        <v>37.166666666666664</v>
      </c>
      <c r="O40" s="35"/>
      <c r="P40" s="696"/>
      <c r="Q40" s="697"/>
      <c r="R40" s="697"/>
      <c r="S40" s="51"/>
      <c r="T40" s="251"/>
      <c r="U40" s="51"/>
      <c r="V40" s="51"/>
      <c r="W40" s="51"/>
      <c r="X40" s="51"/>
      <c r="Y40" s="51"/>
      <c r="Z40" s="51"/>
      <c r="AA40" s="1377">
        <v>2013</v>
      </c>
      <c r="AB40" s="1042">
        <v>1138.01</v>
      </c>
      <c r="AC40" s="1042">
        <f t="shared" si="6"/>
        <v>284.5025</v>
      </c>
      <c r="AD40" s="1042">
        <v>16006</v>
      </c>
      <c r="AE40" s="1042">
        <f t="shared" si="7"/>
        <v>15721.497499999999</v>
      </c>
      <c r="AF40" s="1361">
        <f t="shared" si="8"/>
        <v>0.98222525927777082</v>
      </c>
    </row>
    <row r="41" spans="1:32">
      <c r="A41" s="222"/>
      <c r="B41" s="222"/>
      <c r="C41" s="222"/>
      <c r="D41" s="222"/>
      <c r="E41" s="222"/>
      <c r="F41" s="222"/>
      <c r="G41" s="222"/>
      <c r="H41" s="222"/>
      <c r="I41" s="222"/>
      <c r="J41" s="222">
        <v>119</v>
      </c>
      <c r="K41" s="222"/>
      <c r="L41" s="222"/>
      <c r="M41" s="222"/>
      <c r="N41" s="222"/>
      <c r="O41" s="28"/>
      <c r="P41" s="251"/>
      <c r="Q41" s="467"/>
      <c r="R41" s="467"/>
      <c r="S41" s="251"/>
      <c r="T41" s="251"/>
      <c r="U41" s="51"/>
      <c r="V41" s="51"/>
      <c r="W41" s="51"/>
      <c r="X41" s="51"/>
      <c r="Y41" s="51"/>
      <c r="Z41" s="51"/>
      <c r="AA41" s="1377">
        <v>2014</v>
      </c>
      <c r="AB41" s="1042">
        <v>1075.79</v>
      </c>
      <c r="AC41" s="1042">
        <f t="shared" si="6"/>
        <v>268.94749999999999</v>
      </c>
      <c r="AD41" s="1042">
        <v>4010</v>
      </c>
      <c r="AE41" s="1042">
        <f t="shared" si="7"/>
        <v>3741.0524999999998</v>
      </c>
      <c r="AF41" s="1361">
        <f t="shared" si="8"/>
        <v>0.93293079800498746</v>
      </c>
    </row>
    <row r="42" spans="1:32">
      <c r="A42" s="295" t="s">
        <v>113</v>
      </c>
      <c r="B42" s="296" t="s">
        <v>68</v>
      </c>
      <c r="C42" s="296" t="s">
        <v>69</v>
      </c>
      <c r="D42" s="296" t="s">
        <v>70</v>
      </c>
      <c r="E42" s="296" t="s">
        <v>71</v>
      </c>
      <c r="F42" s="296" t="s">
        <v>72</v>
      </c>
      <c r="G42" s="296" t="s">
        <v>73</v>
      </c>
      <c r="H42" s="296" t="s">
        <v>74</v>
      </c>
      <c r="I42" s="296" t="s">
        <v>75</v>
      </c>
      <c r="J42" s="296" t="s">
        <v>76</v>
      </c>
      <c r="K42" s="296" t="s">
        <v>77</v>
      </c>
      <c r="L42" s="296" t="s">
        <v>78</v>
      </c>
      <c r="M42" s="296" t="s">
        <v>79</v>
      </c>
      <c r="N42" s="296" t="s">
        <v>276</v>
      </c>
      <c r="O42" s="28"/>
      <c r="P42" s="251"/>
      <c r="Q42" s="467"/>
      <c r="R42" s="467"/>
      <c r="S42" s="251"/>
      <c r="T42" s="251"/>
      <c r="U42" s="51"/>
      <c r="V42" s="51"/>
      <c r="W42" s="51"/>
      <c r="X42" s="51"/>
      <c r="Y42" s="51"/>
      <c r="Z42" s="51"/>
      <c r="AA42" s="1378">
        <v>2015</v>
      </c>
      <c r="AB42" s="1042">
        <v>1235.1799999999998</v>
      </c>
      <c r="AC42" s="1042">
        <f t="shared" si="6"/>
        <v>308.79499999999996</v>
      </c>
      <c r="AD42" s="1042">
        <v>29186</v>
      </c>
      <c r="AE42" s="1042">
        <f t="shared" si="7"/>
        <v>28877.205000000002</v>
      </c>
      <c r="AF42" s="1361">
        <f t="shared" si="8"/>
        <v>0.98941975604742005</v>
      </c>
    </row>
    <row r="43" spans="1:32">
      <c r="A43" s="292" t="s">
        <v>367</v>
      </c>
      <c r="B43" s="287">
        <f t="shared" ref="B43:M43" si="13">B38*$B$14*B4</f>
        <v>5.3966851629599999</v>
      </c>
      <c r="C43" s="287">
        <f t="shared" si="13"/>
        <v>2.95644867168</v>
      </c>
      <c r="D43" s="287">
        <f t="shared" si="13"/>
        <v>16.765880456639998</v>
      </c>
      <c r="E43" s="287">
        <f t="shared" si="13"/>
        <v>445.83237329400009</v>
      </c>
      <c r="F43" s="287">
        <f t="shared" si="13"/>
        <v>11991.88973556</v>
      </c>
      <c r="G43" s="287">
        <f t="shared" si="13"/>
        <v>1870.0272208800002</v>
      </c>
      <c r="H43" s="287">
        <f t="shared" si="13"/>
        <v>198.27461462550005</v>
      </c>
      <c r="I43" s="287">
        <f t="shared" si="13"/>
        <v>134.63549375183251</v>
      </c>
      <c r="J43" s="287">
        <f t="shared" si="13"/>
        <v>0.98490692160000015</v>
      </c>
      <c r="K43" s="287">
        <f t="shared" si="13"/>
        <v>1.8747789648000006</v>
      </c>
      <c r="L43" s="287">
        <f t="shared" si="13"/>
        <v>0.32398254000000004</v>
      </c>
      <c r="M43" s="287">
        <f t="shared" si="13"/>
        <v>1.0713022656000002</v>
      </c>
      <c r="N43" s="293">
        <f>SUM(B43:M43)</f>
        <v>14670.033423094612</v>
      </c>
      <c r="O43" s="28"/>
      <c r="P43" s="251"/>
      <c r="Q43" s="698"/>
      <c r="R43" s="467"/>
      <c r="S43" s="251"/>
      <c r="T43" s="251"/>
      <c r="U43" s="51"/>
      <c r="V43" s="51"/>
      <c r="W43" s="51"/>
      <c r="X43" s="51"/>
      <c r="Y43" s="51"/>
      <c r="Z43" s="51"/>
      <c r="AA43" s="1362" t="s">
        <v>1312</v>
      </c>
      <c r="AB43" s="1363">
        <f>MEDIAN(AB27:AB42)</f>
        <v>1398.31</v>
      </c>
      <c r="AC43" s="1363">
        <f t="shared" ref="AC43:AF43" si="14">MEDIAN(AC27:AC42)</f>
        <v>349.57749999999999</v>
      </c>
      <c r="AD43" s="1363">
        <f t="shared" si="14"/>
        <v>2002.5</v>
      </c>
      <c r="AE43" s="1363">
        <f t="shared" si="14"/>
        <v>1618.0625</v>
      </c>
      <c r="AF43" s="614">
        <f t="shared" si="14"/>
        <v>0.81371547708134062</v>
      </c>
    </row>
    <row r="44" spans="1:32">
      <c r="A44" s="292" t="s">
        <v>366</v>
      </c>
      <c r="B44" s="286">
        <f t="shared" ref="B44:M44" si="15">B39*$B$14*B5</f>
        <v>23.936909997000001</v>
      </c>
      <c r="C44" s="286">
        <f t="shared" si="15"/>
        <v>98.652683429999996</v>
      </c>
      <c r="D44" s="286">
        <f t="shared" si="15"/>
        <v>180.94964829900005</v>
      </c>
      <c r="E44" s="286">
        <f t="shared" si="15"/>
        <v>542.34677196000007</v>
      </c>
      <c r="F44" s="286">
        <f t="shared" si="15"/>
        <v>7571.930935065001</v>
      </c>
      <c r="G44" s="286">
        <f t="shared" si="15"/>
        <v>4263.6102264000001</v>
      </c>
      <c r="H44" s="286">
        <f t="shared" si="15"/>
        <v>1232.7508648455002</v>
      </c>
      <c r="I44" s="286">
        <f t="shared" si="15"/>
        <v>220.95609228000004</v>
      </c>
      <c r="J44" s="286">
        <f>(J39*$B$14*J5)+J48</f>
        <v>334.50452095157999</v>
      </c>
      <c r="K44" s="286">
        <f t="shared" si="15"/>
        <v>33.64804184669201</v>
      </c>
      <c r="L44" s="286">
        <f t="shared" si="15"/>
        <v>2.2678777800000001</v>
      </c>
      <c r="M44" s="286">
        <f t="shared" si="15"/>
        <v>10.713022656000001</v>
      </c>
      <c r="N44" s="293">
        <f>SUM(B44:M44)</f>
        <v>14516.267595510772</v>
      </c>
      <c r="O44" s="28"/>
      <c r="P44" s="251"/>
      <c r="Q44" s="698"/>
      <c r="R44" s="467"/>
      <c r="S44" s="251"/>
      <c r="T44" s="251"/>
      <c r="U44" s="51"/>
      <c r="V44" s="51"/>
      <c r="W44" s="51"/>
      <c r="X44" s="51"/>
      <c r="Y44" s="51"/>
      <c r="Z44" s="51"/>
      <c r="AA44" s="1364" t="s">
        <v>16</v>
      </c>
      <c r="AB44" s="1376">
        <f>AVERAGE(AB27:AB42)</f>
        <v>1848.0093750000001</v>
      </c>
      <c r="AC44" s="1376">
        <f t="shared" ref="AC44:AF44" si="16">AVERAGE(AC27:AC42)</f>
        <v>462.00234375000002</v>
      </c>
      <c r="AD44" s="1376">
        <f t="shared" si="16"/>
        <v>4733.9375</v>
      </c>
      <c r="AE44" s="1376">
        <f t="shared" si="16"/>
        <v>4271.9351562499996</v>
      </c>
      <c r="AF44" s="1379">
        <f t="shared" si="16"/>
        <v>0.70110940004857036</v>
      </c>
    </row>
    <row r="45" spans="1:32">
      <c r="A45" s="297" t="s">
        <v>89</v>
      </c>
      <c r="B45" s="305">
        <f>SUM(B43:B44)</f>
        <v>29.333595159960002</v>
      </c>
      <c r="C45" s="305">
        <f t="shared" ref="C45:M45" si="17">SUM(C43:C44)</f>
        <v>101.60913210167999</v>
      </c>
      <c r="D45" s="305">
        <f t="shared" si="17"/>
        <v>197.71552875564004</v>
      </c>
      <c r="E45" s="305">
        <f t="shared" si="17"/>
        <v>988.1791452540001</v>
      </c>
      <c r="F45" s="305">
        <f t="shared" si="17"/>
        <v>19563.820670625002</v>
      </c>
      <c r="G45" s="305">
        <f t="shared" si="17"/>
        <v>6133.6374472799998</v>
      </c>
      <c r="H45" s="305">
        <f t="shared" si="17"/>
        <v>1431.0254794710004</v>
      </c>
      <c r="I45" s="305">
        <f t="shared" si="17"/>
        <v>355.59158603183255</v>
      </c>
      <c r="J45" s="305">
        <f>SUM(J43:J44)</f>
        <v>335.48942787317998</v>
      </c>
      <c r="K45" s="305">
        <f t="shared" si="17"/>
        <v>35.522820811492011</v>
      </c>
      <c r="L45" s="305">
        <f t="shared" si="17"/>
        <v>2.5918603200000003</v>
      </c>
      <c r="M45" s="305">
        <f t="shared" si="17"/>
        <v>11.784324921600001</v>
      </c>
      <c r="N45" s="293">
        <f>SUM(N43:N44)</f>
        <v>29186.301018605383</v>
      </c>
      <c r="O45" s="28"/>
      <c r="P45" s="251"/>
      <c r="Q45" s="54"/>
      <c r="R45" s="1432" t="s">
        <v>1819</v>
      </c>
      <c r="S45" s="1432"/>
      <c r="T45" s="1432"/>
      <c r="U45" s="1432"/>
      <c r="V45" s="51"/>
      <c r="W45" s="51"/>
      <c r="X45" s="51"/>
      <c r="Y45" s="51"/>
      <c r="Z45" s="51"/>
      <c r="AA45" s="51"/>
      <c r="AB45" s="51"/>
    </row>
    <row r="46" spans="1:32">
      <c r="A46" s="301" t="s">
        <v>553</v>
      </c>
      <c r="B46" s="286">
        <f t="shared" ref="B46:M46" si="18">B40*$B$14*B7</f>
        <v>40.475138722200008</v>
      </c>
      <c r="C46" s="286">
        <f t="shared" si="18"/>
        <v>55.903187277000001</v>
      </c>
      <c r="D46" s="286">
        <f t="shared" si="18"/>
        <v>106.795444602</v>
      </c>
      <c r="E46" s="286">
        <f t="shared" si="18"/>
        <v>648.28906254000003</v>
      </c>
      <c r="F46" s="286">
        <f t="shared" si="18"/>
        <v>4462.1413272030004</v>
      </c>
      <c r="G46" s="286">
        <f t="shared" si="18"/>
        <v>2966.3841362400008</v>
      </c>
      <c r="H46" s="286">
        <f t="shared" si="18"/>
        <v>1412.110298844</v>
      </c>
      <c r="I46" s="286">
        <f t="shared" si="18"/>
        <v>341.47759716000007</v>
      </c>
      <c r="J46" s="286">
        <f t="shared" si="18"/>
        <v>54.766678870303473</v>
      </c>
      <c r="K46" s="286">
        <f t="shared" si="18"/>
        <v>134.25717664001999</v>
      </c>
      <c r="L46" s="286">
        <f t="shared" si="18"/>
        <v>49.245346080000004</v>
      </c>
      <c r="M46" s="286">
        <f t="shared" si="18"/>
        <v>47.873819994000009</v>
      </c>
      <c r="N46" s="302">
        <f>SUM(B46:M46)</f>
        <v>10319.719214172523</v>
      </c>
      <c r="O46" s="28"/>
      <c r="P46" s="251"/>
      <c r="Q46" s="1375"/>
      <c r="R46" s="1121" t="s">
        <v>1814</v>
      </c>
      <c r="S46" s="1120" t="s">
        <v>1815</v>
      </c>
      <c r="T46" s="1120" t="s">
        <v>1816</v>
      </c>
      <c r="U46" s="1365" t="s">
        <v>1817</v>
      </c>
      <c r="V46" s="51"/>
      <c r="W46" s="51"/>
      <c r="X46" s="51"/>
      <c r="Y46" s="51"/>
      <c r="Z46" s="51"/>
      <c r="AA46" s="51"/>
      <c r="AB46" s="51"/>
    </row>
    <row r="47" spans="1:32">
      <c r="A47" s="301" t="s">
        <v>557</v>
      </c>
      <c r="B47" s="286">
        <f>B45-B46</f>
        <v>-11.141543562240006</v>
      </c>
      <c r="C47" s="286">
        <f t="shared" ref="C47:M47" si="19">C45-C46</f>
        <v>45.705944824679989</v>
      </c>
      <c r="D47" s="286">
        <f t="shared" si="19"/>
        <v>90.920084153640033</v>
      </c>
      <c r="E47" s="286">
        <f t="shared" si="19"/>
        <v>339.89008271400007</v>
      </c>
      <c r="F47" s="286">
        <f t="shared" si="19"/>
        <v>15101.679343422002</v>
      </c>
      <c r="G47" s="286">
        <f t="shared" si="19"/>
        <v>3167.2533110399991</v>
      </c>
      <c r="H47" s="286">
        <f t="shared" si="19"/>
        <v>18.915180627000382</v>
      </c>
      <c r="I47" s="286">
        <f t="shared" si="19"/>
        <v>14.113988871832476</v>
      </c>
      <c r="J47" s="286">
        <f t="shared" si="19"/>
        <v>280.72274900287653</v>
      </c>
      <c r="K47" s="286">
        <f t="shared" si="19"/>
        <v>-98.734355828527981</v>
      </c>
      <c r="L47" s="286">
        <f t="shared" si="19"/>
        <v>-46.653485760000002</v>
      </c>
      <c r="M47" s="286">
        <f t="shared" si="19"/>
        <v>-36.089495072400005</v>
      </c>
      <c r="N47" s="302">
        <f>SUM(B47:M47)</f>
        <v>18866.581804432863</v>
      </c>
      <c r="O47" s="28"/>
      <c r="P47" s="251"/>
      <c r="Q47" s="1371" t="s">
        <v>519</v>
      </c>
      <c r="R47" s="1366">
        <v>14670.033423094612</v>
      </c>
      <c r="S47" s="1368">
        <v>15</v>
      </c>
      <c r="T47" s="1368">
        <f>R47-S47</f>
        <v>14655.033423094612</v>
      </c>
      <c r="U47" s="1369">
        <f>T47/R47</f>
        <v>0.99897750744204949</v>
      </c>
      <c r="V47" s="51"/>
      <c r="W47" s="51"/>
      <c r="X47" s="51"/>
      <c r="Y47" s="51"/>
      <c r="Z47" s="51"/>
      <c r="AA47" s="51"/>
      <c r="AB47" s="51"/>
    </row>
    <row r="48" spans="1:32">
      <c r="A48" s="314"/>
      <c r="B48" s="312"/>
      <c r="C48" s="312"/>
      <c r="D48" s="312"/>
      <c r="E48" s="312"/>
      <c r="F48" s="312"/>
      <c r="G48" s="312"/>
      <c r="H48" s="312"/>
      <c r="I48" s="312"/>
      <c r="J48" s="312">
        <f>J41*$B$14*J5</f>
        <v>202.06110656466001</v>
      </c>
      <c r="K48" s="312"/>
      <c r="L48" s="312"/>
      <c r="M48" s="312"/>
      <c r="N48" s="299"/>
      <c r="O48" s="28"/>
      <c r="P48" s="251"/>
      <c r="Q48" s="1371" t="s">
        <v>518</v>
      </c>
      <c r="R48" s="1366">
        <v>14516.267595510772</v>
      </c>
      <c r="S48" s="1368">
        <v>1220</v>
      </c>
      <c r="T48" s="1368">
        <f t="shared" ref="T48:T49" si="20">R48-S48</f>
        <v>13296.267595510772</v>
      </c>
      <c r="U48" s="1369">
        <f t="shared" ref="U48:U49" si="21">T48/R48</f>
        <v>0.91595635779149653</v>
      </c>
      <c r="V48" s="51"/>
      <c r="W48" s="51"/>
      <c r="X48" s="51"/>
      <c r="Y48" s="51"/>
      <c r="Z48" s="51"/>
      <c r="AA48" s="51"/>
      <c r="AB48" s="51"/>
    </row>
    <row r="49" spans="1:28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99"/>
      <c r="O49" s="33"/>
      <c r="P49" s="251"/>
      <c r="Q49" s="1372" t="s">
        <v>1818</v>
      </c>
      <c r="R49" s="1366">
        <v>29186.301018605383</v>
      </c>
      <c r="S49" s="1368">
        <f>SUM(S47:S48)</f>
        <v>1235</v>
      </c>
      <c r="T49" s="1368">
        <f t="shared" si="20"/>
        <v>27951.301018605383</v>
      </c>
      <c r="U49" s="1369">
        <f t="shared" si="21"/>
        <v>0.95768562795221213</v>
      </c>
      <c r="V49" s="51"/>
      <c r="W49" s="51"/>
      <c r="X49" s="51"/>
      <c r="Y49" s="51"/>
      <c r="Z49" s="51"/>
      <c r="AA49" s="51"/>
      <c r="AB49" s="51"/>
    </row>
    <row r="50" spans="1:28">
      <c r="A50" s="306" t="s">
        <v>64</v>
      </c>
      <c r="B50" s="307" t="s">
        <v>68</v>
      </c>
      <c r="C50" s="307" t="s">
        <v>69</v>
      </c>
      <c r="D50" s="307" t="s">
        <v>70</v>
      </c>
      <c r="E50" s="307" t="s">
        <v>71</v>
      </c>
      <c r="F50" s="307" t="s">
        <v>72</v>
      </c>
      <c r="G50" s="307" t="s">
        <v>73</v>
      </c>
      <c r="H50" s="307" t="s">
        <v>74</v>
      </c>
      <c r="I50" s="307" t="s">
        <v>75</v>
      </c>
      <c r="J50" s="307" t="s">
        <v>76</v>
      </c>
      <c r="K50" s="307" t="s">
        <v>77</v>
      </c>
      <c r="L50" s="307" t="s">
        <v>78</v>
      </c>
      <c r="M50" s="307" t="s">
        <v>79</v>
      </c>
      <c r="N50" s="296" t="s">
        <v>88</v>
      </c>
      <c r="O50" s="31"/>
      <c r="P50" s="688"/>
      <c r="Q50" s="1373" t="s">
        <v>553</v>
      </c>
      <c r="R50" s="1366">
        <v>10319.719214172523</v>
      </c>
      <c r="S50" s="1370"/>
      <c r="T50" s="1370"/>
      <c r="U50" s="1370"/>
      <c r="V50" s="51"/>
      <c r="W50" s="51"/>
      <c r="X50" s="51"/>
      <c r="Y50" s="51"/>
      <c r="Z50" s="51"/>
      <c r="AA50" s="51"/>
      <c r="AB50" s="51"/>
    </row>
    <row r="51" spans="1:28">
      <c r="A51" s="292" t="s">
        <v>367</v>
      </c>
      <c r="B51" s="252">
        <v>11.5</v>
      </c>
      <c r="C51" s="252">
        <v>4</v>
      </c>
      <c r="D51" s="252">
        <v>10.4</v>
      </c>
      <c r="E51" s="252">
        <v>20.3</v>
      </c>
      <c r="F51" s="252">
        <v>138</v>
      </c>
      <c r="G51" s="252">
        <v>28.6</v>
      </c>
      <c r="H51" s="252">
        <v>19.7</v>
      </c>
      <c r="I51" s="252">
        <v>58.400000000000006</v>
      </c>
      <c r="J51" s="252">
        <v>47.2</v>
      </c>
      <c r="K51" s="252">
        <v>6.8</v>
      </c>
      <c r="L51" s="252">
        <v>4</v>
      </c>
      <c r="M51" s="252">
        <v>4</v>
      </c>
      <c r="N51" s="294">
        <f>AVERAGE(B51:M51)</f>
        <v>29.408333333333331</v>
      </c>
      <c r="O51" s="36"/>
      <c r="P51" s="689"/>
      <c r="Q51" s="1374" t="s">
        <v>557</v>
      </c>
      <c r="R51" s="1367">
        <v>18866.581804432863</v>
      </c>
      <c r="S51" s="1370"/>
      <c r="T51" s="1370"/>
      <c r="U51" s="1370"/>
      <c r="V51" s="51"/>
      <c r="W51" s="51"/>
      <c r="X51" s="51"/>
      <c r="Y51" s="51"/>
      <c r="Z51" s="51"/>
      <c r="AA51" s="51"/>
      <c r="AB51" s="51"/>
    </row>
    <row r="52" spans="1:28">
      <c r="A52" s="292" t="s">
        <v>366</v>
      </c>
      <c r="B52" s="252">
        <v>4</v>
      </c>
      <c r="C52" s="252">
        <v>4</v>
      </c>
      <c r="D52" s="252">
        <v>16.399999999999999</v>
      </c>
      <c r="E52" s="252">
        <v>67.7</v>
      </c>
      <c r="F52" s="252">
        <v>41.2</v>
      </c>
      <c r="G52" s="252">
        <v>19.3</v>
      </c>
      <c r="H52" s="252">
        <v>25.9</v>
      </c>
      <c r="I52" s="252">
        <v>12.799999999999999</v>
      </c>
      <c r="J52" s="252">
        <v>5.4</v>
      </c>
      <c r="K52" s="252">
        <v>4</v>
      </c>
      <c r="L52" s="252">
        <v>4</v>
      </c>
      <c r="M52" s="252">
        <v>4</v>
      </c>
      <c r="N52" s="294">
        <f>AVERAGE(B52:M52)</f>
        <v>17.391666666666669</v>
      </c>
      <c r="O52" s="37"/>
      <c r="P52" s="689"/>
      <c r="Q52" s="699"/>
      <c r="R52" s="699"/>
      <c r="S52" s="51"/>
      <c r="T52" s="251"/>
      <c r="U52" s="51"/>
      <c r="V52" s="51"/>
      <c r="W52" s="51"/>
      <c r="X52" s="51"/>
      <c r="Y52" s="51"/>
      <c r="Z52" s="51"/>
      <c r="AA52" s="51"/>
      <c r="AB52" s="51"/>
    </row>
    <row r="53" spans="1:28">
      <c r="A53" s="301" t="s">
        <v>553</v>
      </c>
      <c r="B53" s="252">
        <v>4</v>
      </c>
      <c r="C53" s="252">
        <v>4</v>
      </c>
      <c r="D53" s="252">
        <v>6.1</v>
      </c>
      <c r="E53" s="252">
        <v>12.6</v>
      </c>
      <c r="F53" s="252">
        <v>9.5</v>
      </c>
      <c r="G53" s="252">
        <v>4</v>
      </c>
      <c r="H53" s="252">
        <v>7.3999999999999995</v>
      </c>
      <c r="I53" s="252">
        <v>10.199999999999999</v>
      </c>
      <c r="J53" s="252">
        <v>9.6999999999999993</v>
      </c>
      <c r="K53" s="252">
        <v>12.6</v>
      </c>
      <c r="L53" s="252">
        <v>18</v>
      </c>
      <c r="M53" s="252">
        <v>4</v>
      </c>
      <c r="N53" s="316">
        <f>AVERAGE(B53:M53)</f>
        <v>8.5083333333333329</v>
      </c>
      <c r="O53" s="37"/>
      <c r="P53" s="689"/>
      <c r="Q53" s="699"/>
      <c r="R53" s="1385">
        <f>R51/R49</f>
        <v>0.64641907833424961</v>
      </c>
      <c r="S53" s="51"/>
      <c r="T53" s="251"/>
      <c r="U53" s="51"/>
      <c r="V53" s="51"/>
      <c r="W53" s="51"/>
      <c r="X53" s="51"/>
      <c r="Y53" s="51"/>
      <c r="Z53" s="51"/>
      <c r="AA53" s="51"/>
      <c r="AB53" s="51"/>
    </row>
    <row r="54" spans="1:28">
      <c r="A54" s="314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7"/>
      <c r="O54" s="37"/>
      <c r="P54" s="689"/>
      <c r="Q54" s="699"/>
      <c r="R54" s="699"/>
      <c r="S54" s="51"/>
      <c r="T54" s="251"/>
      <c r="U54" s="51"/>
      <c r="V54" s="51"/>
      <c r="W54" s="51"/>
      <c r="X54" s="51"/>
      <c r="Y54" s="51"/>
      <c r="Z54" s="51"/>
      <c r="AA54" s="51"/>
      <c r="AB54" s="51"/>
    </row>
    <row r="55" spans="1:28">
      <c r="A55" s="314"/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7"/>
      <c r="O55" s="37"/>
      <c r="P55" s="689"/>
      <c r="Q55" s="699"/>
      <c r="R55" s="699"/>
      <c r="S55" s="51"/>
      <c r="T55" s="251"/>
      <c r="U55" s="51"/>
      <c r="V55" s="51"/>
      <c r="W55" s="51"/>
      <c r="X55" s="51"/>
      <c r="Y55" s="51"/>
      <c r="Z55" s="51"/>
      <c r="AA55" s="51"/>
      <c r="AB55" s="51"/>
    </row>
    <row r="56" spans="1:28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308"/>
      <c r="O56" s="28"/>
      <c r="P56" s="251"/>
      <c r="Q56" s="467"/>
      <c r="R56" s="467"/>
      <c r="S56" s="251"/>
      <c r="T56" s="251"/>
      <c r="U56" s="51"/>
      <c r="V56" s="51"/>
      <c r="W56" s="51"/>
      <c r="X56" s="51"/>
      <c r="Y56" s="51"/>
      <c r="Z56" s="51"/>
      <c r="AA56" s="51"/>
      <c r="AB56" s="51"/>
    </row>
    <row r="57" spans="1:28">
      <c r="A57" s="306" t="s">
        <v>112</v>
      </c>
      <c r="B57" s="296" t="s">
        <v>68</v>
      </c>
      <c r="C57" s="296" t="s">
        <v>69</v>
      </c>
      <c r="D57" s="296" t="s">
        <v>70</v>
      </c>
      <c r="E57" s="296" t="s">
        <v>71</v>
      </c>
      <c r="F57" s="296" t="s">
        <v>72</v>
      </c>
      <c r="G57" s="296" t="s">
        <v>73</v>
      </c>
      <c r="H57" s="296" t="s">
        <v>74</v>
      </c>
      <c r="I57" s="296" t="s">
        <v>75</v>
      </c>
      <c r="J57" s="296" t="s">
        <v>76</v>
      </c>
      <c r="K57" s="296" t="s">
        <v>77</v>
      </c>
      <c r="L57" s="296" t="s">
        <v>78</v>
      </c>
      <c r="M57" s="296" t="s">
        <v>79</v>
      </c>
      <c r="N57" s="294" t="s">
        <v>276</v>
      </c>
      <c r="O57" s="28"/>
      <c r="P57" s="251"/>
      <c r="Q57" s="467"/>
      <c r="R57" s="467"/>
      <c r="S57" s="251"/>
      <c r="T57" s="251"/>
      <c r="U57" s="51"/>
      <c r="V57" s="51"/>
      <c r="W57" s="51"/>
      <c r="X57" s="51"/>
      <c r="Y57" s="51"/>
      <c r="Z57" s="51"/>
      <c r="AA57" s="51"/>
      <c r="AB57" s="51"/>
    </row>
    <row r="58" spans="1:28">
      <c r="A58" s="292" t="s">
        <v>367</v>
      </c>
      <c r="B58" s="309">
        <f>B51*$B$14*B4*1000</f>
        <v>4773.9907210799993</v>
      </c>
      <c r="C58" s="309">
        <f t="shared" ref="C58:M58" si="22">C51*$B$14*C4*1000</f>
        <v>1478.2243358400001</v>
      </c>
      <c r="D58" s="309">
        <f t="shared" si="22"/>
        <v>5448.9111484080004</v>
      </c>
      <c r="E58" s="309">
        <f t="shared" si="22"/>
        <v>137127.22996770003</v>
      </c>
      <c r="F58" s="309">
        <f t="shared" si="22"/>
        <v>8315983.8367199991</v>
      </c>
      <c r="G58" s="309">
        <f t="shared" si="22"/>
        <v>685676.6476560001</v>
      </c>
      <c r="H58" s="309">
        <f t="shared" si="22"/>
        <v>75844.852584900014</v>
      </c>
      <c r="I58" s="309">
        <f t="shared" si="22"/>
        <v>54792.423938028012</v>
      </c>
      <c r="J58" s="309">
        <f t="shared" si="22"/>
        <v>5810.9508374400011</v>
      </c>
      <c r="K58" s="309">
        <f t="shared" si="22"/>
        <v>1821.2138515200006</v>
      </c>
      <c r="L58" s="309">
        <f t="shared" si="22"/>
        <v>323.98254000000003</v>
      </c>
      <c r="M58" s="309">
        <f t="shared" si="22"/>
        <v>2142.6045312000006</v>
      </c>
      <c r="N58" s="293">
        <f>SUM(B58:M58)</f>
        <v>9291224.8688321169</v>
      </c>
      <c r="O58" s="30"/>
      <c r="P58" s="251"/>
      <c r="Q58" s="251"/>
      <c r="R58" s="251"/>
      <c r="S58" s="251"/>
      <c r="T58" s="251"/>
      <c r="U58" s="51"/>
      <c r="V58" s="51"/>
      <c r="W58" s="51"/>
      <c r="X58" s="51"/>
      <c r="Y58" s="51"/>
      <c r="Z58" s="51"/>
      <c r="AA58" s="51"/>
      <c r="AB58" s="51"/>
    </row>
    <row r="59" spans="1:28">
      <c r="A59" s="292" t="s">
        <v>366</v>
      </c>
      <c r="B59" s="309">
        <f>B52*$B$14*B5*1000</f>
        <v>4352.1654540000009</v>
      </c>
      <c r="C59" s="309">
        <f t="shared" ref="C59:M59" si="23">C52*$B$14*C5*1000</f>
        <v>13153.691123999999</v>
      </c>
      <c r="D59" s="309">
        <f t="shared" si="23"/>
        <v>63139.877278800006</v>
      </c>
      <c r="E59" s="309">
        <f t="shared" si="23"/>
        <v>679942.15669800015</v>
      </c>
      <c r="F59" s="309">
        <f t="shared" si="23"/>
        <v>3758597.0424660007</v>
      </c>
      <c r="G59" s="309">
        <f t="shared" si="23"/>
        <v>1469422.8101700002</v>
      </c>
      <c r="H59" s="309">
        <f t="shared" si="23"/>
        <v>619965.96892230003</v>
      </c>
      <c r="I59" s="309">
        <f t="shared" si="23"/>
        <v>85704.181247999994</v>
      </c>
      <c r="J59" s="309">
        <f t="shared" si="23"/>
        <v>9169.1594575560011</v>
      </c>
      <c r="K59" s="309">
        <f t="shared" si="23"/>
        <v>5176.6218225680022</v>
      </c>
      <c r="L59" s="309">
        <f t="shared" si="23"/>
        <v>4535.7555600000005</v>
      </c>
      <c r="M59" s="309">
        <f t="shared" si="23"/>
        <v>21426.045312000002</v>
      </c>
      <c r="N59" s="293">
        <f>SUM(B59:M59)</f>
        <v>6734585.4755132254</v>
      </c>
      <c r="O59" s="28"/>
      <c r="P59" s="251"/>
      <c r="Q59" s="251"/>
      <c r="R59" s="251"/>
      <c r="S59" s="251"/>
      <c r="T59" s="251"/>
      <c r="U59" s="51"/>
      <c r="V59" s="51"/>
      <c r="W59" s="51"/>
      <c r="X59" s="51"/>
      <c r="Y59" s="51"/>
      <c r="Z59" s="51"/>
      <c r="AA59" s="51"/>
      <c r="AB59" s="51"/>
    </row>
    <row r="60" spans="1:28">
      <c r="A60" s="297" t="s">
        <v>89</v>
      </c>
      <c r="B60" s="293">
        <f>SUM(B58:B59)</f>
        <v>9126.1561750799992</v>
      </c>
      <c r="C60" s="293">
        <f t="shared" ref="C60:N60" si="24">SUM(C58:C59)</f>
        <v>14631.915459839998</v>
      </c>
      <c r="D60" s="293">
        <f t="shared" si="24"/>
        <v>68588.788427208012</v>
      </c>
      <c r="E60" s="293">
        <f t="shared" si="24"/>
        <v>817069.38666570024</v>
      </c>
      <c r="F60" s="293">
        <f t="shared" si="24"/>
        <v>12074580.879186001</v>
      </c>
      <c r="G60" s="293">
        <f t="shared" si="24"/>
        <v>2155099.4578260002</v>
      </c>
      <c r="H60" s="293">
        <f t="shared" si="24"/>
        <v>695810.82150720002</v>
      </c>
      <c r="I60" s="293">
        <f t="shared" si="24"/>
        <v>140496.605186028</v>
      </c>
      <c r="J60" s="293">
        <f t="shared" si="24"/>
        <v>14980.110294996002</v>
      </c>
      <c r="K60" s="293">
        <f t="shared" si="24"/>
        <v>6997.8356740880026</v>
      </c>
      <c r="L60" s="293">
        <f t="shared" si="24"/>
        <v>4859.7381000000005</v>
      </c>
      <c r="M60" s="293">
        <f t="shared" si="24"/>
        <v>23568.649843200001</v>
      </c>
      <c r="N60" s="293">
        <f t="shared" si="24"/>
        <v>16025810.344345342</v>
      </c>
      <c r="O60" s="28"/>
      <c r="P60" s="251"/>
      <c r="Q60" s="251"/>
      <c r="R60" s="251"/>
      <c r="S60" s="251"/>
      <c r="T60" s="251"/>
      <c r="U60" s="51"/>
      <c r="V60" s="51"/>
      <c r="W60" s="51"/>
      <c r="X60" s="51"/>
      <c r="Y60" s="51"/>
      <c r="Z60" s="51"/>
      <c r="AA60" s="51"/>
      <c r="AB60" s="51"/>
    </row>
    <row r="61" spans="1:28">
      <c r="A61" s="292" t="s">
        <v>553</v>
      </c>
      <c r="B61" s="309">
        <f>B53*$B$14*B7*1000</f>
        <v>12453.888837600003</v>
      </c>
      <c r="C61" s="309">
        <f t="shared" ref="C61:M61" si="25">C53*$B$14*C7*1000</f>
        <v>13153.691123999999</v>
      </c>
      <c r="D61" s="309">
        <f t="shared" si="25"/>
        <v>29611.464185100005</v>
      </c>
      <c r="E61" s="309">
        <f t="shared" si="25"/>
        <v>177574.830174</v>
      </c>
      <c r="F61" s="309">
        <f t="shared" si="25"/>
        <v>694923.64931850007</v>
      </c>
      <c r="G61" s="309">
        <f t="shared" si="25"/>
        <v>282512.77488000004</v>
      </c>
      <c r="H61" s="309">
        <f t="shared" si="25"/>
        <v>274989.90030119999</v>
      </c>
      <c r="I61" s="309">
        <f t="shared" si="25"/>
        <v>102443.279148</v>
      </c>
      <c r="J61" s="309">
        <f t="shared" si="25"/>
        <v>11548.625761781383</v>
      </c>
      <c r="K61" s="309">
        <f t="shared" si="25"/>
        <v>44516.853306953999</v>
      </c>
      <c r="L61" s="309">
        <f t="shared" si="25"/>
        <v>11663.371440000001</v>
      </c>
      <c r="M61" s="309">
        <f t="shared" si="25"/>
        <v>14730.406152000001</v>
      </c>
      <c r="N61" s="302">
        <f>SUM(B61:M61)</f>
        <v>1670122.7346291353</v>
      </c>
      <c r="O61" s="28"/>
      <c r="P61" s="251"/>
      <c r="Q61" s="700"/>
      <c r="R61" s="701"/>
      <c r="S61" s="251"/>
      <c r="T61" s="251"/>
      <c r="U61" s="51"/>
      <c r="V61" s="51"/>
      <c r="W61" s="51"/>
      <c r="X61" s="51"/>
      <c r="Y61" s="51"/>
      <c r="Z61" s="51"/>
      <c r="AA61" s="51"/>
      <c r="AB61" s="51"/>
    </row>
    <row r="62" spans="1:28">
      <c r="A62" s="292" t="s">
        <v>558</v>
      </c>
      <c r="B62" s="309">
        <f>B60-B61</f>
        <v>-3327.7326625200039</v>
      </c>
      <c r="C62" s="309">
        <f t="shared" ref="C62:M62" si="26">C60-C61</f>
        <v>1478.2243358399992</v>
      </c>
      <c r="D62" s="309">
        <f t="shared" si="26"/>
        <v>38977.324242108007</v>
      </c>
      <c r="E62" s="309">
        <f t="shared" si="26"/>
        <v>639494.55649170023</v>
      </c>
      <c r="F62" s="309">
        <f t="shared" si="26"/>
        <v>11379657.229867501</v>
      </c>
      <c r="G62" s="309">
        <f t="shared" si="26"/>
        <v>1872586.6829460002</v>
      </c>
      <c r="H62" s="309">
        <f t="shared" si="26"/>
        <v>420820.92120600003</v>
      </c>
      <c r="I62" s="309">
        <f t="shared" si="26"/>
        <v>38053.326038027997</v>
      </c>
      <c r="J62" s="309">
        <f t="shared" si="26"/>
        <v>3431.4845332146197</v>
      </c>
      <c r="K62" s="309">
        <f t="shared" si="26"/>
        <v>-37519.017632865995</v>
      </c>
      <c r="L62" s="309">
        <f t="shared" si="26"/>
        <v>-6803.6333400000003</v>
      </c>
      <c r="M62" s="309">
        <f t="shared" si="26"/>
        <v>8838.2436911999994</v>
      </c>
      <c r="N62" s="302">
        <f>SUM(B62:M62)</f>
        <v>14355687.609716207</v>
      </c>
      <c r="O62" s="28"/>
      <c r="P62" s="251"/>
      <c r="Q62" s="314"/>
      <c r="W62" s="51"/>
      <c r="X62" s="51"/>
      <c r="Y62" s="51"/>
      <c r="Z62" s="51"/>
      <c r="AA62" s="51"/>
      <c r="AB62" s="51"/>
    </row>
    <row r="63" spans="1:28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51"/>
      <c r="Q63" s="1350"/>
      <c r="R63" s="1430" t="s">
        <v>911</v>
      </c>
      <c r="S63" s="1430"/>
      <c r="T63" s="1430"/>
      <c r="U63" s="1430"/>
      <c r="V63" s="1354" t="s">
        <v>1811</v>
      </c>
      <c r="W63" s="51"/>
      <c r="X63" s="51"/>
      <c r="Y63" s="51"/>
      <c r="Z63" s="51"/>
      <c r="AA63" s="51"/>
      <c r="AB63" s="51"/>
    </row>
    <row r="64" spans="1:28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51"/>
      <c r="Q64" s="1351" t="s">
        <v>1809</v>
      </c>
      <c r="R64" s="1349" t="s">
        <v>29</v>
      </c>
      <c r="S64" s="1349" t="s">
        <v>1789</v>
      </c>
      <c r="T64" s="1355" t="s">
        <v>28</v>
      </c>
      <c r="U64" s="1355" t="s">
        <v>1812</v>
      </c>
      <c r="V64" s="1355" t="s">
        <v>1813</v>
      </c>
      <c r="W64" s="51"/>
      <c r="X64" s="51"/>
      <c r="Y64" s="51"/>
      <c r="Z64" s="51"/>
      <c r="AA64" s="51"/>
      <c r="AB64" s="51"/>
    </row>
    <row r="65" spans="2:28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51"/>
      <c r="Q65" s="1352" t="s">
        <v>367</v>
      </c>
      <c r="R65" s="141">
        <v>7621.5</v>
      </c>
      <c r="S65" s="1357">
        <v>58488.108174477922</v>
      </c>
      <c r="T65" s="1358">
        <v>14670.033423094612</v>
      </c>
      <c r="U65" s="944">
        <v>9291224.8688321169</v>
      </c>
      <c r="V65" s="510">
        <v>36024.576015000006</v>
      </c>
      <c r="W65" s="51"/>
      <c r="X65" s="51"/>
      <c r="Y65" s="51"/>
      <c r="Z65" s="51"/>
      <c r="AA65" s="51"/>
      <c r="AB65" s="51"/>
    </row>
    <row r="66" spans="2:28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51"/>
      <c r="Q66" s="1352" t="s">
        <v>366</v>
      </c>
      <c r="R66" s="141">
        <v>159083.16773444548</v>
      </c>
      <c r="S66" s="1357">
        <v>86406.653348518928</v>
      </c>
      <c r="T66" s="1358">
        <v>14516.267595510772</v>
      </c>
      <c r="U66" s="944">
        <v>6734585.4755132254</v>
      </c>
      <c r="V66" s="510">
        <v>82904.532933999973</v>
      </c>
      <c r="W66" s="51"/>
      <c r="X66" s="51"/>
      <c r="Y66" s="51"/>
      <c r="Z66" s="51"/>
      <c r="AA66" s="51"/>
      <c r="AB66" s="51"/>
    </row>
    <row r="67" spans="2:28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51"/>
      <c r="Q67" s="1353" t="s">
        <v>89</v>
      </c>
      <c r="R67" s="141">
        <v>166704.66773444548</v>
      </c>
      <c r="S67" s="1357">
        <v>144894.76152299685</v>
      </c>
      <c r="T67" s="1358">
        <v>29186.301018605383</v>
      </c>
      <c r="U67" s="944">
        <v>16025810.344345342</v>
      </c>
      <c r="V67" s="510">
        <v>118929.10894899999</v>
      </c>
      <c r="W67" s="51"/>
      <c r="X67" s="51"/>
      <c r="Y67" s="51"/>
      <c r="Z67" s="51"/>
      <c r="AA67" s="51"/>
      <c r="AB67" s="51"/>
    </row>
    <row r="68" spans="2:28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51"/>
      <c r="Q68" s="1352" t="s">
        <v>553</v>
      </c>
      <c r="R68" s="141">
        <v>172116.01809310209</v>
      </c>
      <c r="S68" s="1357">
        <v>84080.519388531713</v>
      </c>
      <c r="T68" s="1358">
        <v>10319.719214172523</v>
      </c>
      <c r="U68" s="944">
        <v>1670122.7346291353</v>
      </c>
      <c r="V68" s="510">
        <v>82771.212516206899</v>
      </c>
      <c r="W68" s="51"/>
      <c r="X68" s="51"/>
      <c r="Y68" s="51"/>
      <c r="Z68" s="51"/>
      <c r="AA68" s="51"/>
      <c r="AB68" s="51"/>
    </row>
    <row r="69" spans="2:28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51"/>
      <c r="Q69" s="1352" t="s">
        <v>1810</v>
      </c>
      <c r="R69" s="141">
        <v>-5411.3503586565603</v>
      </c>
      <c r="S69" s="1357">
        <v>60814.242134465152</v>
      </c>
      <c r="T69" s="1358">
        <v>18866.581804432863</v>
      </c>
      <c r="U69" s="944">
        <v>14355687.609716207</v>
      </c>
      <c r="V69" s="510">
        <v>36157.896432793103</v>
      </c>
      <c r="W69" s="51"/>
      <c r="X69" s="51"/>
      <c r="Y69" s="51"/>
      <c r="Z69" s="51"/>
      <c r="AA69" s="51"/>
      <c r="AB69" s="51"/>
    </row>
    <row r="70" spans="2:28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51"/>
      <c r="Q70" s="1356" t="s">
        <v>1825</v>
      </c>
      <c r="R70" s="1359">
        <f>R69/R67</f>
        <v>-3.2460700904168117E-2</v>
      </c>
      <c r="S70" s="1359">
        <f t="shared" ref="S70:V70" si="27">S69/S67</f>
        <v>0.41971318697269172</v>
      </c>
      <c r="T70" s="1359">
        <f t="shared" si="27"/>
        <v>0.64641907833424961</v>
      </c>
      <c r="U70" s="1359">
        <f t="shared" si="27"/>
        <v>0.89578544243671065</v>
      </c>
      <c r="V70" s="1359">
        <f t="shared" si="27"/>
        <v>0.30402898627869634</v>
      </c>
      <c r="W70" s="51"/>
      <c r="X70" s="51"/>
      <c r="Y70" s="51"/>
      <c r="Z70" s="51"/>
      <c r="AA70" s="51"/>
      <c r="AB70" s="51"/>
    </row>
    <row r="71" spans="2:28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51"/>
      <c r="Q71" s="298"/>
      <c r="R71" s="701"/>
      <c r="S71" s="251"/>
      <c r="T71" s="251"/>
      <c r="U71" s="51"/>
      <c r="V71" s="51"/>
      <c r="W71" s="51"/>
      <c r="X71" s="51"/>
      <c r="Y71" s="51"/>
      <c r="Z71" s="51"/>
      <c r="AA71" s="51"/>
      <c r="AB71" s="51"/>
    </row>
    <row r="72" spans="2:28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51"/>
      <c r="Q72" s="314"/>
      <c r="R72" s="701"/>
      <c r="S72" s="251"/>
      <c r="T72" s="251"/>
      <c r="U72" s="51"/>
      <c r="V72" s="51"/>
      <c r="W72" s="51"/>
      <c r="X72" s="51"/>
      <c r="Y72" s="51"/>
      <c r="Z72" s="51"/>
      <c r="AA72" s="51"/>
      <c r="AB72" s="51"/>
    </row>
    <row r="73" spans="2:28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51"/>
      <c r="Q73" s="314"/>
      <c r="R73" s="701"/>
      <c r="S73" s="251"/>
      <c r="T73" s="251"/>
      <c r="U73" s="51"/>
      <c r="V73" s="51"/>
      <c r="W73" s="51"/>
      <c r="X73" s="51"/>
      <c r="Y73" s="51"/>
      <c r="Z73" s="51"/>
      <c r="AA73" s="51"/>
      <c r="AB73" s="51"/>
    </row>
    <row r="74" spans="2:28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8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8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8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8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8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</sheetData>
  <mergeCells count="7">
    <mergeCell ref="R63:U63"/>
    <mergeCell ref="AA25:AF25"/>
    <mergeCell ref="R45:U45"/>
    <mergeCell ref="A1:N1"/>
    <mergeCell ref="B2:M2"/>
    <mergeCell ref="R16:T16"/>
    <mergeCell ref="W16:Y16"/>
  </mergeCells>
  <phoneticPr fontId="7" type="noConversion"/>
  <pageMargins left="0.75" right="0.75" top="1" bottom="1" header="0.5" footer="0.5"/>
  <pageSetup orientation="landscape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AA65"/>
  <sheetViews>
    <sheetView topLeftCell="A37" workbookViewId="0">
      <selection activeCell="Y48" sqref="Y48"/>
    </sheetView>
  </sheetViews>
  <sheetFormatPr defaultRowHeight="14"/>
  <cols>
    <col min="1" max="1" width="8.36328125" customWidth="1"/>
    <col min="2" max="2" width="6.54296875" customWidth="1"/>
    <col min="3" max="7" width="7" customWidth="1"/>
    <col min="8" max="9" width="6.54296875" customWidth="1"/>
    <col min="10" max="11" width="5.54296875" customWidth="1"/>
    <col min="12" max="12" width="6" customWidth="1"/>
    <col min="13" max="14" width="5.54296875" customWidth="1"/>
    <col min="15" max="15" width="8" customWidth="1"/>
    <col min="16" max="16" width="7.6328125" customWidth="1"/>
  </cols>
  <sheetData>
    <row r="1" spans="1:27">
      <c r="A1" s="1435" t="s">
        <v>36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</row>
    <row r="2" spans="1:27">
      <c r="B2" s="351">
        <v>1988</v>
      </c>
      <c r="C2" s="351">
        <v>1991</v>
      </c>
      <c r="D2" s="351">
        <v>1992</v>
      </c>
      <c r="E2" s="351">
        <v>1993</v>
      </c>
      <c r="F2" s="351">
        <v>1994</v>
      </c>
      <c r="G2" s="351">
        <v>1995</v>
      </c>
      <c r="H2" s="351">
        <v>1996</v>
      </c>
      <c r="I2" s="351">
        <v>1997</v>
      </c>
      <c r="J2" s="351">
        <v>1998</v>
      </c>
      <c r="K2" s="351">
        <v>1999</v>
      </c>
      <c r="L2" s="351">
        <v>2000</v>
      </c>
      <c r="M2" s="351">
        <v>2001</v>
      </c>
      <c r="N2" s="351">
        <v>2002</v>
      </c>
      <c r="O2" s="351">
        <v>2003</v>
      </c>
      <c r="P2" s="351">
        <v>2004</v>
      </c>
      <c r="Q2" s="351">
        <v>2005</v>
      </c>
      <c r="R2" s="351">
        <v>2006</v>
      </c>
      <c r="S2" s="351">
        <v>2007</v>
      </c>
      <c r="T2" s="351">
        <v>2008</v>
      </c>
      <c r="U2" s="351">
        <v>2009</v>
      </c>
      <c r="V2" s="351">
        <v>2010</v>
      </c>
      <c r="W2" s="351">
        <v>2011</v>
      </c>
      <c r="X2" s="351">
        <v>2012</v>
      </c>
      <c r="Y2" s="460">
        <v>2013</v>
      </c>
      <c r="Z2" s="460">
        <v>2014</v>
      </c>
      <c r="AA2" s="460">
        <v>2015</v>
      </c>
    </row>
    <row r="3" spans="1:27">
      <c r="A3" s="38" t="s">
        <v>28</v>
      </c>
      <c r="B3">
        <v>166</v>
      </c>
      <c r="C3">
        <v>184.16</v>
      </c>
      <c r="D3">
        <v>162.26</v>
      </c>
      <c r="E3">
        <v>167.91</v>
      </c>
      <c r="F3">
        <v>87.03</v>
      </c>
      <c r="G3">
        <v>40.909999999999997</v>
      </c>
      <c r="H3" s="6">
        <v>29.44</v>
      </c>
      <c r="I3" s="6">
        <v>37.700000000000003</v>
      </c>
      <c r="J3">
        <v>36.6</v>
      </c>
      <c r="K3">
        <v>41.6</v>
      </c>
      <c r="L3">
        <v>60</v>
      </c>
      <c r="M3">
        <v>49.8</v>
      </c>
      <c r="N3">
        <v>50.2</v>
      </c>
      <c r="O3">
        <v>49.5</v>
      </c>
      <c r="P3">
        <v>31.9</v>
      </c>
      <c r="Q3">
        <v>39.200000000000003</v>
      </c>
      <c r="R3">
        <v>24</v>
      </c>
      <c r="S3">
        <v>30.7</v>
      </c>
      <c r="T3">
        <v>50.6</v>
      </c>
      <c r="U3">
        <v>34.799999999999997</v>
      </c>
      <c r="V3">
        <v>33.6</v>
      </c>
      <c r="W3">
        <v>40.799999999999997</v>
      </c>
      <c r="X3">
        <v>61.6</v>
      </c>
      <c r="Y3">
        <v>65.599999999999994</v>
      </c>
      <c r="Z3">
        <v>30.5</v>
      </c>
      <c r="AA3">
        <v>55.5</v>
      </c>
    </row>
    <row r="4" spans="1:27">
      <c r="A4" s="38" t="s">
        <v>29</v>
      </c>
      <c r="B4" s="6">
        <v>255.14285714285714</v>
      </c>
      <c r="C4">
        <v>349.27</v>
      </c>
      <c r="D4">
        <v>266.27</v>
      </c>
      <c r="E4">
        <v>442.5</v>
      </c>
      <c r="F4">
        <v>348.74</v>
      </c>
      <c r="G4">
        <v>492.7</v>
      </c>
      <c r="H4" s="6">
        <v>577.75</v>
      </c>
      <c r="I4" s="6">
        <v>393</v>
      </c>
      <c r="J4" s="39">
        <v>358</v>
      </c>
      <c r="K4" s="39">
        <v>402</v>
      </c>
      <c r="L4">
        <v>441</v>
      </c>
      <c r="M4">
        <v>387</v>
      </c>
      <c r="N4">
        <v>282</v>
      </c>
      <c r="O4">
        <v>266</v>
      </c>
      <c r="P4">
        <v>247</v>
      </c>
      <c r="Q4">
        <v>207</v>
      </c>
      <c r="R4">
        <v>153</v>
      </c>
      <c r="S4">
        <v>229</v>
      </c>
      <c r="T4">
        <v>232</v>
      </c>
      <c r="U4">
        <v>267</v>
      </c>
      <c r="V4">
        <v>254</v>
      </c>
      <c r="W4">
        <v>172</v>
      </c>
      <c r="X4">
        <v>134</v>
      </c>
      <c r="Y4">
        <v>153</v>
      </c>
      <c r="Z4">
        <v>291</v>
      </c>
      <c r="AA4">
        <v>352</v>
      </c>
    </row>
    <row r="5" spans="1:27">
      <c r="A5" s="38" t="s">
        <v>30</v>
      </c>
      <c r="B5" s="6">
        <v>7.4714285714285706</v>
      </c>
      <c r="C5">
        <v>21.22</v>
      </c>
      <c r="D5">
        <v>19.010000000000002</v>
      </c>
      <c r="E5">
        <v>8.9</v>
      </c>
      <c r="F5">
        <v>20.43</v>
      </c>
      <c r="G5">
        <v>5.09</v>
      </c>
      <c r="H5" s="6">
        <v>17.100000000000001</v>
      </c>
      <c r="I5" s="6">
        <v>8.1999999999999993</v>
      </c>
      <c r="J5">
        <v>4.3</v>
      </c>
      <c r="K5">
        <v>5.8</v>
      </c>
      <c r="L5">
        <v>14.1</v>
      </c>
      <c r="M5">
        <v>24.6</v>
      </c>
      <c r="N5">
        <v>15.4</v>
      </c>
      <c r="O5">
        <v>14.8</v>
      </c>
      <c r="P5">
        <v>6.6</v>
      </c>
      <c r="Q5">
        <v>15.5</v>
      </c>
      <c r="R5">
        <v>9.1</v>
      </c>
      <c r="S5">
        <v>9.3000000000000007</v>
      </c>
      <c r="T5">
        <v>17.3</v>
      </c>
      <c r="U5">
        <v>12.5</v>
      </c>
      <c r="V5">
        <v>10.6</v>
      </c>
      <c r="W5">
        <v>10.8</v>
      </c>
      <c r="X5">
        <v>14.9</v>
      </c>
      <c r="Y5">
        <v>14.6</v>
      </c>
      <c r="Z5">
        <v>5.3</v>
      </c>
      <c r="AA5">
        <v>13.2</v>
      </c>
    </row>
    <row r="6" spans="1:27">
      <c r="A6" s="38" t="s">
        <v>31</v>
      </c>
      <c r="B6">
        <v>14</v>
      </c>
      <c r="C6">
        <v>69.67</v>
      </c>
      <c r="D6">
        <v>65.67</v>
      </c>
      <c r="E6">
        <v>32</v>
      </c>
      <c r="F6">
        <v>69.5</v>
      </c>
      <c r="G6">
        <v>36.85</v>
      </c>
      <c r="H6" s="6">
        <v>97.3</v>
      </c>
      <c r="I6" s="6">
        <v>31.7</v>
      </c>
      <c r="J6">
        <v>41.3</v>
      </c>
      <c r="K6">
        <v>36.700000000000003</v>
      </c>
      <c r="L6">
        <v>104.9</v>
      </c>
      <c r="M6">
        <v>69.7</v>
      </c>
      <c r="N6">
        <v>43.7</v>
      </c>
      <c r="O6">
        <v>37.700000000000003</v>
      </c>
      <c r="P6">
        <v>15.2</v>
      </c>
      <c r="Q6">
        <v>75.5</v>
      </c>
      <c r="R6">
        <v>28.7</v>
      </c>
      <c r="S6">
        <v>50.8</v>
      </c>
      <c r="T6">
        <v>73.900000000000006</v>
      </c>
      <c r="U6">
        <v>80.400000000000006</v>
      </c>
      <c r="V6">
        <v>24.1</v>
      </c>
      <c r="W6">
        <v>17.399999999999999</v>
      </c>
      <c r="X6">
        <v>52.9</v>
      </c>
      <c r="Y6">
        <v>54.3</v>
      </c>
      <c r="Z6">
        <v>18.3</v>
      </c>
      <c r="AA6">
        <v>45.7</v>
      </c>
    </row>
    <row r="7" spans="1:27">
      <c r="A7" s="38" t="s">
        <v>26</v>
      </c>
      <c r="B7">
        <v>1.625</v>
      </c>
      <c r="C7">
        <v>2.17</v>
      </c>
      <c r="D7">
        <v>2.1</v>
      </c>
      <c r="E7">
        <v>2.84</v>
      </c>
      <c r="F7">
        <v>1.79</v>
      </c>
      <c r="G7">
        <v>2.14</v>
      </c>
      <c r="H7" s="6">
        <v>2.5125000000000002</v>
      </c>
      <c r="I7" s="6">
        <v>1.7</v>
      </c>
      <c r="J7">
        <v>1.8</v>
      </c>
      <c r="K7">
        <v>1.8</v>
      </c>
      <c r="L7">
        <v>2.4</v>
      </c>
      <c r="M7">
        <v>2.2999999999999998</v>
      </c>
      <c r="N7">
        <v>3</v>
      </c>
      <c r="O7">
        <v>1.7</v>
      </c>
      <c r="P7">
        <v>2.6</v>
      </c>
      <c r="Q7">
        <v>2.1</v>
      </c>
      <c r="R7">
        <v>2.4</v>
      </c>
      <c r="S7">
        <v>1.7</v>
      </c>
      <c r="T7">
        <v>2.4</v>
      </c>
      <c r="U7">
        <v>2.7</v>
      </c>
      <c r="V7">
        <v>1.7</v>
      </c>
      <c r="W7">
        <v>2.2000000000000002</v>
      </c>
      <c r="X7">
        <v>2.21</v>
      </c>
      <c r="Y7">
        <v>1.86</v>
      </c>
      <c r="Z7">
        <v>1.98</v>
      </c>
      <c r="AA7">
        <v>1.17</v>
      </c>
    </row>
    <row r="10" spans="1:27">
      <c r="A10" s="1435" t="s">
        <v>32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</row>
    <row r="11" spans="1:27">
      <c r="C11" s="351">
        <v>1991</v>
      </c>
      <c r="D11" s="351">
        <v>1992</v>
      </c>
      <c r="E11" s="351">
        <v>1993</v>
      </c>
      <c r="F11" s="351">
        <v>1994</v>
      </c>
      <c r="G11" s="351">
        <v>1995</v>
      </c>
      <c r="H11" s="351">
        <v>1996</v>
      </c>
      <c r="I11" s="351">
        <v>1997</v>
      </c>
      <c r="J11" s="351">
        <v>1998</v>
      </c>
      <c r="K11" s="351">
        <v>1999</v>
      </c>
      <c r="L11" s="351">
        <v>2000</v>
      </c>
      <c r="M11" s="351">
        <v>2001</v>
      </c>
      <c r="N11" s="351">
        <v>2002</v>
      </c>
      <c r="O11" s="351">
        <v>2003</v>
      </c>
      <c r="P11" s="351">
        <v>2004</v>
      </c>
      <c r="Q11" s="351">
        <v>2005</v>
      </c>
      <c r="R11" s="351">
        <v>2006</v>
      </c>
      <c r="S11" s="351">
        <v>2007</v>
      </c>
      <c r="T11" s="351">
        <v>2008</v>
      </c>
      <c r="U11" s="351">
        <v>2009</v>
      </c>
      <c r="V11" s="351">
        <v>2010</v>
      </c>
      <c r="W11" s="351">
        <v>2011</v>
      </c>
      <c r="X11" s="351">
        <v>2012</v>
      </c>
      <c r="Y11" s="460">
        <v>2013</v>
      </c>
      <c r="Z11" s="628">
        <v>2014</v>
      </c>
      <c r="AA11" s="460">
        <v>2015</v>
      </c>
    </row>
    <row r="12" spans="1:27">
      <c r="A12" s="38" t="s">
        <v>28</v>
      </c>
      <c r="C12">
        <v>191.83</v>
      </c>
      <c r="D12">
        <v>181.66</v>
      </c>
      <c r="E12">
        <v>206.9</v>
      </c>
      <c r="F12">
        <v>92.27</v>
      </c>
      <c r="G12">
        <v>58.4</v>
      </c>
      <c r="H12">
        <v>30.9</v>
      </c>
      <c r="I12">
        <v>39</v>
      </c>
      <c r="J12" s="6">
        <v>35</v>
      </c>
      <c r="K12" s="6">
        <v>46.4</v>
      </c>
      <c r="L12">
        <v>42.4</v>
      </c>
      <c r="M12">
        <v>62.2</v>
      </c>
      <c r="N12">
        <v>51</v>
      </c>
      <c r="O12">
        <v>62.4</v>
      </c>
      <c r="P12">
        <v>40.299999999999997</v>
      </c>
      <c r="Q12">
        <v>45.8</v>
      </c>
      <c r="R12">
        <v>25.5</v>
      </c>
      <c r="S12">
        <v>28.6</v>
      </c>
      <c r="T12">
        <v>61.4</v>
      </c>
      <c r="U12">
        <v>49.1</v>
      </c>
      <c r="V12">
        <v>38.799999999999997</v>
      </c>
      <c r="W12">
        <v>55.2</v>
      </c>
      <c r="X12">
        <v>97.2</v>
      </c>
      <c r="Y12">
        <v>111.7</v>
      </c>
      <c r="Z12">
        <v>44.7</v>
      </c>
      <c r="AA12">
        <v>87.8</v>
      </c>
    </row>
    <row r="13" spans="1:27">
      <c r="A13" s="38" t="s">
        <v>29</v>
      </c>
      <c r="C13">
        <v>234.14</v>
      </c>
      <c r="D13">
        <v>133.19999999999999</v>
      </c>
      <c r="E13">
        <v>198.57</v>
      </c>
      <c r="F13">
        <v>156.69999999999999</v>
      </c>
      <c r="G13">
        <v>284.52999999999997</v>
      </c>
      <c r="H13">
        <v>340.4</v>
      </c>
      <c r="I13">
        <v>302.89999999999998</v>
      </c>
      <c r="J13">
        <v>228</v>
      </c>
      <c r="K13">
        <v>201</v>
      </c>
      <c r="L13">
        <v>347</v>
      </c>
      <c r="M13">
        <v>208</v>
      </c>
      <c r="N13">
        <v>171</v>
      </c>
      <c r="O13">
        <v>121</v>
      </c>
      <c r="P13">
        <v>175</v>
      </c>
      <c r="Q13">
        <v>150</v>
      </c>
      <c r="R13">
        <v>102</v>
      </c>
      <c r="S13">
        <v>145</v>
      </c>
      <c r="T13">
        <v>79</v>
      </c>
      <c r="U13">
        <v>180</v>
      </c>
      <c r="V13">
        <v>112</v>
      </c>
      <c r="W13">
        <v>111</v>
      </c>
      <c r="X13">
        <v>32</v>
      </c>
      <c r="Y13">
        <v>103</v>
      </c>
      <c r="Z13">
        <v>172</v>
      </c>
      <c r="AA13">
        <v>148</v>
      </c>
    </row>
    <row r="14" spans="1:27">
      <c r="A14" s="38" t="s">
        <v>30</v>
      </c>
      <c r="C14">
        <v>3.99</v>
      </c>
      <c r="D14">
        <v>11.78</v>
      </c>
      <c r="E14">
        <v>14.4</v>
      </c>
      <c r="F14">
        <v>26.4</v>
      </c>
      <c r="G14">
        <v>10.96</v>
      </c>
      <c r="H14">
        <v>23.81</v>
      </c>
      <c r="I14">
        <v>6</v>
      </c>
      <c r="J14">
        <v>2.7</v>
      </c>
      <c r="K14">
        <v>3.1</v>
      </c>
      <c r="L14">
        <v>14.6</v>
      </c>
      <c r="M14">
        <v>23.5</v>
      </c>
      <c r="N14">
        <v>20.3</v>
      </c>
      <c r="O14">
        <v>18.5</v>
      </c>
      <c r="P14">
        <v>8.5</v>
      </c>
      <c r="Q14">
        <v>15.4</v>
      </c>
      <c r="R14">
        <v>13.2</v>
      </c>
      <c r="S14">
        <v>6.5</v>
      </c>
      <c r="T14">
        <v>25.8</v>
      </c>
      <c r="U14">
        <v>23.3</v>
      </c>
      <c r="V14">
        <v>15.2</v>
      </c>
      <c r="W14">
        <v>9</v>
      </c>
      <c r="X14">
        <v>25.1</v>
      </c>
      <c r="Y14">
        <v>26.4</v>
      </c>
      <c r="Z14">
        <v>8.3000000000000007</v>
      </c>
      <c r="AA14">
        <v>20.9</v>
      </c>
    </row>
    <row r="15" spans="1:27">
      <c r="A15" s="38" t="s">
        <v>31</v>
      </c>
      <c r="C15">
        <v>6.25</v>
      </c>
      <c r="D15">
        <v>26.18</v>
      </c>
      <c r="E15">
        <v>32</v>
      </c>
      <c r="F15">
        <v>69.5</v>
      </c>
      <c r="G15">
        <v>36.85</v>
      </c>
      <c r="H15">
        <v>91.4</v>
      </c>
      <c r="I15">
        <v>16.399999999999999</v>
      </c>
      <c r="J15">
        <v>5.8</v>
      </c>
      <c r="K15">
        <v>7.7</v>
      </c>
      <c r="L15">
        <v>95.9</v>
      </c>
      <c r="M15">
        <v>69.7</v>
      </c>
      <c r="N15">
        <v>43.7</v>
      </c>
      <c r="O15">
        <v>37.700000000000003</v>
      </c>
      <c r="P15">
        <v>15.2</v>
      </c>
      <c r="Q15">
        <v>75.5</v>
      </c>
      <c r="R15">
        <v>28.7</v>
      </c>
      <c r="S15">
        <v>20.7</v>
      </c>
      <c r="T15">
        <v>73.900000000000006</v>
      </c>
      <c r="U15">
        <v>80.400000000000006</v>
      </c>
      <c r="V15">
        <v>22.8</v>
      </c>
      <c r="W15">
        <v>17.399999999999999</v>
      </c>
      <c r="X15">
        <v>52.9</v>
      </c>
      <c r="Y15">
        <v>54.3</v>
      </c>
      <c r="Z15">
        <v>18.3</v>
      </c>
      <c r="AA15">
        <v>45.7</v>
      </c>
    </row>
    <row r="16" spans="1:27">
      <c r="A16" s="38" t="s">
        <v>26</v>
      </c>
      <c r="C16">
        <v>2.0299999999999998</v>
      </c>
      <c r="D16">
        <v>2.12</v>
      </c>
      <c r="E16">
        <v>2.23</v>
      </c>
      <c r="F16">
        <v>1.7</v>
      </c>
      <c r="G16">
        <v>1.24</v>
      </c>
      <c r="H16">
        <v>2.5329999999999999</v>
      </c>
      <c r="I16">
        <v>1.4</v>
      </c>
      <c r="J16">
        <v>1.7</v>
      </c>
      <c r="K16">
        <v>1.8</v>
      </c>
      <c r="L16">
        <v>2.31</v>
      </c>
      <c r="M16">
        <v>2.2999999999999998</v>
      </c>
      <c r="N16">
        <v>2.7</v>
      </c>
      <c r="O16">
        <v>1.6</v>
      </c>
      <c r="P16">
        <v>2</v>
      </c>
      <c r="Q16">
        <v>1.5</v>
      </c>
      <c r="R16">
        <v>2.4</v>
      </c>
      <c r="S16">
        <v>2.5</v>
      </c>
      <c r="T16">
        <v>1.5</v>
      </c>
      <c r="U16">
        <v>1.8</v>
      </c>
      <c r="V16">
        <v>1.6</v>
      </c>
      <c r="W16">
        <v>2.2000000000000002</v>
      </c>
      <c r="X16">
        <v>1.42</v>
      </c>
      <c r="Y16">
        <v>1.1399999999999999</v>
      </c>
      <c r="Z16">
        <v>1.33</v>
      </c>
      <c r="AA16">
        <v>1.04</v>
      </c>
    </row>
    <row r="18" spans="1:27">
      <c r="A18" s="1435" t="s">
        <v>37</v>
      </c>
      <c r="B18" s="1435"/>
      <c r="C18" s="1435"/>
      <c r="D18" s="1435"/>
      <c r="E18" s="1435"/>
      <c r="F18" s="1435"/>
      <c r="G18" s="1435"/>
      <c r="H18" s="1435"/>
      <c r="I18" s="1435"/>
      <c r="J18" s="1435"/>
      <c r="K18" s="1435"/>
      <c r="L18" s="1435"/>
      <c r="M18" s="1435"/>
      <c r="N18" s="1435"/>
    </row>
    <row r="19" spans="1:27">
      <c r="A19" s="40" t="s">
        <v>33</v>
      </c>
      <c r="B19" s="6">
        <f>LN(B7)</f>
        <v>0.48550781578170082</v>
      </c>
      <c r="C19" s="6">
        <f t="shared" ref="C19:R19" si="0">LN(C7)</f>
        <v>0.77472716755236815</v>
      </c>
      <c r="D19" s="6">
        <f t="shared" si="0"/>
        <v>0.74193734472937733</v>
      </c>
      <c r="E19" s="6">
        <f t="shared" si="0"/>
        <v>1.0438040521731147</v>
      </c>
      <c r="F19" s="6">
        <f t="shared" si="0"/>
        <v>0.58221561985266368</v>
      </c>
      <c r="G19" s="6">
        <f t="shared" si="0"/>
        <v>0.76080582903376015</v>
      </c>
      <c r="H19" s="6">
        <f t="shared" si="0"/>
        <v>0.92127827338519419</v>
      </c>
      <c r="I19" s="6">
        <f t="shared" si="0"/>
        <v>0.53062825106217038</v>
      </c>
      <c r="J19" s="6">
        <f t="shared" si="0"/>
        <v>0.58778666490211906</v>
      </c>
      <c r="K19" s="6">
        <f t="shared" si="0"/>
        <v>0.58778666490211906</v>
      </c>
      <c r="L19" s="6">
        <f t="shared" si="0"/>
        <v>0.87546873735389985</v>
      </c>
      <c r="M19" s="6">
        <f t="shared" si="0"/>
        <v>0.83290912293510388</v>
      </c>
      <c r="N19" s="6">
        <f t="shared" si="0"/>
        <v>1.0986122886681098</v>
      </c>
      <c r="O19" s="6">
        <f t="shared" si="0"/>
        <v>0.53062825106217038</v>
      </c>
      <c r="P19" s="6">
        <f t="shared" si="0"/>
        <v>0.95551144502743635</v>
      </c>
      <c r="Q19" s="6">
        <f t="shared" si="0"/>
        <v>0.74193734472937733</v>
      </c>
      <c r="R19" s="6">
        <f t="shared" si="0"/>
        <v>0.87546873735389985</v>
      </c>
      <c r="S19" s="6">
        <f t="shared" ref="S19:X19" si="1">LN(S7)</f>
        <v>0.53062825106217038</v>
      </c>
      <c r="T19" s="6">
        <f t="shared" si="1"/>
        <v>0.87546873735389985</v>
      </c>
      <c r="U19" s="6">
        <f t="shared" si="1"/>
        <v>0.99325177301028345</v>
      </c>
      <c r="V19" s="6">
        <f t="shared" si="1"/>
        <v>0.53062825106217038</v>
      </c>
      <c r="W19" s="6">
        <f t="shared" si="1"/>
        <v>0.78845736036427028</v>
      </c>
      <c r="X19" s="6">
        <f t="shared" si="1"/>
        <v>0.79299251552966143</v>
      </c>
      <c r="Y19" s="6">
        <f>LN(Y7)</f>
        <v>0.62057648772510998</v>
      </c>
      <c r="Z19" s="6">
        <f>LN(Z7)</f>
        <v>0.68309684470644383</v>
      </c>
      <c r="AA19" s="6">
        <f>LN(AA7)</f>
        <v>0.15700374880966469</v>
      </c>
    </row>
    <row r="20" spans="1:27">
      <c r="A20" s="40"/>
      <c r="B20" s="6">
        <f>60-(14.41*B19)</f>
        <v>53.003832374585691</v>
      </c>
      <c r="C20" s="6">
        <f t="shared" ref="C20:R20" si="2">60-(14.41*C19)</f>
        <v>48.836181515570374</v>
      </c>
      <c r="D20" s="6">
        <f t="shared" si="2"/>
        <v>49.308682862449672</v>
      </c>
      <c r="E20" s="6">
        <f t="shared" si="2"/>
        <v>44.958783608185414</v>
      </c>
      <c r="F20" s="6">
        <f t="shared" si="2"/>
        <v>51.610272917923112</v>
      </c>
      <c r="G20" s="6">
        <f t="shared" si="2"/>
        <v>49.036788003623514</v>
      </c>
      <c r="H20" s="6">
        <f t="shared" si="2"/>
        <v>46.724380080519353</v>
      </c>
      <c r="I20" s="6">
        <f t="shared" si="2"/>
        <v>52.353646902194129</v>
      </c>
      <c r="J20" s="6">
        <f t="shared" si="2"/>
        <v>51.529994158760466</v>
      </c>
      <c r="K20" s="6">
        <f t="shared" si="2"/>
        <v>51.529994158760466</v>
      </c>
      <c r="L20" s="6">
        <f t="shared" si="2"/>
        <v>47.384495494730302</v>
      </c>
      <c r="M20" s="6">
        <f t="shared" si="2"/>
        <v>47.997779538505156</v>
      </c>
      <c r="N20" s="6">
        <f t="shared" si="2"/>
        <v>44.168996920292535</v>
      </c>
      <c r="O20" s="6">
        <f t="shared" si="2"/>
        <v>52.353646902194129</v>
      </c>
      <c r="P20" s="6">
        <f t="shared" si="2"/>
        <v>46.231080077154644</v>
      </c>
      <c r="Q20" s="6">
        <f t="shared" si="2"/>
        <v>49.308682862449672</v>
      </c>
      <c r="R20" s="6">
        <f t="shared" si="2"/>
        <v>47.384495494730302</v>
      </c>
      <c r="S20" s="6">
        <f t="shared" ref="S20:X20" si="3">60-(14.41*S19)</f>
        <v>52.353646902194129</v>
      </c>
      <c r="T20" s="6">
        <f t="shared" si="3"/>
        <v>47.384495494730302</v>
      </c>
      <c r="U20" s="6">
        <f t="shared" si="3"/>
        <v>45.687241950921816</v>
      </c>
      <c r="V20" s="6">
        <f t="shared" si="3"/>
        <v>52.353646902194129</v>
      </c>
      <c r="W20" s="6">
        <f t="shared" si="3"/>
        <v>48.638329437150865</v>
      </c>
      <c r="X20" s="6">
        <f t="shared" si="3"/>
        <v>48.57297785121758</v>
      </c>
      <c r="Y20" s="6">
        <f>60-(14.41*Y19)</f>
        <v>51.057492811881161</v>
      </c>
      <c r="Z20" s="6">
        <f>60-(14.41*Z19)</f>
        <v>50.156574467780146</v>
      </c>
      <c r="AA20" s="6">
        <f>60-(14.41*AA19)</f>
        <v>57.737575979652732</v>
      </c>
    </row>
    <row r="21" spans="1:27">
      <c r="A21" s="4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27">
      <c r="A22" s="40" t="s">
        <v>34</v>
      </c>
      <c r="B22" s="6">
        <f>LN(B5)</f>
        <v>2.0110862220155639</v>
      </c>
      <c r="C22" s="6">
        <f t="shared" ref="C22:R22" si="4">LN(C5)</f>
        <v>3.0549441331858369</v>
      </c>
      <c r="D22" s="6">
        <f t="shared" si="4"/>
        <v>2.9449651565003379</v>
      </c>
      <c r="E22" s="6">
        <f t="shared" si="4"/>
        <v>2.1860512767380942</v>
      </c>
      <c r="F22" s="6">
        <f t="shared" si="4"/>
        <v>3.0170044088295307</v>
      </c>
      <c r="G22" s="6">
        <f t="shared" si="4"/>
        <v>1.6272778305624314</v>
      </c>
      <c r="H22" s="6">
        <f t="shared" si="4"/>
        <v>2.8390784635086144</v>
      </c>
      <c r="I22" s="6">
        <f t="shared" si="4"/>
        <v>2.1041341542702074</v>
      </c>
      <c r="J22" s="6">
        <f t="shared" si="4"/>
        <v>1.4586150226995167</v>
      </c>
      <c r="K22" s="6">
        <f t="shared" si="4"/>
        <v>1.7578579175523736</v>
      </c>
      <c r="L22" s="6">
        <f t="shared" si="4"/>
        <v>2.6461747973841225</v>
      </c>
      <c r="M22" s="6">
        <f t="shared" si="4"/>
        <v>3.202746442938317</v>
      </c>
      <c r="N22" s="6">
        <f t="shared" si="4"/>
        <v>2.7343675094195836</v>
      </c>
      <c r="O22" s="6">
        <f t="shared" si="4"/>
        <v>2.6946271807700692</v>
      </c>
      <c r="P22" s="6">
        <f t="shared" si="4"/>
        <v>1.8870696490323797</v>
      </c>
      <c r="Q22" s="6">
        <f t="shared" si="4"/>
        <v>2.7408400239252009</v>
      </c>
      <c r="R22" s="6">
        <f t="shared" si="4"/>
        <v>2.2082744135228043</v>
      </c>
      <c r="S22" s="6">
        <f t="shared" ref="S22:X22" si="5">LN(S5)</f>
        <v>2.2300144001592104</v>
      </c>
      <c r="T22" s="6">
        <f t="shared" si="5"/>
        <v>2.8507065015037334</v>
      </c>
      <c r="U22" s="6">
        <f t="shared" si="5"/>
        <v>2.5257286443082556</v>
      </c>
      <c r="V22" s="6">
        <f t="shared" si="5"/>
        <v>2.3608540011180215</v>
      </c>
      <c r="W22" s="6">
        <f t="shared" si="5"/>
        <v>2.379546134130174</v>
      </c>
      <c r="X22" s="6">
        <f t="shared" si="5"/>
        <v>2.7013612129514133</v>
      </c>
      <c r="Y22" s="6">
        <f>LN(Y5)</f>
        <v>2.6810215287142909</v>
      </c>
      <c r="Z22" s="6">
        <f>LN(Z5)</f>
        <v>1.6677068205580761</v>
      </c>
      <c r="AA22" s="6">
        <f>LN(AA5)</f>
        <v>2.5802168295923251</v>
      </c>
    </row>
    <row r="23" spans="1:27">
      <c r="A23" s="40"/>
      <c r="B23" s="6">
        <f>(9.81*B22)+30.6</f>
        <v>50.328755837972679</v>
      </c>
      <c r="C23" s="6">
        <f t="shared" ref="C23:R23" si="6">(9.81*C22)+30.6</f>
        <v>60.569001946553058</v>
      </c>
      <c r="D23" s="6">
        <f t="shared" si="6"/>
        <v>59.490108185268312</v>
      </c>
      <c r="E23" s="6">
        <f t="shared" si="6"/>
        <v>52.045163024800708</v>
      </c>
      <c r="F23" s="6">
        <f t="shared" si="6"/>
        <v>60.196813250617694</v>
      </c>
      <c r="G23" s="6">
        <f t="shared" si="6"/>
        <v>46.563595517817454</v>
      </c>
      <c r="H23" s="6">
        <f t="shared" si="6"/>
        <v>58.451359727019508</v>
      </c>
      <c r="I23" s="6">
        <f t="shared" si="6"/>
        <v>51.241556053390738</v>
      </c>
      <c r="J23" s="6">
        <f t="shared" si="6"/>
        <v>44.90901337268226</v>
      </c>
      <c r="K23" s="6">
        <f t="shared" si="6"/>
        <v>47.844586171188787</v>
      </c>
      <c r="L23" s="6">
        <f t="shared" si="6"/>
        <v>56.558974762338245</v>
      </c>
      <c r="M23" s="6">
        <f t="shared" si="6"/>
        <v>62.018942605224893</v>
      </c>
      <c r="N23" s="6">
        <f t="shared" si="6"/>
        <v>57.424145267406118</v>
      </c>
      <c r="O23" s="6">
        <f t="shared" si="6"/>
        <v>57.034292643354384</v>
      </c>
      <c r="P23" s="6">
        <f t="shared" si="6"/>
        <v>49.112153257007648</v>
      </c>
      <c r="Q23" s="6">
        <f t="shared" si="6"/>
        <v>57.487640634706224</v>
      </c>
      <c r="R23" s="6">
        <f t="shared" si="6"/>
        <v>52.263171996658713</v>
      </c>
      <c r="S23" s="6">
        <f t="shared" ref="S23:X23" si="7">(9.81*S22)+30.6</f>
        <v>52.47644126556186</v>
      </c>
      <c r="T23" s="6">
        <f t="shared" si="7"/>
        <v>58.565430779751622</v>
      </c>
      <c r="U23" s="6">
        <f t="shared" si="7"/>
        <v>55.377398000663987</v>
      </c>
      <c r="V23" s="6">
        <f t="shared" si="7"/>
        <v>53.759977750967792</v>
      </c>
      <c r="W23" s="6">
        <f t="shared" si="7"/>
        <v>53.943347575817015</v>
      </c>
      <c r="X23" s="6">
        <f t="shared" si="7"/>
        <v>57.100353499053369</v>
      </c>
      <c r="Y23" s="6">
        <f>(9.81*Y22)+30.6</f>
        <v>56.900821196687197</v>
      </c>
      <c r="Z23" s="6">
        <f>(9.81*Z22)+30.6</f>
        <v>46.960203909674732</v>
      </c>
      <c r="AA23" s="6">
        <f>(9.81*AA22)+30.6</f>
        <v>55.911927098300708</v>
      </c>
    </row>
    <row r="24" spans="1:27">
      <c r="A24" s="4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27">
      <c r="A25" s="40" t="s">
        <v>35</v>
      </c>
      <c r="B25" s="6">
        <f>LN(B3)</f>
        <v>5.1119877883565437</v>
      </c>
      <c r="C25" s="6">
        <f t="shared" ref="C25:R25" si="8">LN(C3)</f>
        <v>5.2158049449735726</v>
      </c>
      <c r="D25" s="6">
        <f t="shared" si="8"/>
        <v>5.0891999869669187</v>
      </c>
      <c r="E25" s="6">
        <f t="shared" si="8"/>
        <v>5.1234281215713775</v>
      </c>
      <c r="F25" s="6">
        <f t="shared" si="8"/>
        <v>4.4662528868014224</v>
      </c>
      <c r="G25" s="6">
        <f t="shared" si="8"/>
        <v>3.7113745319413072</v>
      </c>
      <c r="H25" s="6">
        <f t="shared" si="8"/>
        <v>3.3823542938606757</v>
      </c>
      <c r="I25" s="6">
        <f t="shared" si="8"/>
        <v>3.629660094453965</v>
      </c>
      <c r="J25" s="6">
        <f t="shared" si="8"/>
        <v>3.6000482404073204</v>
      </c>
      <c r="K25" s="6">
        <f t="shared" si="8"/>
        <v>3.7281001672672178</v>
      </c>
      <c r="L25" s="6">
        <f t="shared" si="8"/>
        <v>4.0943445622221004</v>
      </c>
      <c r="M25" s="6">
        <f t="shared" si="8"/>
        <v>3.9080149840306073</v>
      </c>
      <c r="N25" s="6">
        <f t="shared" si="8"/>
        <v>3.9160150266976834</v>
      </c>
      <c r="O25" s="6">
        <f t="shared" si="8"/>
        <v>3.9019726695746448</v>
      </c>
      <c r="P25" s="6">
        <f t="shared" si="8"/>
        <v>3.4626060097907989</v>
      </c>
      <c r="Q25" s="6">
        <f t="shared" si="8"/>
        <v>3.6686767467964168</v>
      </c>
      <c r="R25" s="6">
        <f t="shared" si="8"/>
        <v>3.1780538303479458</v>
      </c>
      <c r="S25" s="6">
        <f t="shared" ref="S25:X25" si="9">LN(S3)</f>
        <v>3.4242626545931514</v>
      </c>
      <c r="T25" s="6">
        <f t="shared" si="9"/>
        <v>3.9239515762934198</v>
      </c>
      <c r="U25" s="6">
        <f t="shared" si="9"/>
        <v>3.5496173867804286</v>
      </c>
      <c r="V25" s="6">
        <f t="shared" si="9"/>
        <v>3.5145260669691587</v>
      </c>
      <c r="W25" s="6">
        <f t="shared" si="9"/>
        <v>3.708682081410116</v>
      </c>
      <c r="X25" s="6">
        <f t="shared" si="9"/>
        <v>4.1206618705394744</v>
      </c>
      <c r="Y25" s="6">
        <f>LN(Y3)</f>
        <v>4.1835756959500436</v>
      </c>
      <c r="Z25" s="6">
        <f>LN(Z3)</f>
        <v>3.417726683613366</v>
      </c>
      <c r="AA25" s="6">
        <f>LN(AA3)</f>
        <v>4.0163830207523885</v>
      </c>
    </row>
    <row r="26" spans="1:27">
      <c r="A26" s="40"/>
      <c r="B26" s="6">
        <f>+(14.42*B25)+4.15</f>
        <v>77.86486390810137</v>
      </c>
      <c r="C26" s="6">
        <f t="shared" ref="C26:R26" si="10">+(14.42*C25)+4.15</f>
        <v>79.361907306518916</v>
      </c>
      <c r="D26" s="6">
        <f t="shared" si="10"/>
        <v>77.53626381206297</v>
      </c>
      <c r="E26" s="6">
        <f t="shared" si="10"/>
        <v>78.029833513059273</v>
      </c>
      <c r="F26" s="6">
        <f t="shared" si="10"/>
        <v>68.55336662767651</v>
      </c>
      <c r="G26" s="6">
        <f t="shared" si="10"/>
        <v>57.668020750593648</v>
      </c>
      <c r="H26" s="6">
        <f t="shared" si="10"/>
        <v>52.923548917470939</v>
      </c>
      <c r="I26" s="6">
        <f t="shared" si="10"/>
        <v>56.48969856202617</v>
      </c>
      <c r="J26" s="6">
        <f t="shared" si="10"/>
        <v>56.062695626673559</v>
      </c>
      <c r="K26" s="6">
        <f t="shared" si="10"/>
        <v>57.909204411993279</v>
      </c>
      <c r="L26" s="6">
        <f t="shared" si="10"/>
        <v>63.190448587242685</v>
      </c>
      <c r="M26" s="6">
        <f t="shared" si="10"/>
        <v>60.503576069721355</v>
      </c>
      <c r="N26" s="6">
        <f t="shared" si="10"/>
        <v>60.618936684980596</v>
      </c>
      <c r="O26" s="6">
        <f t="shared" si="10"/>
        <v>60.416445895266378</v>
      </c>
      <c r="P26" s="6">
        <f t="shared" si="10"/>
        <v>54.080778661183317</v>
      </c>
      <c r="Q26" s="6">
        <f t="shared" si="10"/>
        <v>57.052318688804327</v>
      </c>
      <c r="R26" s="6">
        <f t="shared" si="10"/>
        <v>49.977536233617379</v>
      </c>
      <c r="S26" s="6">
        <f t="shared" ref="S26:X26" si="11">+(14.42*S25)+4.15</f>
        <v>53.527867479233244</v>
      </c>
      <c r="T26" s="6">
        <f t="shared" si="11"/>
        <v>60.733381730151109</v>
      </c>
      <c r="U26" s="6">
        <f t="shared" si="11"/>
        <v>55.335482717373779</v>
      </c>
      <c r="V26" s="6">
        <f t="shared" si="11"/>
        <v>54.829465885695264</v>
      </c>
      <c r="W26" s="6">
        <f t="shared" si="11"/>
        <v>57.629195613933874</v>
      </c>
      <c r="X26" s="6">
        <f t="shared" si="11"/>
        <v>63.569944173179216</v>
      </c>
      <c r="Y26" s="6">
        <f>+(14.42*Y25)+4.15</f>
        <v>64.477161535599635</v>
      </c>
      <c r="Z26" s="6">
        <f>+(14.42*Z25)+4.15</f>
        <v>53.433618777704737</v>
      </c>
      <c r="AA26" s="6">
        <f>+(14.42*AA25)+4.15</f>
        <v>62.066243159249439</v>
      </c>
    </row>
    <row r="27" spans="1:27">
      <c r="A27" s="40"/>
      <c r="B27" s="351">
        <v>1988</v>
      </c>
      <c r="C27" s="351">
        <v>1991</v>
      </c>
      <c r="D27" s="351">
        <v>1992</v>
      </c>
      <c r="E27" s="351">
        <v>1993</v>
      </c>
      <c r="F27" s="351">
        <v>1994</v>
      </c>
      <c r="G27" s="351">
        <v>1995</v>
      </c>
      <c r="H27" s="351">
        <v>1996</v>
      </c>
      <c r="I27" s="351">
        <v>1997</v>
      </c>
      <c r="J27" s="351">
        <v>1998</v>
      </c>
      <c r="K27" s="351">
        <v>1999</v>
      </c>
      <c r="L27" s="351">
        <v>2000</v>
      </c>
      <c r="M27" s="351">
        <v>2001</v>
      </c>
      <c r="N27" s="351">
        <v>2002</v>
      </c>
      <c r="O27" s="351">
        <v>2003</v>
      </c>
      <c r="P27" s="351">
        <v>2004</v>
      </c>
      <c r="Q27" s="351">
        <v>2005</v>
      </c>
      <c r="R27" s="351">
        <v>2006</v>
      </c>
      <c r="S27" s="351">
        <v>2007</v>
      </c>
      <c r="T27" s="351">
        <v>2008</v>
      </c>
      <c r="U27" s="351">
        <v>2009</v>
      </c>
      <c r="V27" s="351">
        <v>2010</v>
      </c>
      <c r="W27" s="351">
        <v>2011</v>
      </c>
      <c r="X27" s="351">
        <v>2012</v>
      </c>
      <c r="Y27" s="460">
        <v>2013</v>
      </c>
      <c r="Z27" s="628">
        <v>2014</v>
      </c>
      <c r="AA27" s="460">
        <v>2015</v>
      </c>
    </row>
    <row r="28" spans="1:27">
      <c r="A28" s="6"/>
      <c r="B28" s="6">
        <f>AVERAGE(B20,B23,B26)</f>
        <v>60.39915070688658</v>
      </c>
      <c r="C28" s="6">
        <f t="shared" ref="C28:AA28" si="12">AVERAGE(C20,C23,C26)</f>
        <v>62.922363589547444</v>
      </c>
      <c r="D28" s="6">
        <f t="shared" si="12"/>
        <v>62.111684953260315</v>
      </c>
      <c r="E28" s="6">
        <f t="shared" si="12"/>
        <v>58.344593382015127</v>
      </c>
      <c r="F28" s="6">
        <f t="shared" si="12"/>
        <v>60.120150932072441</v>
      </c>
      <c r="G28" s="6">
        <f t="shared" si="12"/>
        <v>51.089468090678203</v>
      </c>
      <c r="H28" s="6">
        <f t="shared" si="12"/>
        <v>52.699762908336595</v>
      </c>
      <c r="I28" s="6">
        <f t="shared" si="12"/>
        <v>53.361633839203677</v>
      </c>
      <c r="J28" s="6">
        <f t="shared" si="12"/>
        <v>50.833901052705436</v>
      </c>
      <c r="K28" s="6">
        <f t="shared" si="12"/>
        <v>52.427928247314178</v>
      </c>
      <c r="L28" s="6">
        <f t="shared" si="12"/>
        <v>55.711306281437082</v>
      </c>
      <c r="M28" s="6">
        <f t="shared" si="12"/>
        <v>56.840099404483801</v>
      </c>
      <c r="N28" s="6">
        <f t="shared" si="12"/>
        <v>54.070692957559743</v>
      </c>
      <c r="O28" s="6">
        <f t="shared" si="12"/>
        <v>56.601461813604963</v>
      </c>
      <c r="P28" s="6">
        <f t="shared" si="12"/>
        <v>49.808003998448534</v>
      </c>
      <c r="Q28" s="6">
        <f t="shared" si="12"/>
        <v>54.616214061986739</v>
      </c>
      <c r="R28" s="6">
        <f t="shared" si="12"/>
        <v>49.875067908335467</v>
      </c>
      <c r="S28" s="6">
        <f t="shared" si="12"/>
        <v>52.785985215663082</v>
      </c>
      <c r="T28" s="6">
        <f t="shared" si="12"/>
        <v>55.561102668211014</v>
      </c>
      <c r="U28" s="6">
        <f t="shared" si="12"/>
        <v>52.133374222986525</v>
      </c>
      <c r="V28" s="6">
        <f t="shared" si="12"/>
        <v>53.647696846285726</v>
      </c>
      <c r="W28" s="6">
        <f t="shared" si="12"/>
        <v>53.403624208967244</v>
      </c>
      <c r="X28" s="6">
        <f t="shared" si="12"/>
        <v>56.414425174483391</v>
      </c>
      <c r="Y28" s="6">
        <f t="shared" si="12"/>
        <v>57.478491848055995</v>
      </c>
      <c r="Z28" s="6">
        <f t="shared" si="12"/>
        <v>50.183465718386536</v>
      </c>
      <c r="AA28" s="6">
        <f t="shared" si="12"/>
        <v>58.571915412400962</v>
      </c>
    </row>
    <row r="29" spans="1:27">
      <c r="A29" s="1436" t="s">
        <v>38</v>
      </c>
      <c r="B29" s="1436"/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</row>
    <row r="30" spans="1:27">
      <c r="A30" s="40" t="s">
        <v>33</v>
      </c>
      <c r="B30" s="6"/>
      <c r="C30" s="6">
        <f>LN(C16)</f>
        <v>0.70803579305369591</v>
      </c>
      <c r="D30" s="6">
        <f t="shared" ref="D30:R30" si="13">LN(D16)</f>
        <v>0.75141608868392118</v>
      </c>
      <c r="E30" s="6">
        <f t="shared" si="13"/>
        <v>0.80200158547202738</v>
      </c>
      <c r="F30" s="6">
        <f t="shared" si="13"/>
        <v>0.53062825106217038</v>
      </c>
      <c r="G30" s="6">
        <f t="shared" si="13"/>
        <v>0.21511137961694549</v>
      </c>
      <c r="H30" s="6">
        <f t="shared" si="13"/>
        <v>0.9294043710195381</v>
      </c>
      <c r="I30" s="6">
        <f t="shared" si="13"/>
        <v>0.33647223662121289</v>
      </c>
      <c r="J30" s="6">
        <f t="shared" si="13"/>
        <v>0.53062825106217038</v>
      </c>
      <c r="K30" s="6">
        <f t="shared" si="13"/>
        <v>0.58778666490211906</v>
      </c>
      <c r="L30" s="6">
        <f t="shared" si="13"/>
        <v>0.83724752453370221</v>
      </c>
      <c r="M30" s="6">
        <f t="shared" si="13"/>
        <v>0.83290912293510388</v>
      </c>
      <c r="N30" s="6">
        <f t="shared" si="13"/>
        <v>0.99325177301028345</v>
      </c>
      <c r="O30" s="6">
        <f t="shared" si="13"/>
        <v>0.47000362924573563</v>
      </c>
      <c r="P30" s="6">
        <f t="shared" si="13"/>
        <v>0.69314718055994529</v>
      </c>
      <c r="Q30" s="6">
        <f t="shared" si="13"/>
        <v>0.40546510810816438</v>
      </c>
      <c r="R30" s="6">
        <f t="shared" si="13"/>
        <v>0.87546873735389985</v>
      </c>
      <c r="S30" s="6">
        <f t="shared" ref="S30:X30" si="14">LN(S16)</f>
        <v>0.91629073187415511</v>
      </c>
      <c r="T30" s="6">
        <f t="shared" si="14"/>
        <v>0.40546510810816438</v>
      </c>
      <c r="U30" s="6">
        <f t="shared" si="14"/>
        <v>0.58778666490211906</v>
      </c>
      <c r="V30" s="6">
        <f t="shared" si="14"/>
        <v>0.47000362924573563</v>
      </c>
      <c r="W30" s="6">
        <f t="shared" si="14"/>
        <v>0.78845736036427028</v>
      </c>
      <c r="X30" s="6">
        <f t="shared" si="14"/>
        <v>0.35065687161316933</v>
      </c>
      <c r="Y30" s="6">
        <f>LN(Y16)</f>
        <v>0.131028262406404</v>
      </c>
      <c r="Z30" s="6">
        <f>LN(Z16)</f>
        <v>0.28517894223366247</v>
      </c>
      <c r="AA30" s="6">
        <f>LN(AA16)</f>
        <v>3.9220713153281329E-2</v>
      </c>
    </row>
    <row r="31" spans="1:27">
      <c r="A31" s="40"/>
      <c r="B31" s="6"/>
      <c r="C31" s="6">
        <f t="shared" ref="C31:R31" si="15">60-(14.41*C30)</f>
        <v>49.797204222096241</v>
      </c>
      <c r="D31" s="6">
        <f t="shared" si="15"/>
        <v>49.172094162064695</v>
      </c>
      <c r="E31" s="6">
        <f t="shared" si="15"/>
        <v>48.443157153348082</v>
      </c>
      <c r="F31" s="6">
        <f t="shared" si="15"/>
        <v>52.353646902194129</v>
      </c>
      <c r="G31" s="6">
        <f t="shared" si="15"/>
        <v>56.900245019719819</v>
      </c>
      <c r="H31" s="6">
        <f t="shared" si="15"/>
        <v>46.607283013608452</v>
      </c>
      <c r="I31" s="6">
        <f t="shared" si="15"/>
        <v>55.151435070288322</v>
      </c>
      <c r="J31" s="6">
        <f t="shared" si="15"/>
        <v>52.353646902194129</v>
      </c>
      <c r="K31" s="6">
        <f t="shared" si="15"/>
        <v>51.529994158760466</v>
      </c>
      <c r="L31" s="6">
        <f t="shared" si="15"/>
        <v>47.935263171469352</v>
      </c>
      <c r="M31" s="6">
        <f t="shared" si="15"/>
        <v>47.997779538505156</v>
      </c>
      <c r="N31" s="6">
        <f t="shared" si="15"/>
        <v>45.687241950921816</v>
      </c>
      <c r="O31" s="6">
        <f t="shared" si="15"/>
        <v>53.227247702568953</v>
      </c>
      <c r="P31" s="6">
        <f t="shared" si="15"/>
        <v>50.011749128131186</v>
      </c>
      <c r="Q31" s="6">
        <f t="shared" si="15"/>
        <v>54.15724779216135</v>
      </c>
      <c r="R31" s="6">
        <f t="shared" si="15"/>
        <v>47.384495494730302</v>
      </c>
      <c r="S31" s="6">
        <f t="shared" ref="S31:X31" si="16">60-(14.41*S30)</f>
        <v>46.796250553693426</v>
      </c>
      <c r="T31" s="6">
        <f t="shared" si="16"/>
        <v>54.15724779216135</v>
      </c>
      <c r="U31" s="6">
        <f t="shared" si="16"/>
        <v>51.529994158760466</v>
      </c>
      <c r="V31" s="6">
        <f t="shared" si="16"/>
        <v>53.227247702568953</v>
      </c>
      <c r="W31" s="6">
        <f t="shared" si="16"/>
        <v>48.638329437150865</v>
      </c>
      <c r="X31" s="6">
        <f t="shared" si="16"/>
        <v>54.947034480054228</v>
      </c>
      <c r="Y31" s="6">
        <f>60-(14.41*Y30)</f>
        <v>58.111882738723722</v>
      </c>
      <c r="Z31" s="6">
        <f>60-(14.41*Z30)</f>
        <v>55.89057144241292</v>
      </c>
      <c r="AA31" s="6">
        <f>60-(14.41*AA30)</f>
        <v>59.434829523461218</v>
      </c>
    </row>
    <row r="32" spans="1:27">
      <c r="A32" s="4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27">
      <c r="A33" s="40" t="s">
        <v>34</v>
      </c>
      <c r="B33" s="6"/>
      <c r="C33" s="6">
        <f>LN(C14)</f>
        <v>1.3837912309017721</v>
      </c>
      <c r="D33" s="6">
        <f t="shared" ref="D33:R33" si="17">LN(D14)</f>
        <v>2.4664031782234406</v>
      </c>
      <c r="E33" s="6">
        <f t="shared" si="17"/>
        <v>2.6672282065819548</v>
      </c>
      <c r="F33" s="6">
        <f t="shared" si="17"/>
        <v>3.2733640101522705</v>
      </c>
      <c r="G33" s="6">
        <f t="shared" si="17"/>
        <v>2.3942522815198695</v>
      </c>
      <c r="H33" s="6">
        <f t="shared" si="17"/>
        <v>3.1701056604987712</v>
      </c>
      <c r="I33" s="6">
        <f t="shared" si="17"/>
        <v>1.791759469228055</v>
      </c>
      <c r="J33" s="6">
        <f t="shared" si="17"/>
        <v>0.99325177301028345</v>
      </c>
      <c r="K33" s="6">
        <f t="shared" si="17"/>
        <v>1.1314021114911006</v>
      </c>
      <c r="L33" s="6">
        <f t="shared" si="17"/>
        <v>2.6810215287142909</v>
      </c>
      <c r="M33" s="6">
        <f t="shared" si="17"/>
        <v>3.1570004211501135</v>
      </c>
      <c r="N33" s="6">
        <f t="shared" si="17"/>
        <v>3.0106208860477417</v>
      </c>
      <c r="O33" s="6">
        <f t="shared" si="17"/>
        <v>2.917770732084279</v>
      </c>
      <c r="P33" s="6">
        <f t="shared" si="17"/>
        <v>2.1400661634962708</v>
      </c>
      <c r="Q33" s="6">
        <f t="shared" si="17"/>
        <v>2.7343675094195836</v>
      </c>
      <c r="R33" s="6">
        <f t="shared" si="17"/>
        <v>2.5802168295923251</v>
      </c>
      <c r="S33" s="6">
        <f t="shared" ref="S33:X33" si="18">LN(S14)</f>
        <v>1.8718021769015913</v>
      </c>
      <c r="T33" s="6">
        <f t="shared" si="18"/>
        <v>3.2503744919275719</v>
      </c>
      <c r="U33" s="6">
        <f t="shared" si="18"/>
        <v>3.1484533605716547</v>
      </c>
      <c r="V33" s="6">
        <f t="shared" si="18"/>
        <v>2.7212954278522306</v>
      </c>
      <c r="W33" s="6">
        <f t="shared" si="18"/>
        <v>2.1972245773362196</v>
      </c>
      <c r="X33" s="6">
        <f t="shared" si="18"/>
        <v>3.2228678461377385</v>
      </c>
      <c r="Y33" s="6">
        <f>LN(Y14)</f>
        <v>3.2733640101522705</v>
      </c>
      <c r="Z33" s="6">
        <f>LN(Z14)</f>
        <v>2.1162555148025524</v>
      </c>
      <c r="AA33" s="6">
        <f>LN(AA14)</f>
        <v>3.039749158970765</v>
      </c>
    </row>
    <row r="34" spans="1:27">
      <c r="A34" s="40"/>
      <c r="B34" s="6"/>
      <c r="C34" s="6">
        <f t="shared" ref="C34:R34" si="19">(9.81*C33)+30.6</f>
        <v>44.174991975146384</v>
      </c>
      <c r="D34" s="6">
        <f t="shared" si="19"/>
        <v>54.795415178371954</v>
      </c>
      <c r="E34" s="6">
        <f t="shared" si="19"/>
        <v>56.76550870656898</v>
      </c>
      <c r="F34" s="6">
        <f t="shared" si="19"/>
        <v>62.711700939593776</v>
      </c>
      <c r="G34" s="6">
        <f t="shared" si="19"/>
        <v>54.087614881709925</v>
      </c>
      <c r="H34" s="6">
        <f t="shared" si="19"/>
        <v>61.698736529492948</v>
      </c>
      <c r="I34" s="6">
        <f t="shared" si="19"/>
        <v>48.177160393127224</v>
      </c>
      <c r="J34" s="6">
        <f t="shared" si="19"/>
        <v>40.34379989323088</v>
      </c>
      <c r="K34" s="6">
        <f t="shared" si="19"/>
        <v>41.699054713727698</v>
      </c>
      <c r="L34" s="6">
        <f t="shared" si="19"/>
        <v>56.900821196687197</v>
      </c>
      <c r="M34" s="6">
        <f t="shared" si="19"/>
        <v>61.570174131482617</v>
      </c>
      <c r="N34" s="6">
        <f t="shared" si="19"/>
        <v>60.134190892128345</v>
      </c>
      <c r="O34" s="6">
        <f t="shared" si="19"/>
        <v>59.223330881746776</v>
      </c>
      <c r="P34" s="6">
        <f t="shared" si="19"/>
        <v>51.594049063898417</v>
      </c>
      <c r="Q34" s="6">
        <f t="shared" si="19"/>
        <v>57.424145267406118</v>
      </c>
      <c r="R34" s="6">
        <f t="shared" si="19"/>
        <v>55.911927098300708</v>
      </c>
      <c r="S34" s="6">
        <f t="shared" ref="S34:X34" si="20">(9.81*S33)+30.6</f>
        <v>48.962379355404615</v>
      </c>
      <c r="T34" s="6">
        <f t="shared" si="20"/>
        <v>62.486173765809482</v>
      </c>
      <c r="U34" s="6">
        <f t="shared" si="20"/>
        <v>61.486327467207936</v>
      </c>
      <c r="V34" s="6">
        <f t="shared" si="20"/>
        <v>57.295908147230385</v>
      </c>
      <c r="W34" s="6">
        <f t="shared" si="20"/>
        <v>52.154773103668319</v>
      </c>
      <c r="X34" s="6">
        <f t="shared" si="20"/>
        <v>62.216333570611212</v>
      </c>
      <c r="Y34" s="6">
        <f>(9.81*Y33)+30.6</f>
        <v>62.711700939593776</v>
      </c>
      <c r="Z34" s="6">
        <f>(9.81*Z33)+30.6</f>
        <v>51.360466600213044</v>
      </c>
      <c r="AA34" s="6">
        <f>(9.81*AA33)+30.6</f>
        <v>60.419939249503209</v>
      </c>
    </row>
    <row r="35" spans="1:27">
      <c r="A35" s="4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27">
      <c r="A36" s="40" t="s">
        <v>35</v>
      </c>
      <c r="B36" s="6"/>
      <c r="C36" s="6">
        <f>LN(C12)</f>
        <v>5.2566095631482463</v>
      </c>
      <c r="D36" s="6">
        <f t="shared" ref="D36:P36" si="21">LN(D12)</f>
        <v>5.2021368080740675</v>
      </c>
      <c r="E36" s="6">
        <f t="shared" si="21"/>
        <v>5.3322355847514977</v>
      </c>
      <c r="F36" s="6">
        <f t="shared" si="21"/>
        <v>4.5247190615904644</v>
      </c>
      <c r="G36" s="6">
        <f t="shared" si="21"/>
        <v>4.0673158898341812</v>
      </c>
      <c r="H36" s="6">
        <f t="shared" si="21"/>
        <v>3.4307561839036995</v>
      </c>
      <c r="I36" s="6">
        <f t="shared" si="21"/>
        <v>3.6635616461296463</v>
      </c>
      <c r="J36" s="6">
        <f t="shared" si="21"/>
        <v>3.5553480614894135</v>
      </c>
      <c r="K36" s="6">
        <f t="shared" si="21"/>
        <v>3.8372994592322094</v>
      </c>
      <c r="L36" s="6">
        <f t="shared" si="21"/>
        <v>3.7471483622379123</v>
      </c>
      <c r="M36" s="6">
        <f t="shared" si="21"/>
        <v>4.1303549997451334</v>
      </c>
      <c r="N36" s="6">
        <f t="shared" si="21"/>
        <v>3.9318256327243257</v>
      </c>
      <c r="O36" s="6">
        <f t="shared" si="21"/>
        <v>4.133565275375382</v>
      </c>
      <c r="P36" s="6">
        <f t="shared" si="21"/>
        <v>3.6963514689526371</v>
      </c>
      <c r="Q36" s="6">
        <f t="shared" ref="Q36:W36" si="22">LN(Q12)</f>
        <v>3.824284091120139</v>
      </c>
      <c r="R36" s="6">
        <f t="shared" si="22"/>
        <v>3.2386784521643803</v>
      </c>
      <c r="S36" s="6">
        <f t="shared" si="22"/>
        <v>3.3534067178258069</v>
      </c>
      <c r="T36" s="6">
        <f t="shared" si="22"/>
        <v>4.1174098351530963</v>
      </c>
      <c r="U36" s="6">
        <f t="shared" si="22"/>
        <v>3.8938590348004749</v>
      </c>
      <c r="V36" s="6">
        <f t="shared" si="22"/>
        <v>3.6584202466292277</v>
      </c>
      <c r="W36" s="6">
        <f t="shared" si="22"/>
        <v>4.01096295328305</v>
      </c>
      <c r="X36" s="6">
        <f>LN(X12)</f>
        <v>4.5767707114663931</v>
      </c>
      <c r="Y36" s="6">
        <f>LN(Y12)</f>
        <v>4.715816706075155</v>
      </c>
      <c r="Z36" s="6">
        <f>LN(Z12)</f>
        <v>3.7999735016195233</v>
      </c>
      <c r="AA36" s="6">
        <f>LN(AA12)</f>
        <v>4.475061500641071</v>
      </c>
    </row>
    <row r="37" spans="1:27">
      <c r="A37" s="40"/>
      <c r="B37" s="6"/>
      <c r="C37" s="6">
        <f t="shared" ref="C37:R37" si="23">+(14.42*C36)+4.15</f>
        <v>79.950309900597716</v>
      </c>
      <c r="D37" s="6">
        <f t="shared" si="23"/>
        <v>79.164812772428064</v>
      </c>
      <c r="E37" s="6">
        <f t="shared" si="23"/>
        <v>81.040837132116607</v>
      </c>
      <c r="F37" s="6">
        <f t="shared" si="23"/>
        <v>69.396448868134499</v>
      </c>
      <c r="G37" s="6">
        <f t="shared" si="23"/>
        <v>62.800695131408894</v>
      </c>
      <c r="H37" s="6">
        <f t="shared" si="23"/>
        <v>53.621504171891345</v>
      </c>
      <c r="I37" s="6">
        <f t="shared" si="23"/>
        <v>56.978558937189497</v>
      </c>
      <c r="J37" s="6">
        <f t="shared" si="23"/>
        <v>55.41811904667734</v>
      </c>
      <c r="K37" s="6">
        <f t="shared" si="23"/>
        <v>59.483858202128459</v>
      </c>
      <c r="L37" s="6">
        <f t="shared" si="23"/>
        <v>58.183879383470696</v>
      </c>
      <c r="M37" s="6">
        <f t="shared" si="23"/>
        <v>63.709719096324825</v>
      </c>
      <c r="N37" s="6">
        <f t="shared" si="23"/>
        <v>60.846925623884772</v>
      </c>
      <c r="O37" s="6">
        <f t="shared" si="23"/>
        <v>63.756011270913007</v>
      </c>
      <c r="P37" s="6">
        <f t="shared" si="23"/>
        <v>57.451388182297023</v>
      </c>
      <c r="Q37" s="6">
        <f t="shared" si="23"/>
        <v>59.296176593952403</v>
      </c>
      <c r="R37" s="6">
        <f t="shared" si="23"/>
        <v>50.851743280210364</v>
      </c>
      <c r="S37" s="6">
        <f t="shared" ref="S37:X37" si="24">+(14.42*S36)+4.15</f>
        <v>52.506124871048137</v>
      </c>
      <c r="T37" s="6">
        <f t="shared" si="24"/>
        <v>63.523049822907645</v>
      </c>
      <c r="U37" s="6">
        <f t="shared" si="24"/>
        <v>60.299447281822843</v>
      </c>
      <c r="V37" s="6">
        <f t="shared" si="24"/>
        <v>56.904419956393461</v>
      </c>
      <c r="W37" s="6">
        <f t="shared" si="24"/>
        <v>61.988085786341578</v>
      </c>
      <c r="X37" s="6">
        <f t="shared" si="24"/>
        <v>70.147033659345396</v>
      </c>
      <c r="Y37" s="6">
        <f>+(14.42*Y36)+4.15</f>
        <v>72.152076901603735</v>
      </c>
      <c r="Z37" s="6">
        <f>+(14.42*Z36)+4.15</f>
        <v>58.945617893353521</v>
      </c>
      <c r="AA37" s="6">
        <f>+(14.42*AA36)+4.15</f>
        <v>68.68038683924425</v>
      </c>
    </row>
    <row r="38" spans="1:27">
      <c r="A38" s="38"/>
      <c r="B38" s="38"/>
      <c r="C38" s="351">
        <v>1991</v>
      </c>
      <c r="D38" s="351">
        <v>1992</v>
      </c>
      <c r="E38" s="351">
        <v>1993</v>
      </c>
      <c r="F38" s="351">
        <v>1994</v>
      </c>
      <c r="G38" s="351">
        <v>1995</v>
      </c>
      <c r="H38" s="351">
        <v>1996</v>
      </c>
      <c r="I38" s="351">
        <v>1997</v>
      </c>
      <c r="J38" s="351">
        <v>1998</v>
      </c>
      <c r="K38" s="351">
        <v>1999</v>
      </c>
      <c r="L38" s="351">
        <v>2000</v>
      </c>
      <c r="M38" s="351">
        <v>2001</v>
      </c>
      <c r="N38" s="351">
        <v>2002</v>
      </c>
      <c r="O38" s="351">
        <v>2003</v>
      </c>
      <c r="P38" s="351">
        <v>2004</v>
      </c>
      <c r="Q38" s="351">
        <v>2005</v>
      </c>
      <c r="R38" s="351">
        <v>2006</v>
      </c>
      <c r="S38" s="351">
        <v>2007</v>
      </c>
      <c r="T38" s="351">
        <v>2008</v>
      </c>
      <c r="U38" s="351">
        <v>2009</v>
      </c>
      <c r="V38" s="351">
        <v>2010</v>
      </c>
      <c r="W38" s="351">
        <v>2011</v>
      </c>
      <c r="X38" s="351">
        <v>2012</v>
      </c>
      <c r="Y38" s="460">
        <v>2013</v>
      </c>
      <c r="Z38" s="628">
        <v>2014</v>
      </c>
      <c r="AA38" s="460">
        <v>2015</v>
      </c>
    </row>
    <row r="39" spans="1:27">
      <c r="C39">
        <f>AVERAGE(C37,C31,C34)</f>
        <v>57.974168699280114</v>
      </c>
      <c r="D39" s="636">
        <f t="shared" ref="D39:AA39" si="25">AVERAGE(D37,D31,D34)</f>
        <v>61.044107370954897</v>
      </c>
      <c r="E39" s="636">
        <f t="shared" si="25"/>
        <v>62.083167664011228</v>
      </c>
      <c r="F39" s="636">
        <f t="shared" si="25"/>
        <v>61.487265569974134</v>
      </c>
      <c r="G39" s="636">
        <f t="shared" si="25"/>
        <v>57.92951834427955</v>
      </c>
      <c r="H39" s="636">
        <f t="shared" si="25"/>
        <v>53.975841238330908</v>
      </c>
      <c r="I39" s="636">
        <f t="shared" si="25"/>
        <v>53.435718133535012</v>
      </c>
      <c r="J39" s="636">
        <f t="shared" si="25"/>
        <v>49.371855280700778</v>
      </c>
      <c r="K39" s="636">
        <f t="shared" si="25"/>
        <v>50.904302358205541</v>
      </c>
      <c r="L39" s="636">
        <f t="shared" si="25"/>
        <v>54.339987917209079</v>
      </c>
      <c r="M39" s="636">
        <f t="shared" si="25"/>
        <v>57.759224255437537</v>
      </c>
      <c r="N39" s="636">
        <f t="shared" si="25"/>
        <v>55.556119488978311</v>
      </c>
      <c r="O39" s="636">
        <f t="shared" si="25"/>
        <v>58.735529951742912</v>
      </c>
      <c r="P39" s="636">
        <f t="shared" si="25"/>
        <v>53.019062124775537</v>
      </c>
      <c r="Q39" s="636">
        <f t="shared" si="25"/>
        <v>56.959189884506621</v>
      </c>
      <c r="R39" s="636">
        <f t="shared" si="25"/>
        <v>51.382721957747123</v>
      </c>
      <c r="S39" s="636">
        <f t="shared" si="25"/>
        <v>49.42158492671539</v>
      </c>
      <c r="T39" s="636">
        <f t="shared" si="25"/>
        <v>60.055490460292823</v>
      </c>
      <c r="U39" s="636">
        <f t="shared" si="25"/>
        <v>57.771922969263748</v>
      </c>
      <c r="V39" s="636">
        <f t="shared" si="25"/>
        <v>55.8091919353976</v>
      </c>
      <c r="W39" s="636">
        <f t="shared" si="25"/>
        <v>54.26039610905358</v>
      </c>
      <c r="X39" s="636">
        <f t="shared" si="25"/>
        <v>62.436800570003612</v>
      </c>
      <c r="Y39" s="636">
        <f t="shared" si="25"/>
        <v>64.325220193307089</v>
      </c>
      <c r="Z39" s="636">
        <f t="shared" si="25"/>
        <v>55.398885311993162</v>
      </c>
      <c r="AA39" s="710">
        <f t="shared" si="25"/>
        <v>62.845051870736228</v>
      </c>
    </row>
    <row r="42" spans="1:27" ht="26">
      <c r="Z42" s="702" t="s">
        <v>111</v>
      </c>
    </row>
    <row r="43" spans="1:27" ht="39">
      <c r="Z43" s="702" t="s">
        <v>67</v>
      </c>
    </row>
    <row r="44" spans="1:27">
      <c r="Z44" s="702" t="s">
        <v>109</v>
      </c>
    </row>
    <row r="60" spans="1:3" ht="20.399999999999999" customHeight="1">
      <c r="A60" s="59" t="s">
        <v>139</v>
      </c>
      <c r="B60" s="1437" t="s">
        <v>140</v>
      </c>
      <c r="C60" s="1437"/>
    </row>
    <row r="61" spans="1:3">
      <c r="A61" s="59" t="s">
        <v>56</v>
      </c>
      <c r="B61" s="1437" t="s">
        <v>141</v>
      </c>
      <c r="C61" s="1437"/>
    </row>
    <row r="62" spans="1:3" ht="20.399999999999999" customHeight="1">
      <c r="A62" s="59" t="s">
        <v>98</v>
      </c>
      <c r="B62" s="1437" t="s">
        <v>99</v>
      </c>
      <c r="C62" s="1437"/>
    </row>
    <row r="63" spans="1:3" ht="20.399999999999999" customHeight="1">
      <c r="A63" s="59" t="s">
        <v>58</v>
      </c>
      <c r="B63" s="1437" t="s">
        <v>59</v>
      </c>
      <c r="C63" s="1437"/>
    </row>
    <row r="64" spans="1:3" ht="20.399999999999999" customHeight="1">
      <c r="A64" s="59" t="s">
        <v>96</v>
      </c>
      <c r="B64" s="1437" t="s">
        <v>97</v>
      </c>
      <c r="C64" s="1437"/>
    </row>
    <row r="65" spans="1:3" ht="20.399999999999999" customHeight="1">
      <c r="A65" s="59" t="s">
        <v>142</v>
      </c>
      <c r="B65" s="1437" t="s">
        <v>84</v>
      </c>
      <c r="C65" s="1437"/>
    </row>
  </sheetData>
  <mergeCells count="10">
    <mergeCell ref="B61:C61"/>
    <mergeCell ref="B62:C62"/>
    <mergeCell ref="B63:C63"/>
    <mergeCell ref="B64:C64"/>
    <mergeCell ref="B65:C65"/>
    <mergeCell ref="A1:N1"/>
    <mergeCell ref="A10:N10"/>
    <mergeCell ref="A18:N18"/>
    <mergeCell ref="A29:N29"/>
    <mergeCell ref="B60:C60"/>
  </mergeCells>
  <phoneticPr fontId="7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BC90"/>
  <sheetViews>
    <sheetView topLeftCell="O52" workbookViewId="0">
      <selection activeCell="T54" sqref="T54"/>
    </sheetView>
  </sheetViews>
  <sheetFormatPr defaultRowHeight="14"/>
  <cols>
    <col min="1" max="1" width="8.1796875" bestFit="1" customWidth="1"/>
    <col min="2" max="2" width="5.54296875" customWidth="1"/>
    <col min="3" max="6" width="5.54296875" bestFit="1" customWidth="1"/>
    <col min="7" max="7" width="7.08984375" customWidth="1"/>
    <col min="8" max="14" width="5.54296875" bestFit="1" customWidth="1"/>
    <col min="15" max="26" width="5.54296875" customWidth="1"/>
    <col min="27" max="28" width="5.54296875" style="710" customWidth="1"/>
    <col min="29" max="29" width="4.08984375" bestFit="1" customWidth="1"/>
    <col min="30" max="30" width="6.54296875" customWidth="1"/>
    <col min="31" max="31" width="7.1796875" bestFit="1" customWidth="1"/>
    <col min="32" max="34" width="6.54296875" customWidth="1"/>
    <col min="35" max="35" width="7.1796875" bestFit="1" customWidth="1"/>
    <col min="36" max="40" width="6.54296875" customWidth="1"/>
    <col min="41" max="41" width="7.1796875" bestFit="1" customWidth="1"/>
    <col min="42" max="42" width="6.54296875" customWidth="1"/>
    <col min="43" max="43" width="7.1796875" bestFit="1" customWidth="1"/>
    <col min="44" max="45" width="6.54296875" bestFit="1" customWidth="1"/>
    <col min="46" max="48" width="5.54296875" bestFit="1" customWidth="1"/>
    <col min="49" max="49" width="6.54296875" bestFit="1" customWidth="1"/>
    <col min="50" max="52" width="5.54296875" bestFit="1" customWidth="1"/>
    <col min="53" max="53" width="7.1796875" bestFit="1" customWidth="1"/>
    <col min="54" max="54" width="6.54296875" bestFit="1" customWidth="1"/>
    <col min="55" max="55" width="10" customWidth="1"/>
  </cols>
  <sheetData>
    <row r="1" spans="1:55">
      <c r="AC1" s="1439" t="s">
        <v>45</v>
      </c>
      <c r="AD1" s="1439"/>
      <c r="AE1" s="1439"/>
      <c r="AF1" s="1439"/>
      <c r="AG1" s="1439"/>
      <c r="AH1" s="1439"/>
      <c r="AI1" s="1439"/>
      <c r="AJ1" s="1439"/>
      <c r="AK1" s="1439"/>
      <c r="AL1" s="1439"/>
      <c r="AM1" s="1439"/>
      <c r="AN1" s="1439"/>
      <c r="AO1" s="1439"/>
      <c r="AP1" s="1439"/>
    </row>
    <row r="2" spans="1:55">
      <c r="A2" s="1439" t="s">
        <v>36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55"/>
      <c r="P2" s="155"/>
      <c r="Q2" s="155"/>
      <c r="R2" s="155"/>
      <c r="S2" s="155"/>
      <c r="T2" s="155"/>
      <c r="U2" s="155"/>
      <c r="V2" s="155"/>
      <c r="W2" s="246"/>
      <c r="X2" s="267"/>
      <c r="Y2" s="454"/>
      <c r="Z2" s="246"/>
      <c r="AA2" s="1074"/>
      <c r="AB2" s="1074"/>
      <c r="AC2" s="38"/>
      <c r="AD2" s="351">
        <v>1988</v>
      </c>
      <c r="AE2" s="351">
        <v>1991</v>
      </c>
      <c r="AF2" s="351">
        <v>1992</v>
      </c>
      <c r="AG2" s="351">
        <v>1993</v>
      </c>
      <c r="AH2" s="351">
        <v>1994</v>
      </c>
      <c r="AI2" s="351">
        <v>1995</v>
      </c>
      <c r="AJ2" s="351">
        <v>1996</v>
      </c>
      <c r="AK2" s="351">
        <v>1997</v>
      </c>
      <c r="AL2" s="351">
        <v>1998</v>
      </c>
      <c r="AM2" s="351">
        <v>1999</v>
      </c>
      <c r="AN2" s="351">
        <v>2000</v>
      </c>
      <c r="AO2" s="351">
        <v>2001</v>
      </c>
      <c r="AP2" s="351">
        <v>2002</v>
      </c>
      <c r="AQ2" s="351">
        <v>2003</v>
      </c>
      <c r="AR2" s="351">
        <v>2004</v>
      </c>
      <c r="AS2" s="351">
        <v>2005</v>
      </c>
      <c r="AT2" s="351">
        <v>2006</v>
      </c>
      <c r="AU2" s="351">
        <v>2007</v>
      </c>
      <c r="AV2" s="351">
        <v>2008</v>
      </c>
      <c r="AW2" s="351">
        <v>2009</v>
      </c>
      <c r="AX2" s="351">
        <v>2010</v>
      </c>
      <c r="AY2" s="351">
        <v>2011</v>
      </c>
      <c r="AZ2" s="351">
        <v>2012</v>
      </c>
      <c r="BA2" s="460">
        <v>2013</v>
      </c>
      <c r="BB2" s="628">
        <v>2014</v>
      </c>
      <c r="BC2" s="460">
        <v>2015</v>
      </c>
    </row>
    <row r="3" spans="1:55" ht="15.5">
      <c r="A3" s="38"/>
      <c r="B3" s="351">
        <v>1988</v>
      </c>
      <c r="C3" s="351">
        <v>1991</v>
      </c>
      <c r="D3" s="351">
        <v>1992</v>
      </c>
      <c r="E3" s="351">
        <v>1993</v>
      </c>
      <c r="F3" s="351">
        <v>1994</v>
      </c>
      <c r="G3" s="351">
        <v>1995</v>
      </c>
      <c r="H3" s="351">
        <v>1996</v>
      </c>
      <c r="I3" s="351">
        <v>1997</v>
      </c>
      <c r="J3" s="351">
        <v>1998</v>
      </c>
      <c r="K3" s="351">
        <v>1999</v>
      </c>
      <c r="L3" s="351">
        <v>2000</v>
      </c>
      <c r="M3" s="351">
        <v>2001</v>
      </c>
      <c r="N3" s="351">
        <v>2002</v>
      </c>
      <c r="O3" s="351">
        <v>2003</v>
      </c>
      <c r="P3" s="351">
        <v>2004</v>
      </c>
      <c r="Q3" s="351">
        <v>2005</v>
      </c>
      <c r="R3" s="351">
        <v>2006</v>
      </c>
      <c r="S3" s="351">
        <v>2007</v>
      </c>
      <c r="T3" s="351">
        <v>2008</v>
      </c>
      <c r="U3" s="351">
        <v>2009</v>
      </c>
      <c r="V3" s="351">
        <v>2010</v>
      </c>
      <c r="W3" s="351">
        <v>2011</v>
      </c>
      <c r="X3" s="351">
        <v>2012</v>
      </c>
      <c r="Y3" s="351">
        <v>2013</v>
      </c>
      <c r="Z3" s="628">
        <v>2014</v>
      </c>
      <c r="AA3" s="628">
        <v>2015</v>
      </c>
      <c r="AB3" s="628"/>
      <c r="AC3" s="41" t="s">
        <v>39</v>
      </c>
      <c r="AD3" s="6">
        <f t="shared" ref="AD3:BC3" si="0">LN(B6)</f>
        <v>2.0110862220155639</v>
      </c>
      <c r="AE3" s="6">
        <f t="shared" si="0"/>
        <v>3.0549441331858369</v>
      </c>
      <c r="AF3" s="6">
        <f t="shared" si="0"/>
        <v>2.9449651565003379</v>
      </c>
      <c r="AG3" s="6">
        <f t="shared" si="0"/>
        <v>2.1860512767380942</v>
      </c>
      <c r="AH3" s="6">
        <f t="shared" si="0"/>
        <v>3.0170044088295307</v>
      </c>
      <c r="AI3" s="6">
        <f t="shared" si="0"/>
        <v>1.6272778305624314</v>
      </c>
      <c r="AJ3" s="6">
        <f t="shared" si="0"/>
        <v>2.8390784635086144</v>
      </c>
      <c r="AK3" s="6">
        <f t="shared" si="0"/>
        <v>2.1041341542702074</v>
      </c>
      <c r="AL3" s="6">
        <f t="shared" si="0"/>
        <v>1.4586150226995167</v>
      </c>
      <c r="AM3" s="6">
        <f t="shared" si="0"/>
        <v>1.7578579175523736</v>
      </c>
      <c r="AN3" s="6">
        <f t="shared" si="0"/>
        <v>2.6461747973841225</v>
      </c>
      <c r="AO3" s="6">
        <f t="shared" si="0"/>
        <v>3.202746442938317</v>
      </c>
      <c r="AP3" s="6">
        <f t="shared" si="0"/>
        <v>2.7343675094195836</v>
      </c>
      <c r="AQ3" s="6">
        <f t="shared" si="0"/>
        <v>2.6946271807700692</v>
      </c>
      <c r="AR3" s="6">
        <f t="shared" si="0"/>
        <v>1.8870696490323797</v>
      </c>
      <c r="AS3" s="6">
        <f t="shared" si="0"/>
        <v>2.7343675094195836</v>
      </c>
      <c r="AT3" s="6">
        <f t="shared" si="0"/>
        <v>2.2082744135228043</v>
      </c>
      <c r="AU3" s="6">
        <f t="shared" si="0"/>
        <v>2.2300144001592104</v>
      </c>
      <c r="AV3" s="6">
        <f t="shared" si="0"/>
        <v>2.8507065015037334</v>
      </c>
      <c r="AW3" s="6">
        <f t="shared" si="0"/>
        <v>2.5257286443082556</v>
      </c>
      <c r="AX3" s="6">
        <f t="shared" si="0"/>
        <v>2.3608540011180215</v>
      </c>
      <c r="AY3" s="6">
        <f t="shared" si="0"/>
        <v>2.379546134130174</v>
      </c>
      <c r="AZ3" s="6">
        <f t="shared" si="0"/>
        <v>2.7013612129514133</v>
      </c>
      <c r="BA3" s="6">
        <f t="shared" si="0"/>
        <v>2.6810215287142909</v>
      </c>
      <c r="BB3" s="6">
        <f t="shared" si="0"/>
        <v>1.6677068205580761</v>
      </c>
      <c r="BC3" s="6">
        <f t="shared" si="0"/>
        <v>2.5802168295923251</v>
      </c>
    </row>
    <row r="4" spans="1:55" ht="15.5">
      <c r="A4" s="38" t="s">
        <v>28</v>
      </c>
      <c r="B4" s="3">
        <v>166</v>
      </c>
      <c r="C4" s="3">
        <v>184.16</v>
      </c>
      <c r="D4" s="3">
        <v>162.26</v>
      </c>
      <c r="E4" s="3">
        <v>167.91</v>
      </c>
      <c r="F4" s="3">
        <v>87.03</v>
      </c>
      <c r="G4" s="3">
        <v>40.909999999999997</v>
      </c>
      <c r="H4" s="3">
        <v>29.44</v>
      </c>
      <c r="I4" s="3">
        <v>37.700000000000003</v>
      </c>
      <c r="J4" s="3">
        <v>36.5</v>
      </c>
      <c r="K4" s="3">
        <v>41.6</v>
      </c>
      <c r="L4" s="3">
        <v>60</v>
      </c>
      <c r="M4" s="3">
        <v>49.8</v>
      </c>
      <c r="N4" s="3">
        <v>50.2</v>
      </c>
      <c r="O4" s="3">
        <v>49.5</v>
      </c>
      <c r="P4" s="3">
        <v>31.9</v>
      </c>
      <c r="Q4" s="3">
        <v>39.200000000000003</v>
      </c>
      <c r="R4" s="3">
        <v>24</v>
      </c>
      <c r="S4" s="3">
        <v>30.7</v>
      </c>
      <c r="T4" s="3">
        <v>50.6</v>
      </c>
      <c r="U4" s="3">
        <v>34.799999999999997</v>
      </c>
      <c r="V4" s="3">
        <v>33.6</v>
      </c>
      <c r="W4" s="3">
        <v>40.799999999999997</v>
      </c>
      <c r="X4" s="3">
        <v>61.6</v>
      </c>
      <c r="Y4" s="3">
        <v>65.599999999999994</v>
      </c>
      <c r="Z4" s="3">
        <v>30.5</v>
      </c>
      <c r="AA4" s="3">
        <v>55.5</v>
      </c>
      <c r="AB4" s="3"/>
      <c r="AC4" s="41"/>
      <c r="AD4" s="6">
        <f>20+(14.42*AD3)</f>
        <v>48.999863321464431</v>
      </c>
      <c r="AE4" s="6">
        <f t="shared" ref="AE4:AS4" si="1">20+(14.42*AE3)</f>
        <v>64.052294400539765</v>
      </c>
      <c r="AF4" s="6">
        <f t="shared" si="1"/>
        <v>62.466397556734869</v>
      </c>
      <c r="AG4" s="6">
        <f t="shared" si="1"/>
        <v>51.522859410563314</v>
      </c>
      <c r="AH4" s="6">
        <f t="shared" si="1"/>
        <v>63.505203575321829</v>
      </c>
      <c r="AI4" s="6">
        <f t="shared" si="1"/>
        <v>43.46534631671026</v>
      </c>
      <c r="AJ4" s="6">
        <f t="shared" si="1"/>
        <v>60.939511443794217</v>
      </c>
      <c r="AK4" s="6">
        <f t="shared" si="1"/>
        <v>50.341614504576391</v>
      </c>
      <c r="AL4" s="6">
        <f t="shared" si="1"/>
        <v>41.033228627327034</v>
      </c>
      <c r="AM4" s="6">
        <f t="shared" si="1"/>
        <v>45.348311171105223</v>
      </c>
      <c r="AN4" s="6">
        <f t="shared" si="1"/>
        <v>58.15784057827905</v>
      </c>
      <c r="AO4" s="6">
        <f t="shared" si="1"/>
        <v>66.183603707170533</v>
      </c>
      <c r="AP4" s="6">
        <f t="shared" si="1"/>
        <v>59.429579485830395</v>
      </c>
      <c r="AQ4" s="6">
        <f t="shared" si="1"/>
        <v>58.856523946704399</v>
      </c>
      <c r="AR4" s="6">
        <f t="shared" si="1"/>
        <v>47.211544339046917</v>
      </c>
      <c r="AS4" s="6">
        <f t="shared" si="1"/>
        <v>59.429579485830395</v>
      </c>
      <c r="AT4" s="6">
        <f t="shared" ref="AT4:AY4" si="2">20+(14.42*AT3)</f>
        <v>51.843317042998834</v>
      </c>
      <c r="AU4" s="6">
        <f t="shared" si="2"/>
        <v>52.156807650295811</v>
      </c>
      <c r="AV4" s="6">
        <f t="shared" si="2"/>
        <v>61.107187751683838</v>
      </c>
      <c r="AW4" s="6">
        <f t="shared" si="2"/>
        <v>56.421007050925049</v>
      </c>
      <c r="AX4" s="6">
        <f t="shared" si="2"/>
        <v>54.043514696121868</v>
      </c>
      <c r="AY4" s="6">
        <f t="shared" si="2"/>
        <v>54.313055254157106</v>
      </c>
      <c r="AZ4" s="6">
        <f>20+(14.42*AZ3)</f>
        <v>58.953628690759381</v>
      </c>
      <c r="BA4" s="6">
        <f>20+(14.42*BA3)</f>
        <v>58.660330444060072</v>
      </c>
      <c r="BB4" s="6">
        <f>20+(14.42*BB3)</f>
        <v>44.04833235244746</v>
      </c>
      <c r="BC4" s="6">
        <f>20+(14.42*BC3)</f>
        <v>57.206726682721325</v>
      </c>
    </row>
    <row r="5" spans="1:55" ht="15.5">
      <c r="A5" s="38" t="s">
        <v>29</v>
      </c>
      <c r="B5" s="3">
        <v>255.14285714285714</v>
      </c>
      <c r="C5" s="3">
        <v>349.27</v>
      </c>
      <c r="D5" s="3">
        <v>266.27</v>
      </c>
      <c r="E5" s="3">
        <v>442.5</v>
      </c>
      <c r="F5" s="3">
        <v>348.74</v>
      </c>
      <c r="G5" s="3">
        <v>492.7</v>
      </c>
      <c r="H5" s="3">
        <v>577.75</v>
      </c>
      <c r="I5" s="3">
        <v>393</v>
      </c>
      <c r="J5" s="3">
        <v>368</v>
      </c>
      <c r="K5" s="3">
        <v>402</v>
      </c>
      <c r="L5" s="3">
        <v>441</v>
      </c>
      <c r="M5" s="3">
        <v>387</v>
      </c>
      <c r="N5" s="3">
        <v>282</v>
      </c>
      <c r="O5" s="3">
        <v>266</v>
      </c>
      <c r="P5" s="3">
        <v>47</v>
      </c>
      <c r="Q5" s="3">
        <v>207</v>
      </c>
      <c r="R5" s="3">
        <v>153</v>
      </c>
      <c r="S5" s="3">
        <v>229</v>
      </c>
      <c r="T5" s="3">
        <v>232</v>
      </c>
      <c r="U5" s="3">
        <v>267</v>
      </c>
      <c r="V5" s="3">
        <v>254</v>
      </c>
      <c r="W5" s="3">
        <v>172</v>
      </c>
      <c r="X5" s="3">
        <v>134</v>
      </c>
      <c r="Y5" s="3">
        <v>153</v>
      </c>
      <c r="Z5" s="5">
        <v>291</v>
      </c>
      <c r="AA5" s="5">
        <v>352</v>
      </c>
      <c r="AB5" s="5"/>
      <c r="AC5" s="41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55" ht="15.5">
      <c r="A6" s="38" t="s">
        <v>30</v>
      </c>
      <c r="B6" s="3">
        <v>7.4714285714285706</v>
      </c>
      <c r="C6" s="3">
        <v>21.22</v>
      </c>
      <c r="D6" s="3">
        <v>19.010000000000002</v>
      </c>
      <c r="E6" s="3">
        <v>8.9</v>
      </c>
      <c r="F6" s="3">
        <v>20.43</v>
      </c>
      <c r="G6" s="3">
        <v>5.09</v>
      </c>
      <c r="H6" s="3">
        <v>17.100000000000001</v>
      </c>
      <c r="I6" s="3">
        <v>8.1999999999999993</v>
      </c>
      <c r="J6" s="3">
        <v>4.3</v>
      </c>
      <c r="K6" s="3">
        <v>5.8</v>
      </c>
      <c r="L6" s="3">
        <v>14.1</v>
      </c>
      <c r="M6" s="3">
        <v>24.6</v>
      </c>
      <c r="N6" s="3">
        <v>15.4</v>
      </c>
      <c r="O6" s="3">
        <v>14.8</v>
      </c>
      <c r="P6" s="3">
        <v>6.6</v>
      </c>
      <c r="Q6" s="3">
        <v>15.4</v>
      </c>
      <c r="R6" s="3">
        <v>9.1</v>
      </c>
      <c r="S6" s="3">
        <v>9.3000000000000007</v>
      </c>
      <c r="T6" s="3">
        <v>17.3</v>
      </c>
      <c r="U6" s="3">
        <v>12.5</v>
      </c>
      <c r="V6" s="3">
        <v>10.6</v>
      </c>
      <c r="W6" s="3">
        <v>10.8</v>
      </c>
      <c r="X6" s="3">
        <v>14.9</v>
      </c>
      <c r="Y6" s="3">
        <v>14.6</v>
      </c>
      <c r="Z6" s="3">
        <v>5.3</v>
      </c>
      <c r="AA6" s="3">
        <v>13.2</v>
      </c>
      <c r="AB6" s="3"/>
      <c r="AC6" s="41" t="s">
        <v>40</v>
      </c>
      <c r="AD6" s="6">
        <f t="shared" ref="AD6:BC6" si="3">LN(B4)</f>
        <v>5.1119877883565437</v>
      </c>
      <c r="AE6" s="6">
        <f t="shared" si="3"/>
        <v>5.2158049449735726</v>
      </c>
      <c r="AF6" s="6">
        <f t="shared" si="3"/>
        <v>5.0891999869669187</v>
      </c>
      <c r="AG6" s="6">
        <f t="shared" si="3"/>
        <v>5.1234281215713775</v>
      </c>
      <c r="AH6" s="6">
        <f t="shared" si="3"/>
        <v>4.4662528868014224</v>
      </c>
      <c r="AI6" s="6">
        <f t="shared" si="3"/>
        <v>3.7113745319413072</v>
      </c>
      <c r="AJ6" s="6">
        <f t="shared" si="3"/>
        <v>3.3823542938606757</v>
      </c>
      <c r="AK6" s="6">
        <f t="shared" si="3"/>
        <v>3.629660094453965</v>
      </c>
      <c r="AL6" s="6">
        <f t="shared" si="3"/>
        <v>3.597312260588446</v>
      </c>
      <c r="AM6" s="6">
        <f t="shared" si="3"/>
        <v>3.7281001672672178</v>
      </c>
      <c r="AN6" s="6">
        <f t="shared" si="3"/>
        <v>4.0943445622221004</v>
      </c>
      <c r="AO6" s="6">
        <f t="shared" si="3"/>
        <v>3.9080149840306073</v>
      </c>
      <c r="AP6" s="6">
        <f t="shared" si="3"/>
        <v>3.9160150266976834</v>
      </c>
      <c r="AQ6" s="6">
        <f t="shared" si="3"/>
        <v>3.9019726695746448</v>
      </c>
      <c r="AR6" s="6">
        <f t="shared" si="3"/>
        <v>3.4626060097907989</v>
      </c>
      <c r="AS6" s="6">
        <f t="shared" si="3"/>
        <v>3.6686767467964168</v>
      </c>
      <c r="AT6" s="6">
        <f t="shared" si="3"/>
        <v>3.1780538303479458</v>
      </c>
      <c r="AU6" s="6">
        <f t="shared" si="3"/>
        <v>3.4242626545931514</v>
      </c>
      <c r="AV6" s="6">
        <f t="shared" si="3"/>
        <v>3.9239515762934198</v>
      </c>
      <c r="AW6" s="6">
        <f t="shared" si="3"/>
        <v>3.5496173867804286</v>
      </c>
      <c r="AX6" s="6">
        <f t="shared" si="3"/>
        <v>3.5145260669691587</v>
      </c>
      <c r="AY6" s="6">
        <f t="shared" si="3"/>
        <v>3.708682081410116</v>
      </c>
      <c r="AZ6" s="6">
        <f t="shared" si="3"/>
        <v>4.1206618705394744</v>
      </c>
      <c r="BA6" s="6">
        <f t="shared" si="3"/>
        <v>4.1835756959500436</v>
      </c>
      <c r="BB6" s="6">
        <f t="shared" si="3"/>
        <v>3.417726683613366</v>
      </c>
      <c r="BC6" s="6">
        <f t="shared" si="3"/>
        <v>4.0163830207523885</v>
      </c>
    </row>
    <row r="7" spans="1:55" ht="15.5">
      <c r="A7" s="38" t="s">
        <v>31</v>
      </c>
      <c r="B7" s="3">
        <v>14</v>
      </c>
      <c r="C7" s="3">
        <v>69.67</v>
      </c>
      <c r="D7" s="3">
        <v>65.67</v>
      </c>
      <c r="E7" s="3">
        <v>32</v>
      </c>
      <c r="F7" s="3">
        <v>69.5</v>
      </c>
      <c r="G7" s="3">
        <v>36.85</v>
      </c>
      <c r="H7" s="3">
        <v>97.3</v>
      </c>
      <c r="I7" s="3">
        <v>31.7</v>
      </c>
      <c r="J7" s="3">
        <v>41.1</v>
      </c>
      <c r="K7" s="3">
        <v>36.700000000000003</v>
      </c>
      <c r="L7" s="3">
        <v>104.9</v>
      </c>
      <c r="M7" s="3">
        <v>69.7</v>
      </c>
      <c r="N7" s="3">
        <v>43.7</v>
      </c>
      <c r="O7" s="3">
        <v>37.700000000000003</v>
      </c>
      <c r="P7" s="3">
        <v>15.2</v>
      </c>
      <c r="Q7" s="3">
        <v>75.5</v>
      </c>
      <c r="R7" s="3">
        <v>28.7</v>
      </c>
      <c r="S7" s="3">
        <v>50.8</v>
      </c>
      <c r="T7" s="3">
        <v>73.900000000000006</v>
      </c>
      <c r="U7" s="3">
        <v>80.400000000000006</v>
      </c>
      <c r="V7" s="3">
        <v>24.1</v>
      </c>
      <c r="W7" s="3">
        <v>17.399999999999999</v>
      </c>
      <c r="X7" s="3">
        <v>52.9</v>
      </c>
      <c r="Y7" s="3">
        <v>54.3</v>
      </c>
      <c r="Z7" s="3">
        <v>18.3</v>
      </c>
      <c r="AA7" s="3">
        <v>45.7</v>
      </c>
      <c r="AB7" s="3"/>
      <c r="AC7" s="41"/>
      <c r="AD7" s="6">
        <f>20.02*AD6</f>
        <v>102.341995522898</v>
      </c>
      <c r="AE7" s="6">
        <f t="shared" ref="AE7:AW7" si="4">20.02*AE6</f>
        <v>104.42041499837092</v>
      </c>
      <c r="AF7" s="6">
        <f t="shared" si="4"/>
        <v>101.88578373907771</v>
      </c>
      <c r="AG7" s="6">
        <f t="shared" si="4"/>
        <v>102.57103099385897</v>
      </c>
      <c r="AH7" s="6">
        <f t="shared" si="4"/>
        <v>89.414382793764474</v>
      </c>
      <c r="AI7" s="6">
        <f t="shared" si="4"/>
        <v>74.301718129464973</v>
      </c>
      <c r="AJ7" s="6">
        <f t="shared" si="4"/>
        <v>67.714732963090725</v>
      </c>
      <c r="AK7" s="6">
        <f t="shared" si="4"/>
        <v>72.665795090968373</v>
      </c>
      <c r="AL7" s="6">
        <f t="shared" si="4"/>
        <v>72.018191456980688</v>
      </c>
      <c r="AM7" s="6">
        <f t="shared" si="4"/>
        <v>74.6365653486897</v>
      </c>
      <c r="AN7" s="6">
        <f t="shared" si="4"/>
        <v>81.968778135686449</v>
      </c>
      <c r="AO7" s="6">
        <f t="shared" si="4"/>
        <v>78.23845998029276</v>
      </c>
      <c r="AP7" s="6">
        <f t="shared" si="4"/>
        <v>78.398620834487616</v>
      </c>
      <c r="AQ7" s="6">
        <f t="shared" si="4"/>
        <v>78.117492844884381</v>
      </c>
      <c r="AR7" s="6">
        <f t="shared" si="4"/>
        <v>69.321372316011789</v>
      </c>
      <c r="AS7" s="6">
        <f t="shared" si="4"/>
        <v>73.446908470864258</v>
      </c>
      <c r="AT7" s="6">
        <f t="shared" si="4"/>
        <v>63.624637683565872</v>
      </c>
      <c r="AU7" s="6">
        <f t="shared" si="4"/>
        <v>68.553738344954894</v>
      </c>
      <c r="AV7" s="6">
        <f t="shared" si="4"/>
        <v>78.557510557394266</v>
      </c>
      <c r="AW7" s="6">
        <f t="shared" si="4"/>
        <v>71.063340083344173</v>
      </c>
      <c r="AX7" s="6">
        <f t="shared" ref="AX7:BC7" si="5">20.02*AX6</f>
        <v>70.360811860722549</v>
      </c>
      <c r="AY7" s="6">
        <f t="shared" si="5"/>
        <v>74.247815269830525</v>
      </c>
      <c r="AZ7" s="6">
        <f t="shared" si="5"/>
        <v>82.495650648200282</v>
      </c>
      <c r="BA7" s="6">
        <f t="shared" si="5"/>
        <v>83.755185432919873</v>
      </c>
      <c r="BB7" s="6">
        <f t="shared" si="5"/>
        <v>68.422888205939586</v>
      </c>
      <c r="BC7" s="6">
        <f t="shared" si="5"/>
        <v>80.407988075462811</v>
      </c>
    </row>
    <row r="8" spans="1:55" ht="15.5">
      <c r="A8" s="38" t="s">
        <v>26</v>
      </c>
      <c r="B8" s="3">
        <v>1.625</v>
      </c>
      <c r="C8" s="3">
        <v>2.17</v>
      </c>
      <c r="D8" s="3">
        <v>2.1</v>
      </c>
      <c r="E8" s="3">
        <v>2.84</v>
      </c>
      <c r="F8" s="3">
        <v>1.79</v>
      </c>
      <c r="G8" s="3">
        <v>2.14</v>
      </c>
      <c r="H8" s="3">
        <v>2.5125000000000002</v>
      </c>
      <c r="I8" s="3">
        <v>1.7</v>
      </c>
      <c r="J8" s="3">
        <v>1.76</v>
      </c>
      <c r="K8" s="3">
        <v>1.8</v>
      </c>
      <c r="L8" s="3">
        <v>2.4</v>
      </c>
      <c r="M8" s="3">
        <v>2.2999999999999998</v>
      </c>
      <c r="N8" s="3">
        <v>3</v>
      </c>
      <c r="O8" s="3">
        <v>1.7</v>
      </c>
      <c r="P8" s="3">
        <v>2.6</v>
      </c>
      <c r="Q8" s="3">
        <v>2.1</v>
      </c>
      <c r="R8" s="3">
        <v>2.4</v>
      </c>
      <c r="S8" s="3">
        <v>1.7</v>
      </c>
      <c r="T8" s="3">
        <v>2.4</v>
      </c>
      <c r="U8" s="3">
        <v>2.7</v>
      </c>
      <c r="V8" s="3">
        <v>1.7</v>
      </c>
      <c r="W8" s="3">
        <v>2.2000000000000002</v>
      </c>
      <c r="X8" s="3">
        <v>2.21</v>
      </c>
      <c r="Y8" s="3">
        <v>1.86</v>
      </c>
      <c r="Z8" s="703">
        <v>1.98</v>
      </c>
      <c r="AA8" s="703">
        <v>1.17</v>
      </c>
      <c r="AB8" s="703"/>
      <c r="AC8" s="41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5" ht="31">
      <c r="AC9" s="41" t="s">
        <v>41</v>
      </c>
      <c r="AD9" s="6">
        <f t="shared" ref="AD9:BC9" si="6">LN(1/B8-0.08)</f>
        <v>-0.62476988311520831</v>
      </c>
      <c r="AE9" s="6">
        <f t="shared" si="6"/>
        <v>-0.96540352872907653</v>
      </c>
      <c r="AF9" s="6">
        <f t="shared" si="6"/>
        <v>-0.92586018289030592</v>
      </c>
      <c r="AG9" s="6">
        <f t="shared" si="6"/>
        <v>-1.3015390482569433</v>
      </c>
      <c r="AH9" s="6">
        <f t="shared" si="6"/>
        <v>-0.7367663797012618</v>
      </c>
      <c r="AI9" s="6">
        <f t="shared" si="6"/>
        <v>-0.94858223651067863</v>
      </c>
      <c r="AJ9" s="6">
        <f t="shared" si="6"/>
        <v>-1.1456726066010567</v>
      </c>
      <c r="AK9" s="6">
        <f t="shared" si="6"/>
        <v>-0.67681076124025175</v>
      </c>
      <c r="AL9" s="6">
        <f t="shared" si="6"/>
        <v>-0.71706736427759721</v>
      </c>
      <c r="AM9" s="6">
        <f t="shared" si="6"/>
        <v>-0.74327156774251391</v>
      </c>
      <c r="AN9" s="6">
        <f t="shared" si="6"/>
        <v>-1.0886619578149417</v>
      </c>
      <c r="AO9" s="6">
        <f t="shared" si="6"/>
        <v>-1.0362500469531339</v>
      </c>
      <c r="AP9" s="6">
        <f t="shared" si="6"/>
        <v>-1.3730491343698701</v>
      </c>
      <c r="AQ9" s="6">
        <f t="shared" si="6"/>
        <v>-0.67681076124025175</v>
      </c>
      <c r="AR9" s="6">
        <f t="shared" si="6"/>
        <v>-1.1887053321951477</v>
      </c>
      <c r="AS9" s="6">
        <f t="shared" si="6"/>
        <v>-0.92586018289030592</v>
      </c>
      <c r="AT9" s="6">
        <f t="shared" si="6"/>
        <v>-1.0886619578149417</v>
      </c>
      <c r="AU9" s="6">
        <f t="shared" si="6"/>
        <v>-0.67681076124025175</v>
      </c>
      <c r="AV9" s="6">
        <f t="shared" si="6"/>
        <v>-1.0886619578149417</v>
      </c>
      <c r="AW9" s="6">
        <f t="shared" si="6"/>
        <v>-1.2365980316420127</v>
      </c>
      <c r="AX9" s="6">
        <f t="shared" si="6"/>
        <v>-0.67681076124025175</v>
      </c>
      <c r="AY9" s="6">
        <f t="shared" si="6"/>
        <v>-0.9820421094369356</v>
      </c>
      <c r="AZ9" s="6">
        <f t="shared" si="6"/>
        <v>-0.9875486099919587</v>
      </c>
      <c r="BA9" s="6">
        <f t="shared" si="6"/>
        <v>-0.78168464811986715</v>
      </c>
      <c r="BB9" s="6">
        <f t="shared" si="6"/>
        <v>-0.8555472817051355</v>
      </c>
      <c r="BC9" s="6">
        <f t="shared" si="6"/>
        <v>-0.25527831807800511</v>
      </c>
    </row>
    <row r="10" spans="1:55" ht="15.5">
      <c r="AC10" s="41"/>
      <c r="AD10" s="6">
        <f>75.34+(19.46*AD9)</f>
        <v>63.181978074578048</v>
      </c>
      <c r="AE10" s="6">
        <f t="shared" ref="AE10:AS10" si="7">75.34+(19.46*AE9)</f>
        <v>56.553247330932173</v>
      </c>
      <c r="AF10" s="6">
        <f t="shared" si="7"/>
        <v>57.322760840954651</v>
      </c>
      <c r="AG10" s="6">
        <f t="shared" si="7"/>
        <v>50.012050120919881</v>
      </c>
      <c r="AH10" s="6">
        <f t="shared" si="7"/>
        <v>61.00252625101345</v>
      </c>
      <c r="AI10" s="6">
        <f t="shared" si="7"/>
        <v>56.880589677502201</v>
      </c>
      <c r="AJ10" s="6">
        <f t="shared" si="7"/>
        <v>53.045211075543435</v>
      </c>
      <c r="AK10" s="6">
        <f t="shared" si="7"/>
        <v>62.169262586264708</v>
      </c>
      <c r="AL10" s="6">
        <f t="shared" si="7"/>
        <v>61.385869091157957</v>
      </c>
      <c r="AM10" s="6">
        <f t="shared" si="7"/>
        <v>60.875935291730684</v>
      </c>
      <c r="AN10" s="6">
        <f t="shared" si="7"/>
        <v>54.154638300921235</v>
      </c>
      <c r="AO10" s="6">
        <f t="shared" si="7"/>
        <v>55.174574086292012</v>
      </c>
      <c r="AP10" s="6">
        <f t="shared" si="7"/>
        <v>48.620463845162334</v>
      </c>
      <c r="AQ10" s="6">
        <f t="shared" si="7"/>
        <v>62.169262586264708</v>
      </c>
      <c r="AR10" s="6">
        <f t="shared" si="7"/>
        <v>52.207794235482424</v>
      </c>
      <c r="AS10" s="6">
        <f t="shared" si="7"/>
        <v>57.322760840954651</v>
      </c>
      <c r="AT10" s="6">
        <f t="shared" ref="AT10:AY10" si="8">75.34+(19.46*AT9)</f>
        <v>54.154638300921235</v>
      </c>
      <c r="AU10" s="6">
        <f t="shared" si="8"/>
        <v>62.169262586264708</v>
      </c>
      <c r="AV10" s="6">
        <f t="shared" si="8"/>
        <v>54.154638300921235</v>
      </c>
      <c r="AW10" s="6">
        <f t="shared" si="8"/>
        <v>51.27580230424644</v>
      </c>
      <c r="AX10" s="6">
        <f t="shared" si="8"/>
        <v>62.169262586264708</v>
      </c>
      <c r="AY10" s="6">
        <f t="shared" si="8"/>
        <v>56.229460550357231</v>
      </c>
      <c r="AZ10" s="6">
        <f>75.34+(19.46*AZ9)</f>
        <v>56.12230404955649</v>
      </c>
      <c r="BA10" s="6">
        <f>75.34+(19.46*BA9)</f>
        <v>60.128416747587387</v>
      </c>
      <c r="BB10" s="6">
        <f>75.34+(19.46*BB9)</f>
        <v>58.691049898018065</v>
      </c>
      <c r="BC10" s="6">
        <f>75.34+(19.46*BC9)</f>
        <v>70.37228393020203</v>
      </c>
    </row>
    <row r="11" spans="1:55" ht="15.5">
      <c r="AC11" s="41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5" ht="15.5">
      <c r="AC12" s="41" t="s">
        <v>42</v>
      </c>
      <c r="AD12" s="6">
        <f>+(AD4+AD7+AD10)/3</f>
        <v>71.50794563964682</v>
      </c>
      <c r="AE12" s="6">
        <f t="shared" ref="AE12:AR12" si="9">+(AE4+AE7+AE10)/3</f>
        <v>75.008652243280963</v>
      </c>
      <c r="AF12" s="6">
        <f t="shared" si="9"/>
        <v>73.891647378922414</v>
      </c>
      <c r="AG12" s="6">
        <f t="shared" si="9"/>
        <v>68.035313508447373</v>
      </c>
      <c r="AH12" s="6">
        <f t="shared" si="9"/>
        <v>71.30737087336658</v>
      </c>
      <c r="AI12" s="6">
        <f t="shared" si="9"/>
        <v>58.215884707892478</v>
      </c>
      <c r="AJ12" s="6">
        <f t="shared" si="9"/>
        <v>60.566485160809464</v>
      </c>
      <c r="AK12" s="6">
        <f t="shared" si="9"/>
        <v>61.725557393936491</v>
      </c>
      <c r="AL12" s="6">
        <f t="shared" si="9"/>
        <v>58.145763058488562</v>
      </c>
      <c r="AM12" s="6">
        <f t="shared" si="9"/>
        <v>60.286937270508531</v>
      </c>
      <c r="AN12" s="6">
        <f t="shared" si="9"/>
        <v>64.760419004962259</v>
      </c>
      <c r="AO12" s="6">
        <f t="shared" si="9"/>
        <v>66.532212591251763</v>
      </c>
      <c r="AP12" s="6">
        <f t="shared" si="9"/>
        <v>62.149554721826782</v>
      </c>
      <c r="AQ12" s="6">
        <f t="shared" si="9"/>
        <v>66.381093125951168</v>
      </c>
      <c r="AR12" s="6">
        <f t="shared" si="9"/>
        <v>56.246903630180377</v>
      </c>
      <c r="AS12" s="6">
        <f t="shared" ref="AS12:BC12" si="10">+(AS4+AS7+AS10)/3</f>
        <v>63.399749599216442</v>
      </c>
      <c r="AT12" s="6">
        <f t="shared" si="10"/>
        <v>56.540864342495318</v>
      </c>
      <c r="AU12" s="6">
        <f t="shared" si="10"/>
        <v>60.959936193838473</v>
      </c>
      <c r="AV12" s="6">
        <f t="shared" si="10"/>
        <v>64.606445536666456</v>
      </c>
      <c r="AW12" s="6">
        <f t="shared" si="10"/>
        <v>59.58671647950522</v>
      </c>
      <c r="AX12" s="6">
        <f t="shared" si="10"/>
        <v>62.191196381036377</v>
      </c>
      <c r="AY12" s="6">
        <f t="shared" si="10"/>
        <v>61.596777024781623</v>
      </c>
      <c r="AZ12" s="6">
        <f t="shared" si="10"/>
        <v>65.85719446283872</v>
      </c>
      <c r="BA12" s="6">
        <f t="shared" si="10"/>
        <v>67.514644208189111</v>
      </c>
      <c r="BB12" s="6">
        <f t="shared" si="10"/>
        <v>57.054090152135039</v>
      </c>
      <c r="BC12" s="6">
        <f t="shared" si="10"/>
        <v>69.328999562795389</v>
      </c>
    </row>
    <row r="13" spans="1:55">
      <c r="AC13" s="38"/>
      <c r="AD13" s="6" t="s">
        <v>43</v>
      </c>
      <c r="AE13" s="6" t="s">
        <v>43</v>
      </c>
      <c r="AF13" s="6" t="s">
        <v>43</v>
      </c>
      <c r="AG13" s="6" t="s">
        <v>43</v>
      </c>
      <c r="AH13" s="6" t="s">
        <v>43</v>
      </c>
      <c r="AI13" s="6" t="s">
        <v>44</v>
      </c>
      <c r="AJ13" s="6" t="s">
        <v>44</v>
      </c>
      <c r="AK13" s="6" t="s">
        <v>44</v>
      </c>
      <c r="AL13" s="6" t="s">
        <v>44</v>
      </c>
      <c r="AM13" s="6" t="s">
        <v>44</v>
      </c>
      <c r="AN13" s="6" t="s">
        <v>44</v>
      </c>
      <c r="AO13" s="6" t="s">
        <v>44</v>
      </c>
      <c r="AP13" s="6" t="s">
        <v>44</v>
      </c>
    </row>
    <row r="14" spans="1:5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6"/>
    </row>
    <row r="15" spans="1:55">
      <c r="A15" s="1439" t="s">
        <v>32</v>
      </c>
      <c r="B15" s="1439"/>
      <c r="C15" s="1439"/>
      <c r="D15" s="1439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55"/>
      <c r="P15" s="155"/>
      <c r="Q15" s="155"/>
      <c r="R15" s="155"/>
      <c r="S15" s="155"/>
      <c r="T15" s="155"/>
      <c r="U15" s="155"/>
      <c r="V15" s="155"/>
      <c r="W15" s="246"/>
      <c r="X15" s="267"/>
      <c r="Y15" s="454"/>
      <c r="Z15" s="246"/>
      <c r="AA15" s="1074"/>
      <c r="AB15" s="1074"/>
      <c r="AC15" s="1439" t="s">
        <v>46</v>
      </c>
      <c r="AD15" s="1439"/>
      <c r="AE15" s="1439"/>
      <c r="AF15" s="1439"/>
      <c r="AG15" s="1439"/>
      <c r="AH15" s="1439"/>
      <c r="AI15" s="1439"/>
      <c r="AJ15" s="1439"/>
      <c r="AK15" s="1439"/>
      <c r="AL15" s="1439"/>
      <c r="AM15" s="1439"/>
      <c r="AN15" s="1439"/>
      <c r="AO15" s="1439"/>
      <c r="AP15" s="1439"/>
    </row>
    <row r="16" spans="1:55">
      <c r="A16" s="38"/>
      <c r="B16" s="38"/>
      <c r="C16" s="351">
        <v>1991</v>
      </c>
      <c r="D16" s="351">
        <v>1992</v>
      </c>
      <c r="E16" s="351">
        <v>1993</v>
      </c>
      <c r="F16" s="351">
        <v>1994</v>
      </c>
      <c r="G16" s="351">
        <v>1995</v>
      </c>
      <c r="H16" s="351">
        <v>1996</v>
      </c>
      <c r="I16" s="351">
        <v>1997</v>
      </c>
      <c r="J16" s="351">
        <v>1998</v>
      </c>
      <c r="K16" s="351">
        <v>1999</v>
      </c>
      <c r="L16" s="351">
        <v>2000</v>
      </c>
      <c r="M16" s="351">
        <v>2001</v>
      </c>
      <c r="N16" s="351">
        <v>2002</v>
      </c>
      <c r="O16" s="351">
        <v>2003</v>
      </c>
      <c r="P16" s="351">
        <v>2004</v>
      </c>
      <c r="Q16" s="351">
        <v>2005</v>
      </c>
      <c r="R16" s="351">
        <v>2006</v>
      </c>
      <c r="S16" s="351">
        <v>2007</v>
      </c>
      <c r="T16" s="351">
        <v>2008</v>
      </c>
      <c r="U16" s="351">
        <v>2009</v>
      </c>
      <c r="V16" s="351">
        <v>2010</v>
      </c>
      <c r="W16" s="351">
        <v>2011</v>
      </c>
      <c r="X16" s="351">
        <v>2012</v>
      </c>
      <c r="Y16" s="351">
        <v>2013</v>
      </c>
      <c r="Z16" s="628">
        <v>2014</v>
      </c>
      <c r="AA16" s="628">
        <v>2015</v>
      </c>
      <c r="AB16" s="628"/>
      <c r="AC16" s="38"/>
      <c r="AD16" s="351">
        <v>1988</v>
      </c>
      <c r="AE16" s="351">
        <v>1991</v>
      </c>
      <c r="AF16" s="351">
        <v>1992</v>
      </c>
      <c r="AG16" s="351">
        <v>1993</v>
      </c>
      <c r="AH16" s="351">
        <v>1994</v>
      </c>
      <c r="AI16" s="351">
        <v>1995</v>
      </c>
      <c r="AJ16" s="351">
        <v>1996</v>
      </c>
      <c r="AK16" s="351">
        <v>1997</v>
      </c>
      <c r="AL16" s="351">
        <v>1998</v>
      </c>
      <c r="AM16" s="351">
        <v>1999</v>
      </c>
      <c r="AN16" s="351">
        <v>2000</v>
      </c>
      <c r="AO16" s="351">
        <v>2001</v>
      </c>
      <c r="AP16" s="351">
        <v>2002</v>
      </c>
      <c r="AQ16" s="351">
        <v>2003</v>
      </c>
      <c r="AR16" s="351">
        <v>2004</v>
      </c>
      <c r="AS16" s="351">
        <v>2005</v>
      </c>
      <c r="AT16" s="351">
        <v>2006</v>
      </c>
      <c r="AU16" s="351">
        <v>2007</v>
      </c>
      <c r="AV16" s="351">
        <v>2008</v>
      </c>
      <c r="AW16" s="351">
        <v>2009</v>
      </c>
      <c r="AX16" s="351">
        <v>2010</v>
      </c>
      <c r="AY16" s="351">
        <v>2011</v>
      </c>
      <c r="AZ16" s="351">
        <v>2012</v>
      </c>
      <c r="BA16" s="460">
        <v>2013</v>
      </c>
      <c r="BB16" s="674">
        <v>2014</v>
      </c>
      <c r="BC16" s="460">
        <v>2015</v>
      </c>
    </row>
    <row r="17" spans="1:55" ht="15.5">
      <c r="A17" s="38" t="s">
        <v>28</v>
      </c>
      <c r="C17" s="3">
        <v>191.83</v>
      </c>
      <c r="D17" s="3">
        <v>181.66</v>
      </c>
      <c r="E17" s="3">
        <v>206.9</v>
      </c>
      <c r="F17" s="3">
        <v>92.27</v>
      </c>
      <c r="G17" s="3">
        <v>58.4</v>
      </c>
      <c r="H17" s="3">
        <v>30.9</v>
      </c>
      <c r="I17" s="3">
        <v>39</v>
      </c>
      <c r="J17" s="3">
        <v>35</v>
      </c>
      <c r="K17" s="3">
        <v>46.4</v>
      </c>
      <c r="L17" s="3">
        <v>42.4</v>
      </c>
      <c r="M17" s="3">
        <v>62.2</v>
      </c>
      <c r="N17" s="3">
        <v>51</v>
      </c>
      <c r="O17" s="3">
        <v>62.4</v>
      </c>
      <c r="P17" s="3">
        <v>40.299999999999997</v>
      </c>
      <c r="Q17" s="3">
        <v>45.8</v>
      </c>
      <c r="R17" s="3">
        <v>25.5</v>
      </c>
      <c r="S17" s="3">
        <v>28.6</v>
      </c>
      <c r="T17" s="3">
        <v>61.4</v>
      </c>
      <c r="U17" s="3">
        <v>49.1</v>
      </c>
      <c r="V17" s="3">
        <v>38.799999999999997</v>
      </c>
      <c r="W17" s="3">
        <v>55.2</v>
      </c>
      <c r="X17" s="3">
        <v>97.2</v>
      </c>
      <c r="Y17" s="3">
        <v>111.7</v>
      </c>
      <c r="Z17" s="6">
        <v>44.7</v>
      </c>
      <c r="AA17" s="6">
        <v>87.8</v>
      </c>
      <c r="AB17" s="6"/>
      <c r="AC17" s="41" t="s">
        <v>39</v>
      </c>
      <c r="AD17" s="6"/>
      <c r="AE17" s="6">
        <f t="shared" ref="AE17:BC17" si="11">LN(C19)</f>
        <v>1.3837912309017721</v>
      </c>
      <c r="AF17" s="6">
        <f t="shared" si="11"/>
        <v>2.4664031782234406</v>
      </c>
      <c r="AG17" s="6">
        <f t="shared" si="11"/>
        <v>2.6672282065819548</v>
      </c>
      <c r="AH17" s="6">
        <f t="shared" si="11"/>
        <v>3.2733640101522705</v>
      </c>
      <c r="AI17" s="6">
        <f t="shared" si="11"/>
        <v>2.3942522815198695</v>
      </c>
      <c r="AJ17" s="6">
        <f t="shared" si="11"/>
        <v>3.1701056604987712</v>
      </c>
      <c r="AK17" s="6">
        <f t="shared" si="11"/>
        <v>1.791759469228055</v>
      </c>
      <c r="AL17" s="6">
        <f t="shared" si="11"/>
        <v>0.9895411936137477</v>
      </c>
      <c r="AM17" s="6">
        <f t="shared" si="11"/>
        <v>1.1314021114911006</v>
      </c>
      <c r="AN17" s="6">
        <f t="shared" si="11"/>
        <v>2.6810215287142909</v>
      </c>
      <c r="AO17" s="6">
        <f t="shared" si="11"/>
        <v>3.1570004211501135</v>
      </c>
      <c r="AP17" s="6">
        <f t="shared" si="11"/>
        <v>3.0106208860477417</v>
      </c>
      <c r="AQ17" s="6">
        <f t="shared" si="11"/>
        <v>2.917770732084279</v>
      </c>
      <c r="AR17" s="6">
        <f t="shared" si="11"/>
        <v>2.1400661634962708</v>
      </c>
      <c r="AS17" s="6">
        <f t="shared" si="11"/>
        <v>2.7408400239252009</v>
      </c>
      <c r="AT17" s="6">
        <f t="shared" si="11"/>
        <v>2.5802168295923251</v>
      </c>
      <c r="AU17" s="6">
        <f t="shared" si="11"/>
        <v>1.8718021769015913</v>
      </c>
      <c r="AV17" s="6">
        <f t="shared" si="11"/>
        <v>3.2503744919275719</v>
      </c>
      <c r="AW17" s="6">
        <f t="shared" si="11"/>
        <v>3.1484533605716547</v>
      </c>
      <c r="AX17" s="6">
        <f t="shared" si="11"/>
        <v>2.7212954278522306</v>
      </c>
      <c r="AY17" s="6">
        <f t="shared" si="11"/>
        <v>2.1972245773362196</v>
      </c>
      <c r="AZ17" s="6">
        <f t="shared" si="11"/>
        <v>3.2228678461377385</v>
      </c>
      <c r="BA17" s="6">
        <f t="shared" si="11"/>
        <v>3.2733640101522705</v>
      </c>
      <c r="BB17" s="6">
        <f t="shared" si="11"/>
        <v>2.1162555148025524</v>
      </c>
      <c r="BC17" s="6">
        <f t="shared" si="11"/>
        <v>3.039749158970765</v>
      </c>
    </row>
    <row r="18" spans="1:55" ht="15.5">
      <c r="A18" s="38" t="s">
        <v>29</v>
      </c>
      <c r="C18" s="3">
        <v>234.14</v>
      </c>
      <c r="D18" s="3">
        <v>133.19999999999999</v>
      </c>
      <c r="E18" s="3">
        <v>198.57</v>
      </c>
      <c r="F18" s="3">
        <v>156.69999999999999</v>
      </c>
      <c r="G18" s="3">
        <v>284.52999999999997</v>
      </c>
      <c r="H18" s="3">
        <v>340.4</v>
      </c>
      <c r="I18" s="3">
        <v>302.89999999999998</v>
      </c>
      <c r="J18" s="3">
        <v>228</v>
      </c>
      <c r="K18" s="3">
        <v>201</v>
      </c>
      <c r="L18" s="3">
        <v>347</v>
      </c>
      <c r="M18" s="3">
        <v>208</v>
      </c>
      <c r="N18" s="3">
        <v>171</v>
      </c>
      <c r="O18" s="3">
        <v>121</v>
      </c>
      <c r="P18" s="3">
        <v>175</v>
      </c>
      <c r="Q18" s="3">
        <v>150</v>
      </c>
      <c r="R18" s="3">
        <v>12</v>
      </c>
      <c r="S18" s="3">
        <v>145</v>
      </c>
      <c r="T18" s="3">
        <v>79</v>
      </c>
      <c r="U18" s="3">
        <v>180</v>
      </c>
      <c r="V18" s="3">
        <v>112</v>
      </c>
      <c r="W18" s="3">
        <v>111</v>
      </c>
      <c r="X18" s="3">
        <v>32</v>
      </c>
      <c r="Y18" s="3">
        <v>103</v>
      </c>
      <c r="Z18" s="3">
        <v>172</v>
      </c>
      <c r="AA18" s="3">
        <v>148</v>
      </c>
      <c r="AB18" s="3"/>
      <c r="AC18" s="41"/>
      <c r="AD18" s="6"/>
      <c r="AE18" s="6">
        <f>20+(14.42*AE17)</f>
        <v>39.954269549603552</v>
      </c>
      <c r="AF18" s="6">
        <f t="shared" ref="AF18:AT18" si="12">20+(14.42*AF17)</f>
        <v>55.565533829982016</v>
      </c>
      <c r="AG18" s="6">
        <f t="shared" si="12"/>
        <v>58.461430738911787</v>
      </c>
      <c r="AH18" s="6">
        <f t="shared" si="12"/>
        <v>67.201909026395739</v>
      </c>
      <c r="AI18" s="6">
        <f t="shared" si="12"/>
        <v>54.525117899516516</v>
      </c>
      <c r="AJ18" s="6">
        <f t="shared" si="12"/>
        <v>65.712923624392289</v>
      </c>
      <c r="AK18" s="6">
        <f t="shared" si="12"/>
        <v>45.83717154626855</v>
      </c>
      <c r="AL18" s="6">
        <f t="shared" si="12"/>
        <v>34.269184011910241</v>
      </c>
      <c r="AM18" s="6">
        <f t="shared" si="12"/>
        <v>36.314818447701668</v>
      </c>
      <c r="AN18" s="6">
        <f t="shared" si="12"/>
        <v>58.660330444060072</v>
      </c>
      <c r="AO18" s="6">
        <f t="shared" si="12"/>
        <v>65.523946072984643</v>
      </c>
      <c r="AP18" s="6">
        <f t="shared" si="12"/>
        <v>63.413153176808436</v>
      </c>
      <c r="AQ18" s="6">
        <f t="shared" si="12"/>
        <v>62.074253956655305</v>
      </c>
      <c r="AR18" s="6">
        <f t="shared" si="12"/>
        <v>50.859754077616223</v>
      </c>
      <c r="AS18" s="6">
        <f t="shared" si="12"/>
        <v>59.522913145001397</v>
      </c>
      <c r="AT18" s="6">
        <f t="shared" si="12"/>
        <v>57.206726682721325</v>
      </c>
      <c r="AU18" s="6">
        <f t="shared" ref="AU18:AZ18" si="13">20+(14.42*AU17)</f>
        <v>46.991387390920949</v>
      </c>
      <c r="AV18" s="6">
        <f t="shared" si="13"/>
        <v>66.870400173595584</v>
      </c>
      <c r="AW18" s="6">
        <f t="shared" si="13"/>
        <v>65.400697459443251</v>
      </c>
      <c r="AX18" s="6">
        <f t="shared" si="13"/>
        <v>59.241080069629163</v>
      </c>
      <c r="AY18" s="6">
        <f t="shared" si="13"/>
        <v>51.683978405188284</v>
      </c>
      <c r="AZ18" s="6">
        <f t="shared" si="13"/>
        <v>66.47375434130619</v>
      </c>
      <c r="BA18" s="6">
        <f>20+(14.42*BA17)</f>
        <v>67.201909026395739</v>
      </c>
      <c r="BB18" s="6">
        <f>20+(14.42*BB17)</f>
        <v>50.516404523452806</v>
      </c>
      <c r="BC18" s="6">
        <f>20+(14.42*BC17)</f>
        <v>63.833182872358428</v>
      </c>
    </row>
    <row r="19" spans="1:55" ht="15.5">
      <c r="A19" s="38" t="s">
        <v>30</v>
      </c>
      <c r="C19" s="3">
        <v>3.99</v>
      </c>
      <c r="D19" s="3">
        <v>11.78</v>
      </c>
      <c r="E19" s="3">
        <v>14.4</v>
      </c>
      <c r="F19" s="3">
        <v>26.4</v>
      </c>
      <c r="G19" s="3">
        <v>10.96</v>
      </c>
      <c r="H19" s="3">
        <v>23.81</v>
      </c>
      <c r="I19" s="3">
        <v>6</v>
      </c>
      <c r="J19" s="3">
        <v>2.69</v>
      </c>
      <c r="K19" s="3">
        <v>3.1</v>
      </c>
      <c r="L19" s="3">
        <v>14.6</v>
      </c>
      <c r="M19" s="3">
        <v>23.5</v>
      </c>
      <c r="N19" s="3">
        <v>20.3</v>
      </c>
      <c r="O19" s="3">
        <v>18.5</v>
      </c>
      <c r="P19" s="3">
        <v>8.5</v>
      </c>
      <c r="Q19" s="3">
        <v>15.5</v>
      </c>
      <c r="R19" s="3">
        <v>13.2</v>
      </c>
      <c r="S19" s="3">
        <v>6.5</v>
      </c>
      <c r="T19" s="3">
        <v>25.8</v>
      </c>
      <c r="U19" s="3">
        <v>23.3</v>
      </c>
      <c r="V19" s="3">
        <v>15.2</v>
      </c>
      <c r="W19" s="3">
        <v>9</v>
      </c>
      <c r="X19" s="3">
        <v>25.1</v>
      </c>
      <c r="Y19" s="3">
        <v>26.4</v>
      </c>
      <c r="Z19" s="3">
        <v>8.3000000000000007</v>
      </c>
      <c r="AA19" s="3">
        <v>20.9</v>
      </c>
      <c r="AB19" s="3"/>
      <c r="AC19" s="41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55" ht="15.5">
      <c r="A20" s="38" t="s">
        <v>31</v>
      </c>
      <c r="C20" s="3">
        <v>6.25</v>
      </c>
      <c r="D20" s="3">
        <v>26.18</v>
      </c>
      <c r="E20" s="3">
        <v>32</v>
      </c>
      <c r="F20" s="3">
        <v>69.5</v>
      </c>
      <c r="G20" s="3">
        <v>36.85</v>
      </c>
      <c r="H20" s="3">
        <v>91.4</v>
      </c>
      <c r="I20" s="3">
        <v>16.399999999999999</v>
      </c>
      <c r="J20" s="3">
        <v>5.8</v>
      </c>
      <c r="K20" s="3">
        <v>7.7</v>
      </c>
      <c r="L20" s="3">
        <v>95.9</v>
      </c>
      <c r="M20" s="3">
        <v>69.7</v>
      </c>
      <c r="N20" s="3">
        <v>43.7</v>
      </c>
      <c r="O20" s="3">
        <v>37.700000000000003</v>
      </c>
      <c r="P20" s="3">
        <v>15.2</v>
      </c>
      <c r="Q20" s="3">
        <v>75.5</v>
      </c>
      <c r="R20" s="3">
        <v>28.7</v>
      </c>
      <c r="S20" s="3">
        <v>20.7</v>
      </c>
      <c r="T20" s="3">
        <v>73.900000000000006</v>
      </c>
      <c r="U20" s="3">
        <v>80.400000000000006</v>
      </c>
      <c r="V20" s="3">
        <v>22.8</v>
      </c>
      <c r="W20" s="3">
        <v>17.399999999999999</v>
      </c>
      <c r="X20" s="3">
        <v>52.9</v>
      </c>
      <c r="Y20" s="3">
        <v>54.3</v>
      </c>
      <c r="Z20" s="3">
        <v>18.3</v>
      </c>
      <c r="AA20" s="3">
        <v>45.7</v>
      </c>
      <c r="AB20" s="3"/>
      <c r="AC20" s="41" t="s">
        <v>40</v>
      </c>
      <c r="AD20" s="6"/>
      <c r="AE20" s="6">
        <f t="shared" ref="AE20:BC20" si="14">LN(C17)</f>
        <v>5.2566095631482463</v>
      </c>
      <c r="AF20" s="6">
        <f t="shared" si="14"/>
        <v>5.2021368080740675</v>
      </c>
      <c r="AG20" s="6">
        <f t="shared" si="14"/>
        <v>5.3322355847514977</v>
      </c>
      <c r="AH20" s="6">
        <f t="shared" si="14"/>
        <v>4.5247190615904644</v>
      </c>
      <c r="AI20" s="6">
        <f t="shared" si="14"/>
        <v>4.0673158898341812</v>
      </c>
      <c r="AJ20" s="6">
        <f t="shared" si="14"/>
        <v>3.4307561839036995</v>
      </c>
      <c r="AK20" s="6">
        <f t="shared" si="14"/>
        <v>3.6635616461296463</v>
      </c>
      <c r="AL20" s="6">
        <f t="shared" si="14"/>
        <v>3.5553480614894135</v>
      </c>
      <c r="AM20" s="6">
        <f t="shared" si="14"/>
        <v>3.8372994592322094</v>
      </c>
      <c r="AN20" s="6">
        <f t="shared" si="14"/>
        <v>3.7471483622379123</v>
      </c>
      <c r="AO20" s="6">
        <f t="shared" si="14"/>
        <v>4.1303549997451334</v>
      </c>
      <c r="AP20" s="6">
        <f t="shared" si="14"/>
        <v>3.9318256327243257</v>
      </c>
      <c r="AQ20" s="6">
        <f t="shared" si="14"/>
        <v>4.133565275375382</v>
      </c>
      <c r="AR20" s="6">
        <f t="shared" si="14"/>
        <v>3.6963514689526371</v>
      </c>
      <c r="AS20" s="6">
        <f t="shared" si="14"/>
        <v>3.824284091120139</v>
      </c>
      <c r="AT20" s="6">
        <f t="shared" si="14"/>
        <v>3.2386784521643803</v>
      </c>
      <c r="AU20" s="6">
        <f t="shared" si="14"/>
        <v>3.3534067178258069</v>
      </c>
      <c r="AV20" s="6">
        <f t="shared" si="14"/>
        <v>4.1174098351530963</v>
      </c>
      <c r="AW20" s="6">
        <f t="shared" si="14"/>
        <v>3.8938590348004749</v>
      </c>
      <c r="AX20" s="6">
        <f t="shared" si="14"/>
        <v>3.6584202466292277</v>
      </c>
      <c r="AY20" s="6">
        <f t="shared" si="14"/>
        <v>4.01096295328305</v>
      </c>
      <c r="AZ20" s="6">
        <f t="shared" si="14"/>
        <v>4.5767707114663931</v>
      </c>
      <c r="BA20" s="6">
        <f t="shared" si="14"/>
        <v>4.715816706075155</v>
      </c>
      <c r="BB20" s="6">
        <f t="shared" si="14"/>
        <v>3.7999735016195233</v>
      </c>
      <c r="BC20" s="6">
        <f t="shared" si="14"/>
        <v>4.475061500641071</v>
      </c>
    </row>
    <row r="21" spans="1:55" ht="15.5">
      <c r="A21" s="38" t="s">
        <v>26</v>
      </c>
      <c r="C21" s="3">
        <v>2.0299999999999998</v>
      </c>
      <c r="D21" s="3">
        <v>2.12</v>
      </c>
      <c r="E21" s="3">
        <v>2.23</v>
      </c>
      <c r="F21" s="3">
        <v>1.7</v>
      </c>
      <c r="G21" s="3">
        <v>1.24</v>
      </c>
      <c r="H21" s="3">
        <v>2.5329999999999999</v>
      </c>
      <c r="I21" s="3">
        <v>1.4</v>
      </c>
      <c r="J21" s="3">
        <v>1.7</v>
      </c>
      <c r="K21" s="3">
        <v>1.8</v>
      </c>
      <c r="L21" s="3">
        <v>2.31</v>
      </c>
      <c r="M21" s="3">
        <v>2.2999999999999998</v>
      </c>
      <c r="N21" s="3">
        <v>2.7</v>
      </c>
      <c r="O21" s="3">
        <v>1.6</v>
      </c>
      <c r="P21" s="3">
        <v>2</v>
      </c>
      <c r="Q21" s="3">
        <v>1.5</v>
      </c>
      <c r="R21" s="3">
        <v>2.4</v>
      </c>
      <c r="S21" s="3">
        <v>2.5</v>
      </c>
      <c r="T21" s="3">
        <v>1.5</v>
      </c>
      <c r="U21" s="3">
        <v>1.8</v>
      </c>
      <c r="V21" s="3">
        <v>1.6</v>
      </c>
      <c r="W21" s="3">
        <v>2.2000000000000002</v>
      </c>
      <c r="X21" s="3">
        <v>1.42</v>
      </c>
      <c r="Y21" s="3">
        <v>1.1399999999999999</v>
      </c>
      <c r="Z21" s="703">
        <v>1.33</v>
      </c>
      <c r="AA21" s="703">
        <v>1.04</v>
      </c>
      <c r="AB21" s="703"/>
      <c r="AC21" s="41"/>
      <c r="AD21" s="6"/>
      <c r="AE21" s="6">
        <f>20.02*AE20</f>
        <v>105.23732345422789</v>
      </c>
      <c r="AF21" s="6">
        <f t="shared" ref="AF21:AT21" si="15">20.02*AF20</f>
        <v>104.14677889764283</v>
      </c>
      <c r="AG21" s="6">
        <f t="shared" si="15"/>
        <v>106.75135640672498</v>
      </c>
      <c r="AH21" s="6">
        <f t="shared" si="15"/>
        <v>90.584875613041092</v>
      </c>
      <c r="AI21" s="6">
        <f t="shared" si="15"/>
        <v>81.427664114480308</v>
      </c>
      <c r="AJ21" s="6">
        <f t="shared" si="15"/>
        <v>68.683738801752057</v>
      </c>
      <c r="AK21" s="6">
        <f t="shared" si="15"/>
        <v>73.344504155515523</v>
      </c>
      <c r="AL21" s="6">
        <f t="shared" si="15"/>
        <v>71.178068191018056</v>
      </c>
      <c r="AM21" s="6">
        <f t="shared" si="15"/>
        <v>76.822735173828832</v>
      </c>
      <c r="AN21" s="6">
        <f t="shared" si="15"/>
        <v>75.017910212003002</v>
      </c>
      <c r="AO21" s="6">
        <f t="shared" si="15"/>
        <v>82.689707094897571</v>
      </c>
      <c r="AP21" s="6">
        <f t="shared" si="15"/>
        <v>78.715149167140993</v>
      </c>
      <c r="AQ21" s="6">
        <f t="shared" si="15"/>
        <v>82.753976813015143</v>
      </c>
      <c r="AR21" s="6">
        <f t="shared" si="15"/>
        <v>74.00095640843179</v>
      </c>
      <c r="AS21" s="6">
        <f t="shared" si="15"/>
        <v>76.562167504225187</v>
      </c>
      <c r="AT21" s="6">
        <f t="shared" si="15"/>
        <v>64.838342612330891</v>
      </c>
      <c r="AU21" s="6">
        <f t="shared" ref="AU21:AZ21" si="16">20.02*AU20</f>
        <v>67.135202490872658</v>
      </c>
      <c r="AV21" s="6">
        <f t="shared" si="16"/>
        <v>82.430544899764982</v>
      </c>
      <c r="AW21" s="6">
        <f t="shared" si="16"/>
        <v>77.95505787670551</v>
      </c>
      <c r="AX21" s="6">
        <f t="shared" si="16"/>
        <v>73.241573337517138</v>
      </c>
      <c r="AY21" s="6">
        <f t="shared" si="16"/>
        <v>80.299478324726664</v>
      </c>
      <c r="AZ21" s="6">
        <f t="shared" si="16"/>
        <v>91.626949643557182</v>
      </c>
      <c r="BA21" s="6">
        <f>20.02*BA20</f>
        <v>94.410650455624605</v>
      </c>
      <c r="BB21" s="6">
        <f>20.02*BB20</f>
        <v>76.075469502422848</v>
      </c>
      <c r="BC21" s="6">
        <f>20.02*BC20</f>
        <v>89.590731242834238</v>
      </c>
    </row>
    <row r="22" spans="1:55" ht="15.5">
      <c r="AC22" s="41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55" ht="31">
      <c r="AC23" s="41" t="s">
        <v>41</v>
      </c>
      <c r="AD23" s="6"/>
      <c r="AE23" s="6">
        <f t="shared" ref="AE23:BC23" si="17">LN(1/C21-0.08)</f>
        <v>-0.88525041247950575</v>
      </c>
      <c r="AF23" s="6">
        <f t="shared" si="17"/>
        <v>-0.93726385525443412</v>
      </c>
      <c r="AG23" s="6">
        <f t="shared" si="17"/>
        <v>-0.998503205839816</v>
      </c>
      <c r="AH23" s="6">
        <f t="shared" si="17"/>
        <v>-0.67681076124025175</v>
      </c>
      <c r="AI23" s="6">
        <f t="shared" si="17"/>
        <v>-0.31958340121365647</v>
      </c>
      <c r="AJ23" s="6">
        <f t="shared" si="17"/>
        <v>-1.1558533793424743</v>
      </c>
      <c r="AK23" s="6">
        <f t="shared" si="17"/>
        <v>-0.45525577261117983</v>
      </c>
      <c r="AL23" s="6">
        <f t="shared" si="17"/>
        <v>-0.67681076124025175</v>
      </c>
      <c r="AM23" s="6">
        <f t="shared" si="17"/>
        <v>-0.74327156774251391</v>
      </c>
      <c r="AN23" s="6">
        <f t="shared" si="17"/>
        <v>-1.0415693216073243</v>
      </c>
      <c r="AO23" s="6">
        <f t="shared" si="17"/>
        <v>-1.0362500469531339</v>
      </c>
      <c r="AP23" s="6">
        <f t="shared" si="17"/>
        <v>-1.2365980316420127</v>
      </c>
      <c r="AQ23" s="6">
        <f t="shared" si="17"/>
        <v>-0.60696948431889286</v>
      </c>
      <c r="AR23" s="6">
        <f t="shared" si="17"/>
        <v>-0.86750056770472306</v>
      </c>
      <c r="AS23" s="6">
        <f t="shared" si="17"/>
        <v>-0.53329847961804933</v>
      </c>
      <c r="AT23" s="6">
        <f t="shared" si="17"/>
        <v>-1.0886619578149417</v>
      </c>
      <c r="AU23" s="6">
        <f t="shared" si="17"/>
        <v>-1.1394342831883648</v>
      </c>
      <c r="AV23" s="6">
        <f t="shared" si="17"/>
        <v>-0.53329847961804933</v>
      </c>
      <c r="AW23" s="6">
        <f t="shared" si="17"/>
        <v>-0.74327156774251391</v>
      </c>
      <c r="AX23" s="6">
        <f t="shared" si="17"/>
        <v>-0.60696948431889286</v>
      </c>
      <c r="AY23" s="6">
        <f t="shared" si="17"/>
        <v>-0.9820421094369356</v>
      </c>
      <c r="AZ23" s="6">
        <f t="shared" si="17"/>
        <v>-0.47124383460228692</v>
      </c>
      <c r="BA23" s="6">
        <f t="shared" si="17"/>
        <v>-0.22665849342165412</v>
      </c>
      <c r="BB23" s="6">
        <f t="shared" si="17"/>
        <v>-0.39767597346080852</v>
      </c>
      <c r="BC23" s="6">
        <f t="shared" si="17"/>
        <v>-0.12608664617494328</v>
      </c>
    </row>
    <row r="24" spans="1:55" ht="15.5">
      <c r="AC24" s="41"/>
      <c r="AD24" s="6"/>
      <c r="AE24" s="6">
        <f>75.3+19.46*AE23</f>
        <v>58.073026973148814</v>
      </c>
      <c r="AF24" s="6">
        <f t="shared" ref="AF24:AT24" si="18">75.3+19.46*AF23</f>
        <v>57.060845376748709</v>
      </c>
      <c r="AG24" s="6">
        <f t="shared" si="18"/>
        <v>55.869127614357176</v>
      </c>
      <c r="AH24" s="6">
        <f t="shared" si="18"/>
        <v>62.129262586264701</v>
      </c>
      <c r="AI24" s="6">
        <f t="shared" si="18"/>
        <v>69.080907012382241</v>
      </c>
      <c r="AJ24" s="6">
        <f t="shared" si="18"/>
        <v>52.807093237995446</v>
      </c>
      <c r="AK24" s="6">
        <f t="shared" si="18"/>
        <v>66.440722664986438</v>
      </c>
      <c r="AL24" s="6">
        <f t="shared" si="18"/>
        <v>62.129262586264701</v>
      </c>
      <c r="AM24" s="6">
        <f t="shared" si="18"/>
        <v>60.835935291730678</v>
      </c>
      <c r="AN24" s="6">
        <f t="shared" si="18"/>
        <v>55.031061001521465</v>
      </c>
      <c r="AO24" s="6">
        <f t="shared" si="18"/>
        <v>55.134574086292005</v>
      </c>
      <c r="AP24" s="6">
        <f t="shared" si="18"/>
        <v>51.235802304246434</v>
      </c>
      <c r="AQ24" s="6">
        <f t="shared" si="18"/>
        <v>63.488373835154341</v>
      </c>
      <c r="AR24" s="6">
        <f t="shared" si="18"/>
        <v>58.41843895246609</v>
      </c>
      <c r="AS24" s="6">
        <f t="shared" si="18"/>
        <v>64.922011586632749</v>
      </c>
      <c r="AT24" s="6">
        <f t="shared" si="18"/>
        <v>54.114638300921229</v>
      </c>
      <c r="AU24" s="6">
        <f t="shared" ref="AU24:AZ24" si="19">75.3+19.46*AU23</f>
        <v>53.126608849154415</v>
      </c>
      <c r="AV24" s="6">
        <f t="shared" si="19"/>
        <v>64.922011586632749</v>
      </c>
      <c r="AW24" s="6">
        <f t="shared" si="19"/>
        <v>60.835935291730678</v>
      </c>
      <c r="AX24" s="6">
        <f t="shared" si="19"/>
        <v>63.488373835154341</v>
      </c>
      <c r="AY24" s="6">
        <f t="shared" si="19"/>
        <v>56.189460550357225</v>
      </c>
      <c r="AZ24" s="6">
        <f t="shared" si="19"/>
        <v>66.129594978639489</v>
      </c>
      <c r="BA24" s="6">
        <f>75.3+19.46*BA23</f>
        <v>70.889225718014615</v>
      </c>
      <c r="BB24" s="6">
        <f>75.3+19.46*BB23</f>
        <v>67.561225556452669</v>
      </c>
      <c r="BC24" s="6">
        <f>75.3+19.46*BC23</f>
        <v>72.846353865435603</v>
      </c>
    </row>
    <row r="25" spans="1:55" ht="15.5">
      <c r="AC25" s="41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55" ht="15.5">
      <c r="AC26" s="41" t="s">
        <v>129</v>
      </c>
      <c r="AD26" s="6"/>
      <c r="AE26" s="6">
        <f t="shared" ref="AE26:BC26" si="20">LN(C18)</f>
        <v>5.4559192270515267</v>
      </c>
      <c r="AF26" s="6">
        <f t="shared" si="20"/>
        <v>4.8918517581062888</v>
      </c>
      <c r="AG26" s="6">
        <f t="shared" si="20"/>
        <v>5.2911416827989415</v>
      </c>
      <c r="AH26" s="6">
        <f t="shared" si="20"/>
        <v>5.054333149361975</v>
      </c>
      <c r="AI26" s="6">
        <f t="shared" si="20"/>
        <v>5.6508386961617774</v>
      </c>
      <c r="AJ26" s="6">
        <f t="shared" si="20"/>
        <v>5.8301213966992194</v>
      </c>
      <c r="AK26" s="6">
        <f t="shared" si="20"/>
        <v>5.7134027180331914</v>
      </c>
      <c r="AL26" s="6">
        <f t="shared" si="20"/>
        <v>5.4293456289544411</v>
      </c>
      <c r="AM26" s="6">
        <f t="shared" si="20"/>
        <v>5.3033049080590757</v>
      </c>
      <c r="AN26" s="6">
        <f t="shared" si="20"/>
        <v>5.8493247799468593</v>
      </c>
      <c r="AO26" s="6">
        <f t="shared" si="20"/>
        <v>5.3375380797013179</v>
      </c>
      <c r="AP26" s="6">
        <f t="shared" si="20"/>
        <v>5.1416635565026603</v>
      </c>
      <c r="AQ26" s="6">
        <f t="shared" si="20"/>
        <v>4.7957905455967413</v>
      </c>
      <c r="AR26" s="6">
        <f t="shared" si="20"/>
        <v>5.1647859739235145</v>
      </c>
      <c r="AS26" s="6">
        <f t="shared" si="20"/>
        <v>5.0106352940962555</v>
      </c>
      <c r="AT26" s="6">
        <f t="shared" si="20"/>
        <v>2.4849066497880004</v>
      </c>
      <c r="AU26" s="6">
        <f t="shared" si="20"/>
        <v>4.9767337424205742</v>
      </c>
      <c r="AV26" s="6">
        <f t="shared" si="20"/>
        <v>4.3694478524670215</v>
      </c>
      <c r="AW26" s="6">
        <f t="shared" si="20"/>
        <v>5.1929568508902104</v>
      </c>
      <c r="AX26" s="6">
        <f t="shared" si="20"/>
        <v>4.7184988712950942</v>
      </c>
      <c r="AY26" s="6">
        <f t="shared" si="20"/>
        <v>4.7095302013123339</v>
      </c>
      <c r="AZ26" s="6">
        <f t="shared" si="20"/>
        <v>3.4657359027997265</v>
      </c>
      <c r="BA26" s="6">
        <f t="shared" si="20"/>
        <v>4.6347289882296359</v>
      </c>
      <c r="BB26" s="6">
        <f t="shared" si="20"/>
        <v>5.1474944768134527</v>
      </c>
      <c r="BC26" s="6">
        <f t="shared" si="20"/>
        <v>4.9972122737641147</v>
      </c>
    </row>
    <row r="27" spans="1:55" ht="15.5">
      <c r="AC27" s="41"/>
      <c r="AD27" s="6"/>
      <c r="AE27" s="6">
        <f>20.02*AE26</f>
        <v>109.22750292557156</v>
      </c>
      <c r="AF27" s="6">
        <f t="shared" ref="AF27:AT27" si="21">20.02*AF26</f>
        <v>97.934872197287902</v>
      </c>
      <c r="AG27" s="6">
        <f t="shared" si="21"/>
        <v>105.9286564896348</v>
      </c>
      <c r="AH27" s="6">
        <f t="shared" si="21"/>
        <v>101.18774965022673</v>
      </c>
      <c r="AI27" s="6">
        <f t="shared" si="21"/>
        <v>113.12979069715878</v>
      </c>
      <c r="AJ27" s="6">
        <f t="shared" si="21"/>
        <v>116.71903036191837</v>
      </c>
      <c r="AK27" s="6">
        <f t="shared" si="21"/>
        <v>114.38232241502449</v>
      </c>
      <c r="AL27" s="6">
        <f t="shared" si="21"/>
        <v>108.6954994916679</v>
      </c>
      <c r="AM27" s="6">
        <f t="shared" si="21"/>
        <v>106.17216425934269</v>
      </c>
      <c r="AN27" s="6">
        <f t="shared" si="21"/>
        <v>117.10348209453612</v>
      </c>
      <c r="AO27" s="6">
        <f t="shared" si="21"/>
        <v>106.85751235562039</v>
      </c>
      <c r="AP27" s="6">
        <f t="shared" si="21"/>
        <v>102.93610440118326</v>
      </c>
      <c r="AQ27" s="6">
        <f t="shared" si="21"/>
        <v>96.01172672284676</v>
      </c>
      <c r="AR27" s="6">
        <f t="shared" si="21"/>
        <v>103.39901519794876</v>
      </c>
      <c r="AS27" s="6">
        <f t="shared" si="21"/>
        <v>100.31291858780703</v>
      </c>
      <c r="AT27" s="6">
        <f t="shared" si="21"/>
        <v>49.747831128755763</v>
      </c>
      <c r="AU27" s="6">
        <f t="shared" ref="AU27:AZ27" si="22">20.02*AU26</f>
        <v>99.634209523259898</v>
      </c>
      <c r="AV27" s="6">
        <f t="shared" si="22"/>
        <v>87.476346006389775</v>
      </c>
      <c r="AW27" s="6">
        <f t="shared" si="22"/>
        <v>103.96299615482201</v>
      </c>
      <c r="AX27" s="6">
        <f t="shared" si="22"/>
        <v>94.464347403327778</v>
      </c>
      <c r="AY27" s="6">
        <f t="shared" si="22"/>
        <v>94.284794630272927</v>
      </c>
      <c r="AZ27" s="6">
        <f t="shared" si="22"/>
        <v>69.384032774050524</v>
      </c>
      <c r="BA27" s="6">
        <f>20.02*BA26</f>
        <v>92.787274344357314</v>
      </c>
      <c r="BB27" s="6">
        <f>20.02*BB26</f>
        <v>103.05283942580532</v>
      </c>
      <c r="BC27" s="6">
        <f>20.02*BC26</f>
        <v>100.04418972075757</v>
      </c>
    </row>
    <row r="28" spans="1:55" ht="15.5">
      <c r="AC28" s="41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55" ht="15.5">
      <c r="AC29" s="41" t="s">
        <v>42</v>
      </c>
      <c r="AD29" s="6"/>
      <c r="AE29" s="3">
        <f t="shared" ref="AE29:BC29" si="23">AVERAGE(AE27,AE24,AE21,AE18)</f>
        <v>78.123030725637946</v>
      </c>
      <c r="AF29" s="3">
        <f t="shared" si="23"/>
        <v>78.677007575415374</v>
      </c>
      <c r="AG29" s="3">
        <f t="shared" si="23"/>
        <v>81.752642812407174</v>
      </c>
      <c r="AH29" s="3">
        <f t="shared" si="23"/>
        <v>80.275949218982078</v>
      </c>
      <c r="AI29" s="3">
        <f t="shared" si="23"/>
        <v>79.540869930884469</v>
      </c>
      <c r="AJ29" s="3">
        <f t="shared" si="23"/>
        <v>75.980696506514533</v>
      </c>
      <c r="AK29" s="3">
        <f t="shared" si="23"/>
        <v>75.001180195448754</v>
      </c>
      <c r="AL29" s="3">
        <f t="shared" si="23"/>
        <v>69.068003570215225</v>
      </c>
      <c r="AM29" s="3">
        <f t="shared" si="23"/>
        <v>70.036413293150972</v>
      </c>
      <c r="AN29" s="3">
        <f t="shared" si="23"/>
        <v>76.453195938030177</v>
      </c>
      <c r="AO29" s="3">
        <f t="shared" si="23"/>
        <v>77.551434902448648</v>
      </c>
      <c r="AP29" s="3">
        <f t="shared" si="23"/>
        <v>74.075052262344784</v>
      </c>
      <c r="AQ29" s="3">
        <f t="shared" si="23"/>
        <v>76.082082831917887</v>
      </c>
      <c r="AR29" s="3">
        <f t="shared" si="23"/>
        <v>71.66954115911571</v>
      </c>
      <c r="AS29" s="3">
        <f t="shared" si="23"/>
        <v>75.330002705916598</v>
      </c>
      <c r="AT29" s="3">
        <f t="shared" si="23"/>
        <v>56.476884681182305</v>
      </c>
      <c r="AU29" s="3">
        <f t="shared" si="23"/>
        <v>66.721852063551978</v>
      </c>
      <c r="AV29" s="3">
        <f t="shared" si="23"/>
        <v>75.42482566659578</v>
      </c>
      <c r="AW29" s="3">
        <f t="shared" si="23"/>
        <v>77.038671695675362</v>
      </c>
      <c r="AX29" s="3">
        <f t="shared" si="23"/>
        <v>72.608843661407107</v>
      </c>
      <c r="AY29" s="3">
        <f t="shared" si="23"/>
        <v>70.614427977636282</v>
      </c>
      <c r="AZ29" s="3">
        <f t="shared" si="23"/>
        <v>73.403582934388339</v>
      </c>
      <c r="BA29" s="3">
        <f t="shared" si="23"/>
        <v>81.322264886098068</v>
      </c>
      <c r="BB29" s="3">
        <f t="shared" si="23"/>
        <v>74.301484752033417</v>
      </c>
      <c r="BC29" s="3">
        <f t="shared" si="23"/>
        <v>81.578614425346458</v>
      </c>
    </row>
    <row r="30" spans="1:55">
      <c r="AC30" s="38"/>
      <c r="AD30" s="6"/>
      <c r="AE30" s="634" t="s">
        <v>101</v>
      </c>
      <c r="AF30" s="154" t="s">
        <v>101</v>
      </c>
      <c r="AG30" s="154" t="s">
        <v>101</v>
      </c>
      <c r="AH30" s="154" t="s">
        <v>101</v>
      </c>
      <c r="AI30" s="634" t="s">
        <v>101</v>
      </c>
      <c r="AJ30" s="634" t="s">
        <v>100</v>
      </c>
      <c r="AK30" s="154" t="s">
        <v>102</v>
      </c>
      <c r="AL30" s="154" t="s">
        <v>102</v>
      </c>
      <c r="AM30" s="154" t="s">
        <v>102</v>
      </c>
      <c r="AN30" s="634" t="s">
        <v>100</v>
      </c>
      <c r="AO30" s="154" t="s">
        <v>100</v>
      </c>
      <c r="AP30" s="154" t="s">
        <v>102</v>
      </c>
      <c r="AQ30" s="154" t="s">
        <v>100</v>
      </c>
      <c r="AR30" s="153" t="s">
        <v>102</v>
      </c>
      <c r="AS30" s="633" t="s">
        <v>102</v>
      </c>
      <c r="AT30" s="154" t="s">
        <v>102</v>
      </c>
      <c r="AU30" s="154" t="s">
        <v>102</v>
      </c>
      <c r="AV30" s="634" t="s">
        <v>102</v>
      </c>
      <c r="AW30" s="634" t="s">
        <v>100</v>
      </c>
      <c r="AX30" s="172" t="s">
        <v>269</v>
      </c>
      <c r="AY30" s="245" t="s">
        <v>269</v>
      </c>
      <c r="AZ30" s="284" t="s">
        <v>269</v>
      </c>
      <c r="BA30" s="634" t="s">
        <v>100</v>
      </c>
      <c r="BB30" s="634" t="s">
        <v>269</v>
      </c>
      <c r="BC30" s="1073" t="s">
        <v>100</v>
      </c>
    </row>
    <row r="31" spans="1:55">
      <c r="AD31" s="6"/>
      <c r="AE31" s="45">
        <v>1991</v>
      </c>
      <c r="AF31" s="45">
        <v>1992</v>
      </c>
      <c r="AG31" s="45">
        <v>1993</v>
      </c>
      <c r="AH31" s="45">
        <v>1994</v>
      </c>
      <c r="AI31" s="45">
        <v>1995</v>
      </c>
      <c r="AJ31" s="45">
        <v>1996</v>
      </c>
      <c r="AK31" s="45">
        <v>1997</v>
      </c>
      <c r="AL31" s="45">
        <v>1998</v>
      </c>
      <c r="AM31" s="45">
        <v>1999</v>
      </c>
      <c r="AN31" s="45">
        <v>2000</v>
      </c>
      <c r="AO31" s="45">
        <v>2001</v>
      </c>
      <c r="AP31" s="45">
        <v>2002</v>
      </c>
      <c r="AQ31" s="45">
        <v>2003</v>
      </c>
      <c r="AR31" s="45">
        <v>2004</v>
      </c>
      <c r="AS31" s="45">
        <v>2005</v>
      </c>
      <c r="AT31" s="45">
        <v>2006</v>
      </c>
      <c r="AU31" s="45">
        <v>2007</v>
      </c>
      <c r="AV31" s="45">
        <v>2008</v>
      </c>
      <c r="AW31" s="45">
        <v>2009</v>
      </c>
      <c r="AX31" s="45">
        <v>2010</v>
      </c>
      <c r="AY31" s="45">
        <v>2011</v>
      </c>
      <c r="AZ31" s="45">
        <v>2012</v>
      </c>
      <c r="BA31" s="45">
        <v>2013</v>
      </c>
      <c r="BB31" s="45">
        <v>2014</v>
      </c>
      <c r="BC31" s="45">
        <v>2015</v>
      </c>
    </row>
    <row r="52" spans="1:7" ht="26">
      <c r="A52" s="1435" t="s">
        <v>143</v>
      </c>
      <c r="B52" s="1435"/>
      <c r="C52" s="1435"/>
      <c r="D52" s="1435"/>
      <c r="E52" s="1435"/>
      <c r="G52" s="702" t="s">
        <v>111</v>
      </c>
    </row>
    <row r="53" spans="1:7" ht="39">
      <c r="A53" s="1" t="s">
        <v>55</v>
      </c>
      <c r="B53" s="1438" t="s">
        <v>103</v>
      </c>
      <c r="C53" s="1438"/>
      <c r="D53" s="1438"/>
      <c r="E53" s="1438"/>
      <c r="G53" s="702" t="s">
        <v>67</v>
      </c>
    </row>
    <row r="54" spans="1:7">
      <c r="A54" s="1" t="s">
        <v>56</v>
      </c>
      <c r="B54" s="1438" t="s">
        <v>57</v>
      </c>
      <c r="C54" s="1438"/>
      <c r="D54" s="1438"/>
      <c r="E54" s="1438"/>
      <c r="G54" s="702" t="s">
        <v>109</v>
      </c>
    </row>
    <row r="55" spans="1:7" ht="26">
      <c r="A55" s="1" t="s">
        <v>98</v>
      </c>
      <c r="B55" s="1438" t="s">
        <v>99</v>
      </c>
      <c r="C55" s="1438"/>
      <c r="D55" s="1438"/>
      <c r="E55" s="1438"/>
      <c r="G55" s="702" t="s">
        <v>110</v>
      </c>
    </row>
    <row r="56" spans="1:7">
      <c r="A56" s="1" t="s">
        <v>58</v>
      </c>
      <c r="B56" s="1438" t="s">
        <v>59</v>
      </c>
      <c r="C56" s="1438"/>
      <c r="D56" s="1438"/>
      <c r="E56" s="1438"/>
    </row>
    <row r="57" spans="1:7">
      <c r="A57" s="1" t="s">
        <v>96</v>
      </c>
      <c r="B57" s="1438" t="s">
        <v>97</v>
      </c>
      <c r="C57" s="1438"/>
      <c r="D57" s="1438"/>
      <c r="E57" s="1438"/>
    </row>
    <row r="58" spans="1:7">
      <c r="A58" s="1" t="s">
        <v>60</v>
      </c>
      <c r="B58" s="1438" t="s">
        <v>61</v>
      </c>
      <c r="C58" s="1438"/>
      <c r="D58" s="1438"/>
      <c r="E58" s="1438"/>
    </row>
    <row r="59" spans="1:7">
      <c r="A59" s="1" t="s">
        <v>83</v>
      </c>
      <c r="B59" s="1438" t="s">
        <v>84</v>
      </c>
      <c r="C59" s="1438"/>
      <c r="D59" s="1438"/>
      <c r="E59" s="1438"/>
    </row>
    <row r="60" spans="1:7">
      <c r="A60" s="1435" t="s">
        <v>62</v>
      </c>
      <c r="B60" s="1435"/>
      <c r="C60" s="1435"/>
      <c r="D60" s="1435"/>
      <c r="E60" s="1435"/>
    </row>
    <row r="61" spans="1:7" ht="65">
      <c r="A61" s="1" t="s">
        <v>63</v>
      </c>
      <c r="B61" s="1" t="s">
        <v>59</v>
      </c>
    </row>
    <row r="88" spans="1:1">
      <c r="A88" s="17"/>
    </row>
    <row r="89" spans="1:1">
      <c r="A89" s="17"/>
    </row>
    <row r="90" spans="1:1">
      <c r="A90" s="17"/>
    </row>
  </sheetData>
  <mergeCells count="13">
    <mergeCell ref="B53:E53"/>
    <mergeCell ref="AC1:AP1"/>
    <mergeCell ref="A2:N2"/>
    <mergeCell ref="A15:N15"/>
    <mergeCell ref="AC15:AP15"/>
    <mergeCell ref="A52:E52"/>
    <mergeCell ref="B54:E54"/>
    <mergeCell ref="B55:E55"/>
    <mergeCell ref="A60:E60"/>
    <mergeCell ref="B56:E56"/>
    <mergeCell ref="B57:E57"/>
    <mergeCell ref="B58:E58"/>
    <mergeCell ref="B59:E59"/>
  </mergeCells>
  <phoneticPr fontId="7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AX505"/>
  <sheetViews>
    <sheetView topLeftCell="A415" zoomScaleNormal="100" workbookViewId="0">
      <selection activeCell="P24" sqref="P24"/>
    </sheetView>
  </sheetViews>
  <sheetFormatPr defaultRowHeight="14"/>
  <cols>
    <col min="1" max="1" width="22.453125" style="1" customWidth="1"/>
    <col min="2" max="2" width="12.90625" customWidth="1"/>
    <col min="3" max="3" width="13.90625" bestFit="1" customWidth="1"/>
    <col min="4" max="4" width="7" bestFit="1" customWidth="1"/>
    <col min="5" max="5" width="9.54296875" customWidth="1"/>
    <col min="6" max="6" width="11.90625" customWidth="1"/>
    <col min="7" max="7" width="11.08984375" customWidth="1"/>
    <col min="8" max="8" width="10.6328125" customWidth="1"/>
    <col min="9" max="9" width="10.54296875" customWidth="1"/>
    <col min="10" max="10" width="11" customWidth="1"/>
    <col min="11" max="11" width="11.6328125" customWidth="1"/>
    <col min="12" max="12" width="11" customWidth="1"/>
    <col min="13" max="13" width="12.54296875" customWidth="1"/>
    <col min="14" max="14" width="13.6328125" customWidth="1"/>
    <col min="15" max="15" width="13.08984375" customWidth="1"/>
    <col min="16" max="16" width="11.90625" customWidth="1"/>
    <col min="17" max="17" width="10.6328125" customWidth="1"/>
    <col min="18" max="18" width="10.453125" customWidth="1"/>
    <col min="19" max="19" width="10.36328125" customWidth="1"/>
    <col min="20" max="20" width="11.453125" customWidth="1"/>
    <col min="21" max="21" width="9.6328125" customWidth="1"/>
    <col min="22" max="22" width="10.90625" customWidth="1"/>
    <col min="23" max="23" width="9.90625" customWidth="1"/>
    <col min="24" max="24" width="17" customWidth="1"/>
    <col min="25" max="25" width="10.90625" customWidth="1"/>
    <col min="26" max="26" width="11.08984375" customWidth="1"/>
    <col min="27" max="27" width="11.453125" customWidth="1"/>
    <col min="28" max="28" width="12" customWidth="1"/>
    <col min="29" max="29" width="10.453125" customWidth="1"/>
    <col min="30" max="30" width="12.08984375" customWidth="1"/>
    <col min="31" max="31" width="11.6328125" customWidth="1"/>
    <col min="32" max="32" width="11" bestFit="1" customWidth="1"/>
    <col min="35" max="35" width="9.453125" customWidth="1"/>
    <col min="40" max="40" width="10" style="51" bestFit="1" customWidth="1"/>
    <col min="41" max="42" width="8.90625" style="51"/>
    <col min="43" max="44" width="9.453125" style="51" bestFit="1" customWidth="1"/>
    <col min="45" max="47" width="8.90625" style="51"/>
    <col min="49" max="49" width="11" style="75" bestFit="1" customWidth="1"/>
  </cols>
  <sheetData>
    <row r="1" spans="1:50">
      <c r="A1" s="1435" t="s">
        <v>267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</row>
    <row r="2" spans="1:50" ht="15" customHeight="1" thickBot="1">
      <c r="B2">
        <v>21.200000000000003</v>
      </c>
      <c r="C2">
        <v>20.892857142857142</v>
      </c>
      <c r="D2">
        <v>32.70645161290323</v>
      </c>
      <c r="E2">
        <v>60.63666666666667</v>
      </c>
      <c r="F2">
        <v>562.61290322580601</v>
      </c>
      <c r="G2">
        <v>558.6</v>
      </c>
      <c r="H2">
        <v>155.76923076923077</v>
      </c>
      <c r="I2">
        <v>67.256521739130449</v>
      </c>
      <c r="J2">
        <v>25.855172413793095</v>
      </c>
      <c r="K2">
        <v>28.677419354838712</v>
      </c>
      <c r="L2">
        <v>32.451612903225808</v>
      </c>
      <c r="M2">
        <v>31.516129032258064</v>
      </c>
    </row>
    <row r="3" spans="1:50" ht="28">
      <c r="B3" s="1" t="s">
        <v>166</v>
      </c>
      <c r="T3" t="s">
        <v>162</v>
      </c>
      <c r="U3" t="s">
        <v>163</v>
      </c>
      <c r="V3" t="s">
        <v>164</v>
      </c>
      <c r="W3" t="s">
        <v>165</v>
      </c>
      <c r="X3" t="s">
        <v>363</v>
      </c>
      <c r="AF3" s="835" t="s">
        <v>144</v>
      </c>
      <c r="AG3" s="855" t="s">
        <v>1129</v>
      </c>
      <c r="AH3" s="855" t="s">
        <v>1128</v>
      </c>
      <c r="AI3" s="855" t="s">
        <v>1130</v>
      </c>
      <c r="AJ3" s="855" t="s">
        <v>1131</v>
      </c>
      <c r="AK3" s="855" t="s">
        <v>1132</v>
      </c>
      <c r="AL3" s="855" t="s">
        <v>1133</v>
      </c>
      <c r="AM3" s="855" t="s">
        <v>1134</v>
      </c>
      <c r="AN3" s="835" t="s">
        <v>1186</v>
      </c>
      <c r="AO3" s="855" t="s">
        <v>1187</v>
      </c>
      <c r="AP3" s="855" t="s">
        <v>1188</v>
      </c>
      <c r="AQ3" s="855" t="s">
        <v>1189</v>
      </c>
      <c r="AR3" s="855" t="s">
        <v>1190</v>
      </c>
      <c r="AS3" s="855" t="s">
        <v>1191</v>
      </c>
      <c r="AT3" s="855" t="s">
        <v>1192</v>
      </c>
      <c r="AU3" s="855" t="s">
        <v>1193</v>
      </c>
      <c r="AW3" s="1055">
        <v>42005</v>
      </c>
      <c r="AX3" s="1052">
        <v>1931</v>
      </c>
    </row>
    <row r="4" spans="1:50" s="7" customFormat="1" ht="14.5">
      <c r="A4" s="63" t="s">
        <v>2</v>
      </c>
      <c r="B4" s="418">
        <v>42009</v>
      </c>
      <c r="C4" s="418">
        <v>42052</v>
      </c>
      <c r="D4" s="418">
        <v>42086</v>
      </c>
      <c r="E4" s="418">
        <v>42114</v>
      </c>
      <c r="F4" s="418">
        <v>42142</v>
      </c>
      <c r="G4" s="418">
        <v>42170</v>
      </c>
      <c r="H4" s="419">
        <v>42191</v>
      </c>
      <c r="I4" s="419"/>
      <c r="J4" s="419"/>
      <c r="K4" s="418"/>
      <c r="L4" s="418"/>
      <c r="M4" s="420"/>
      <c r="N4" s="420"/>
      <c r="O4" s="420"/>
      <c r="P4" s="420"/>
      <c r="Q4" s="147"/>
      <c r="R4" s="173"/>
      <c r="S4" s="173"/>
      <c r="T4" s="271">
        <v>2</v>
      </c>
      <c r="U4" s="270">
        <v>0.27</v>
      </c>
      <c r="V4" s="270">
        <v>0.4</v>
      </c>
      <c r="W4" s="270">
        <f>U4*2</f>
        <v>0.54</v>
      </c>
      <c r="X4" s="8">
        <f>V4*W4</f>
        <v>0.21600000000000003</v>
      </c>
      <c r="Z4" s="270">
        <v>1</v>
      </c>
      <c r="AA4" s="8">
        <v>0.34100000000000003</v>
      </c>
      <c r="AF4" s="836"/>
      <c r="AG4" s="836" t="s">
        <v>1135</v>
      </c>
      <c r="AH4" s="836" t="s">
        <v>1135</v>
      </c>
      <c r="AI4" s="836" t="s">
        <v>1135</v>
      </c>
      <c r="AJ4" s="836" t="s">
        <v>1135</v>
      </c>
      <c r="AK4" s="836" t="s">
        <v>1136</v>
      </c>
      <c r="AL4" s="836" t="s">
        <v>1137</v>
      </c>
      <c r="AM4" s="836" t="s">
        <v>1135</v>
      </c>
      <c r="AN4" s="893" t="s">
        <v>68</v>
      </c>
      <c r="AO4" s="64"/>
      <c r="AP4" s="64"/>
      <c r="AQ4" s="64">
        <f>AVERAGE(AI5:AI13)</f>
        <v>21.200000000000003</v>
      </c>
      <c r="AR4" s="64">
        <f>AVERAGE(AJ5:AJ13)</f>
        <v>20.644444444444442</v>
      </c>
      <c r="AS4" s="64">
        <f>AVERAGE(AK5:AK13)</f>
        <v>5558.5388888888883</v>
      </c>
      <c r="AT4" s="64">
        <f>AVERAGE(AL5:AL13)</f>
        <v>1940.8888888888889</v>
      </c>
      <c r="AU4" s="64">
        <f>AVERAGE(AM5:AM13)</f>
        <v>28.600000000000005</v>
      </c>
      <c r="AW4" s="1056">
        <v>42006</v>
      </c>
      <c r="AX4" s="1053">
        <v>1938</v>
      </c>
    </row>
    <row r="5" spans="1:50" s="4" customFormat="1" ht="14.5">
      <c r="A5" s="42" t="s">
        <v>18</v>
      </c>
      <c r="B5" s="572">
        <v>2.48</v>
      </c>
      <c r="C5" s="572">
        <v>2.36</v>
      </c>
      <c r="D5" s="572">
        <v>3.13</v>
      </c>
      <c r="E5" s="50">
        <v>41.7</v>
      </c>
      <c r="F5" s="50">
        <v>360</v>
      </c>
      <c r="G5" s="50">
        <v>148</v>
      </c>
      <c r="H5" s="50">
        <v>23</v>
      </c>
      <c r="I5" s="50"/>
      <c r="J5" s="50"/>
      <c r="K5" s="50"/>
      <c r="L5" s="50"/>
      <c r="M5" s="50"/>
      <c r="N5" s="50"/>
      <c r="O5" s="50"/>
      <c r="P5" s="50"/>
      <c r="Q5" s="167"/>
      <c r="R5" s="174"/>
      <c r="S5" s="174"/>
      <c r="T5" s="272">
        <v>4</v>
      </c>
      <c r="U5" s="6">
        <v>0.36</v>
      </c>
      <c r="V5" s="6">
        <v>0.28999999999999998</v>
      </c>
      <c r="W5" s="270">
        <f t="shared" ref="W5:W6" si="0">U5*2</f>
        <v>0.72</v>
      </c>
      <c r="X5" s="270">
        <f t="shared" ref="X5:X18" si="1">V5*W5</f>
        <v>0.20879999999999999</v>
      </c>
      <c r="Z5" s="6">
        <v>2</v>
      </c>
      <c r="AA5" s="4">
        <v>0.69</v>
      </c>
      <c r="AE5" s="4">
        <f>AVERAGE(AJ5:AJ13)</f>
        <v>20.644444444444442</v>
      </c>
      <c r="AF5" s="837">
        <v>42027</v>
      </c>
      <c r="AG5" s="838" t="s">
        <v>1138</v>
      </c>
      <c r="AH5" s="838" t="s">
        <v>1138</v>
      </c>
      <c r="AI5" s="844">
        <v>23.1</v>
      </c>
      <c r="AJ5" s="844">
        <v>15.8</v>
      </c>
      <c r="AK5" s="836">
        <v>5558.48</v>
      </c>
      <c r="AL5" s="836">
        <v>1935</v>
      </c>
      <c r="AM5" s="844">
        <v>25.5</v>
      </c>
      <c r="AN5" s="893" t="s">
        <v>69</v>
      </c>
      <c r="AO5" s="64"/>
      <c r="AP5" s="64"/>
      <c r="AQ5" s="64">
        <f>AVERAGE(AI14:AI41)</f>
        <v>20.892857142857142</v>
      </c>
      <c r="AR5" s="64">
        <f>AVERAGE(AJ14:AJ41)</f>
        <v>20.928571428571427</v>
      </c>
      <c r="AS5" s="64">
        <f>AVERAGE(AK14:AK41)</f>
        <v>5558.5510714285701</v>
      </c>
      <c r="AT5" s="64">
        <f>AVERAGE(AL14:AL41)</f>
        <v>1942.4642857142858</v>
      </c>
      <c r="AU5" s="64">
        <f>AVERAGE(AM14:AM41)</f>
        <v>36.932142857142864</v>
      </c>
      <c r="AW5" s="1056">
        <v>42007</v>
      </c>
      <c r="AX5" s="1053">
        <v>1940</v>
      </c>
    </row>
    <row r="6" spans="1:50" s="4" customFormat="1" ht="14.5">
      <c r="A6" s="42" t="s">
        <v>19</v>
      </c>
      <c r="B6" s="572">
        <v>6.5</v>
      </c>
      <c r="C6" s="572">
        <v>21</v>
      </c>
      <c r="D6" s="572">
        <v>23</v>
      </c>
      <c r="E6" s="50">
        <v>62</v>
      </c>
      <c r="F6" s="50">
        <v>545</v>
      </c>
      <c r="G6" s="50">
        <v>470</v>
      </c>
      <c r="H6" s="50">
        <v>143</v>
      </c>
      <c r="I6" s="50"/>
      <c r="J6" s="50"/>
      <c r="K6" s="50"/>
      <c r="L6" s="50"/>
      <c r="M6" s="50"/>
      <c r="N6" s="50"/>
      <c r="O6" s="50"/>
      <c r="P6" s="50"/>
      <c r="R6" s="167"/>
      <c r="S6" s="174"/>
      <c r="T6" s="271">
        <v>6</v>
      </c>
      <c r="U6" s="6">
        <v>0.44</v>
      </c>
      <c r="V6" s="6">
        <v>0.73</v>
      </c>
      <c r="W6" s="270">
        <f t="shared" si="0"/>
        <v>0.88</v>
      </c>
      <c r="X6" s="270">
        <f t="shared" si="1"/>
        <v>0.64239999999999997</v>
      </c>
      <c r="Z6" s="6">
        <v>3</v>
      </c>
      <c r="AA6" s="4">
        <v>0.69</v>
      </c>
      <c r="AF6" s="837">
        <v>42028</v>
      </c>
      <c r="AG6" s="838" t="s">
        <v>1138</v>
      </c>
      <c r="AH6" s="838" t="s">
        <v>1138</v>
      </c>
      <c r="AI6" s="844">
        <v>21.1</v>
      </c>
      <c r="AJ6" s="844">
        <v>20</v>
      </c>
      <c r="AK6" s="836">
        <v>5558.53</v>
      </c>
      <c r="AL6" s="836">
        <v>1940</v>
      </c>
      <c r="AM6" s="844">
        <v>26.6</v>
      </c>
      <c r="AN6" s="893" t="s">
        <v>70</v>
      </c>
      <c r="AO6" s="64">
        <f>AVERAGE(AG42:AG72)</f>
        <v>24</v>
      </c>
      <c r="AP6" s="64">
        <f t="shared" ref="AP6:AU6" si="2">AVERAGE(AH42:AH72)</f>
        <v>23.333333333333332</v>
      </c>
      <c r="AQ6" s="64">
        <f t="shared" si="2"/>
        <v>32.70645161290323</v>
      </c>
      <c r="AR6" s="64">
        <f t="shared" si="2"/>
        <v>29.222580645161294</v>
      </c>
      <c r="AS6" s="64">
        <f t="shared" si="2"/>
        <v>5558.6470967741943</v>
      </c>
      <c r="AT6" s="64">
        <f t="shared" si="2"/>
        <v>1952.8709677419354</v>
      </c>
      <c r="AU6" s="64">
        <f t="shared" si="2"/>
        <v>42.506451612903234</v>
      </c>
      <c r="AW6" s="1056">
        <v>42008</v>
      </c>
      <c r="AX6" s="1053">
        <v>1940</v>
      </c>
    </row>
    <row r="7" spans="1:50" s="4" customFormat="1" ht="14.5">
      <c r="A7" s="42" t="s">
        <v>21</v>
      </c>
      <c r="B7" s="572">
        <v>18.600000000000001</v>
      </c>
      <c r="C7" s="572">
        <v>21</v>
      </c>
      <c r="D7" s="572">
        <v>29</v>
      </c>
      <c r="E7" s="50">
        <v>87</v>
      </c>
      <c r="F7" s="50">
        <v>437</v>
      </c>
      <c r="G7" s="50">
        <v>436</v>
      </c>
      <c r="H7" s="50">
        <v>222</v>
      </c>
      <c r="I7" s="50"/>
      <c r="J7" s="50"/>
      <c r="K7" s="50"/>
      <c r="L7" s="50"/>
      <c r="M7" s="50"/>
      <c r="N7" s="50"/>
      <c r="O7" s="50"/>
      <c r="P7" s="50"/>
      <c r="Q7" s="168"/>
      <c r="R7" s="174"/>
      <c r="S7" s="174"/>
      <c r="T7" s="272">
        <v>8</v>
      </c>
      <c r="U7" s="6">
        <v>0.4</v>
      </c>
      <c r="V7" s="6">
        <v>0.43</v>
      </c>
      <c r="W7" s="270">
        <f>U7*3</f>
        <v>1.2000000000000002</v>
      </c>
      <c r="X7" s="270">
        <f t="shared" si="1"/>
        <v>0.51600000000000001</v>
      </c>
      <c r="Z7" s="6">
        <v>1</v>
      </c>
      <c r="AA7" s="4">
        <v>0.72</v>
      </c>
      <c r="AF7" s="837">
        <v>42029</v>
      </c>
      <c r="AG7" s="838" t="s">
        <v>1138</v>
      </c>
      <c r="AH7" s="838" t="s">
        <v>1138</v>
      </c>
      <c r="AI7" s="844">
        <v>20.3</v>
      </c>
      <c r="AJ7" s="844">
        <v>19.100000000000001</v>
      </c>
      <c r="AK7" s="836">
        <v>5558.52</v>
      </c>
      <c r="AL7" s="836">
        <v>1939</v>
      </c>
      <c r="AM7" s="844">
        <v>27.3</v>
      </c>
      <c r="AN7" s="893" t="s">
        <v>71</v>
      </c>
      <c r="AO7" s="64">
        <f>AVERAGE(AG73:AG103)</f>
        <v>33.38333333333334</v>
      </c>
      <c r="AP7" s="64">
        <f t="shared" ref="AP7:AU7" si="3">AVERAGE(AH73:AH103)</f>
        <v>62.139999999999993</v>
      </c>
      <c r="AQ7" s="64">
        <f t="shared" si="3"/>
        <v>60.63666666666667</v>
      </c>
      <c r="AR7" s="64">
        <f t="shared" si="3"/>
        <v>86.663333333333341</v>
      </c>
      <c r="AS7" s="64">
        <f t="shared" si="3"/>
        <v>5559.0651724137915</v>
      </c>
      <c r="AT7" s="64">
        <f t="shared" si="3"/>
        <v>1998.8275862068965</v>
      </c>
      <c r="AU7" s="64">
        <f t="shared" si="3"/>
        <v>107.07931034482759</v>
      </c>
      <c r="AW7" s="1056">
        <v>42009</v>
      </c>
      <c r="AX7" s="1053">
        <v>1940</v>
      </c>
    </row>
    <row r="8" spans="1:50" ht="14.5">
      <c r="A8" s="43" t="s">
        <v>167</v>
      </c>
      <c r="B8" s="522" t="s">
        <v>68</v>
      </c>
      <c r="C8" s="522" t="s">
        <v>69</v>
      </c>
      <c r="D8" s="522" t="s">
        <v>70</v>
      </c>
      <c r="E8" s="522" t="s">
        <v>71</v>
      </c>
      <c r="F8" s="522" t="s">
        <v>72</v>
      </c>
      <c r="G8" s="522" t="s">
        <v>73</v>
      </c>
      <c r="H8" s="522" t="s">
        <v>74</v>
      </c>
      <c r="I8" s="522" t="s">
        <v>75</v>
      </c>
      <c r="J8" s="522" t="s">
        <v>76</v>
      </c>
      <c r="K8" s="522" t="s">
        <v>77</v>
      </c>
      <c r="L8" s="522" t="s">
        <v>78</v>
      </c>
      <c r="M8" s="522" t="s">
        <v>79</v>
      </c>
      <c r="T8" s="271">
        <v>10</v>
      </c>
      <c r="U8" s="6"/>
      <c r="V8" s="6"/>
      <c r="W8" s="270">
        <f>U8*2</f>
        <v>0</v>
      </c>
      <c r="X8" s="270">
        <f>V7*W8</f>
        <v>0</v>
      </c>
      <c r="AF8" s="837">
        <v>42030</v>
      </c>
      <c r="AG8" s="838" t="s">
        <v>1138</v>
      </c>
      <c r="AH8" s="838" t="s">
        <v>1138</v>
      </c>
      <c r="AI8" s="844">
        <v>21.5</v>
      </c>
      <c r="AJ8" s="844">
        <v>21</v>
      </c>
      <c r="AK8" s="836">
        <v>5558.55</v>
      </c>
      <c r="AL8" s="836">
        <v>1942</v>
      </c>
      <c r="AM8" s="844">
        <v>27.9</v>
      </c>
      <c r="AN8" s="893" t="s">
        <v>72</v>
      </c>
      <c r="AO8" s="64">
        <f>AVERAGE(AG104:AG134)</f>
        <v>285.93548387096774</v>
      </c>
      <c r="AP8" s="64">
        <f t="shared" ref="AP8:AU8" si="4">AVERAGE(AH104:AH134)</f>
        <v>544.67741935483866</v>
      </c>
      <c r="AQ8" s="64">
        <f t="shared" si="4"/>
        <v>462.61290322580646</v>
      </c>
      <c r="AR8" s="64">
        <f t="shared" si="4"/>
        <v>436.87096774193549</v>
      </c>
      <c r="AS8" s="64">
        <f t="shared" si="4"/>
        <v>5589.5499999999993</v>
      </c>
      <c r="AT8" s="64">
        <f t="shared" si="4"/>
        <v>8530.1612903225814</v>
      </c>
      <c r="AU8" s="64">
        <f t="shared" si="4"/>
        <v>559</v>
      </c>
      <c r="AW8" s="1056">
        <v>42010</v>
      </c>
      <c r="AX8" s="1053">
        <v>1945</v>
      </c>
    </row>
    <row r="9" spans="1:50" ht="14.5">
      <c r="A9" s="42" t="s">
        <v>18</v>
      </c>
      <c r="B9" s="345">
        <f t="shared" ref="B9:H10" si="5">B5</f>
        <v>2.48</v>
      </c>
      <c r="C9" s="345">
        <f t="shared" si="5"/>
        <v>2.36</v>
      </c>
      <c r="D9" s="345">
        <f t="shared" si="5"/>
        <v>3.13</v>
      </c>
      <c r="E9" s="345">
        <f t="shared" si="5"/>
        <v>41.7</v>
      </c>
      <c r="F9" s="345">
        <f t="shared" si="5"/>
        <v>360</v>
      </c>
      <c r="G9" s="345">
        <f t="shared" si="5"/>
        <v>148</v>
      </c>
      <c r="H9" s="345">
        <f t="shared" si="5"/>
        <v>23</v>
      </c>
      <c r="I9" s="345">
        <f>(8.61+2.6)/2</f>
        <v>5.6049999999999995</v>
      </c>
      <c r="J9" s="345">
        <v>0.76</v>
      </c>
      <c r="K9" s="346">
        <v>1.6</v>
      </c>
      <c r="L9" s="346">
        <v>0.5</v>
      </c>
      <c r="M9" s="346">
        <v>3.2</v>
      </c>
      <c r="T9" s="272">
        <v>12</v>
      </c>
      <c r="U9" s="6"/>
      <c r="V9" s="6"/>
      <c r="W9" s="270">
        <f>U9*3</f>
        <v>0</v>
      </c>
      <c r="X9" s="270">
        <f>V8*W9</f>
        <v>0</v>
      </c>
      <c r="AF9" s="837">
        <v>42031</v>
      </c>
      <c r="AG9" s="838" t="s">
        <v>1138</v>
      </c>
      <c r="AH9" s="838" t="s">
        <v>1138</v>
      </c>
      <c r="AI9" s="844">
        <v>21.6</v>
      </c>
      <c r="AJ9" s="844">
        <v>22</v>
      </c>
      <c r="AK9" s="836">
        <v>5558.56</v>
      </c>
      <c r="AL9" s="836">
        <v>1943</v>
      </c>
      <c r="AM9" s="844">
        <v>28.7</v>
      </c>
      <c r="AN9" s="893" t="s">
        <v>73</v>
      </c>
      <c r="AO9" s="64">
        <f>AVERAGE(AG135:AG164)</f>
        <v>301.7</v>
      </c>
      <c r="AP9" s="64">
        <f t="shared" ref="AP9:AU9" si="6">AVERAGE(AH135:AH164)</f>
        <v>470.26666666666665</v>
      </c>
      <c r="AQ9" s="64">
        <f t="shared" si="6"/>
        <v>358.6</v>
      </c>
      <c r="AR9" s="64">
        <f t="shared" si="6"/>
        <v>435.83333333333331</v>
      </c>
      <c r="AS9" s="64">
        <f t="shared" si="6"/>
        <v>5586.0813333333326</v>
      </c>
      <c r="AT9" s="64">
        <f t="shared" si="6"/>
        <v>7974.7</v>
      </c>
      <c r="AU9" s="64">
        <f t="shared" si="6"/>
        <v>518.9</v>
      </c>
      <c r="AW9" s="1056">
        <v>42011</v>
      </c>
      <c r="AX9" s="1053">
        <v>1950</v>
      </c>
    </row>
    <row r="10" spans="1:50" ht="14.5">
      <c r="A10" s="42" t="s">
        <v>19</v>
      </c>
      <c r="B10" s="345">
        <f t="shared" si="5"/>
        <v>6.5</v>
      </c>
      <c r="C10" s="345">
        <f t="shared" si="5"/>
        <v>21</v>
      </c>
      <c r="D10" s="345">
        <f t="shared" si="5"/>
        <v>23</v>
      </c>
      <c r="E10" s="345">
        <f t="shared" si="5"/>
        <v>62</v>
      </c>
      <c r="F10" s="345">
        <f t="shared" si="5"/>
        <v>545</v>
      </c>
      <c r="G10" s="345">
        <f t="shared" si="5"/>
        <v>470</v>
      </c>
      <c r="H10" s="345">
        <f t="shared" si="5"/>
        <v>143</v>
      </c>
      <c r="I10" s="345">
        <v>40</v>
      </c>
      <c r="J10" s="345">
        <f>AP12</f>
        <v>10.481999999999998</v>
      </c>
      <c r="K10" s="345">
        <f>AP13</f>
        <v>7.7313333333333345</v>
      </c>
      <c r="L10" s="346">
        <v>7</v>
      </c>
      <c r="M10" s="346">
        <v>32</v>
      </c>
      <c r="N10">
        <f>AVERAGE(B10:I10)</f>
        <v>163.8125</v>
      </c>
      <c r="T10" s="271">
        <v>14</v>
      </c>
      <c r="U10" s="6"/>
      <c r="V10" s="6"/>
      <c r="W10" s="270">
        <f>U10*2</f>
        <v>0</v>
      </c>
      <c r="X10" s="270">
        <f>V9*W10</f>
        <v>0</v>
      </c>
      <c r="AF10" s="837">
        <v>42032</v>
      </c>
      <c r="AG10" s="838" t="s">
        <v>1138</v>
      </c>
      <c r="AH10" s="838" t="s">
        <v>1138</v>
      </c>
      <c r="AI10" s="844">
        <v>21.6</v>
      </c>
      <c r="AJ10" s="844">
        <v>22.5</v>
      </c>
      <c r="AK10" s="836">
        <v>5558.56</v>
      </c>
      <c r="AL10" s="836">
        <v>1943</v>
      </c>
      <c r="AM10" s="844">
        <v>29.5</v>
      </c>
      <c r="AN10" s="893" t="s">
        <v>74</v>
      </c>
      <c r="AO10" s="64">
        <f>AVERAGE(AG165:AG195)</f>
        <v>144.18387096774194</v>
      </c>
      <c r="AP10" s="64">
        <f>AVERAGE(AH165:AH195)</f>
        <v>143.42903225806455</v>
      </c>
      <c r="AQ10" s="64">
        <f>AVERAGE(AI165:AI190)</f>
        <v>155.76923076923077</v>
      </c>
      <c r="AR10" s="64">
        <f>AVERAGE(AJ165:AJ190)</f>
        <v>222.15384615384616</v>
      </c>
      <c r="AS10" s="64">
        <f>AVERAGE(AK165:AK190)</f>
        <v>5573.0369230769238</v>
      </c>
      <c r="AT10" s="64">
        <f>AVERAGE(AL165:AL190)</f>
        <v>3960.3846153846152</v>
      </c>
      <c r="AU10" s="64">
        <f>AVERAGE(AM165:AM190)</f>
        <v>209.92307692307693</v>
      </c>
      <c r="AW10" s="1056">
        <v>42012</v>
      </c>
      <c r="AX10" s="1053">
        <v>1946</v>
      </c>
    </row>
    <row r="11" spans="1:50" ht="14.5">
      <c r="A11" s="42" t="s">
        <v>21</v>
      </c>
      <c r="B11" s="345">
        <f t="shared" ref="B11:H11" si="7">B7</f>
        <v>18.600000000000001</v>
      </c>
      <c r="C11" s="345">
        <f t="shared" si="7"/>
        <v>21</v>
      </c>
      <c r="D11" s="345">
        <f t="shared" si="7"/>
        <v>29</v>
      </c>
      <c r="E11" s="345">
        <f t="shared" si="7"/>
        <v>87</v>
      </c>
      <c r="F11" s="345">
        <f t="shared" si="7"/>
        <v>437</v>
      </c>
      <c r="G11" s="345">
        <f t="shared" si="7"/>
        <v>436</v>
      </c>
      <c r="H11" s="345">
        <f t="shared" si="7"/>
        <v>222</v>
      </c>
      <c r="I11" s="345">
        <v>60</v>
      </c>
      <c r="J11" s="345">
        <f>AR12</f>
        <v>7.3496551724137955</v>
      </c>
      <c r="K11" s="345">
        <f>AR13</f>
        <v>21.106774193548386</v>
      </c>
      <c r="L11" s="346">
        <v>4</v>
      </c>
      <c r="M11" s="346">
        <v>22</v>
      </c>
      <c r="T11" s="272">
        <v>16</v>
      </c>
      <c r="U11" s="6"/>
      <c r="V11" s="6"/>
      <c r="W11" s="270">
        <f>U11*2</f>
        <v>0</v>
      </c>
      <c r="X11" s="270">
        <f>V10*W11</f>
        <v>0</v>
      </c>
      <c r="AF11" s="837">
        <v>42033</v>
      </c>
      <c r="AG11" s="838" t="s">
        <v>1138</v>
      </c>
      <c r="AH11" s="838" t="s">
        <v>1138</v>
      </c>
      <c r="AI11" s="844">
        <v>20.8</v>
      </c>
      <c r="AJ11" s="844">
        <v>22.7</v>
      </c>
      <c r="AK11" s="836">
        <v>5558.56</v>
      </c>
      <c r="AL11" s="836">
        <v>1943</v>
      </c>
      <c r="AM11" s="844">
        <v>29.8</v>
      </c>
      <c r="AN11" s="893" t="s">
        <v>75</v>
      </c>
      <c r="AO11" s="64">
        <f t="shared" ref="AO11:AU11" si="8">AVERAGE(AG196:AG218)</f>
        <v>54.46521739130435</v>
      </c>
      <c r="AP11" s="64">
        <f t="shared" si="8"/>
        <v>47.239130434782609</v>
      </c>
      <c r="AQ11" s="64">
        <f t="shared" si="8"/>
        <v>67.256521739130449</v>
      </c>
      <c r="AR11" s="64">
        <f t="shared" si="8"/>
        <v>60.08695652173914</v>
      </c>
      <c r="AS11" s="64">
        <f t="shared" si="8"/>
        <v>5558.8617391304342</v>
      </c>
      <c r="AT11" s="64">
        <f t="shared" si="8"/>
        <v>1976.391304347826</v>
      </c>
      <c r="AU11" s="64">
        <f t="shared" si="8"/>
        <v>70.234782608695653</v>
      </c>
      <c r="AW11" s="1056">
        <v>42013</v>
      </c>
      <c r="AX11" s="1053">
        <v>1944</v>
      </c>
    </row>
    <row r="12" spans="1:50" ht="14.5">
      <c r="A12" s="43" t="s">
        <v>118</v>
      </c>
      <c r="B12" s="43" t="s">
        <v>68</v>
      </c>
      <c r="C12" s="43" t="s">
        <v>69</v>
      </c>
      <c r="D12" s="43" t="s">
        <v>70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K12" s="43" t="s">
        <v>77</v>
      </c>
      <c r="L12" s="43" t="s">
        <v>78</v>
      </c>
      <c r="M12" s="43" t="s">
        <v>79</v>
      </c>
      <c r="T12" s="271">
        <v>18</v>
      </c>
      <c r="U12" s="6"/>
      <c r="V12" s="6"/>
      <c r="W12" s="270">
        <f>U12*2</f>
        <v>0</v>
      </c>
      <c r="X12" s="270">
        <f t="shared" si="1"/>
        <v>0</v>
      </c>
      <c r="AF12" s="837">
        <v>42034</v>
      </c>
      <c r="AG12" s="838" t="s">
        <v>1138</v>
      </c>
      <c r="AH12" s="838" t="s">
        <v>1138</v>
      </c>
      <c r="AI12" s="844">
        <v>20.8</v>
      </c>
      <c r="AJ12" s="844">
        <v>22</v>
      </c>
      <c r="AK12" s="836">
        <v>5558.55</v>
      </c>
      <c r="AL12" s="836">
        <v>1942</v>
      </c>
      <c r="AM12" s="844">
        <v>30.4</v>
      </c>
      <c r="AN12" s="893" t="s">
        <v>76</v>
      </c>
      <c r="AO12" s="64">
        <f>AVERAGE(AG227:AG256)</f>
        <v>25.413333333333323</v>
      </c>
      <c r="AP12" s="64">
        <f>AVERAGE(AH227:AH256)</f>
        <v>10.481999999999998</v>
      </c>
      <c r="AQ12" s="64">
        <f>AVERAGE(AI227:AI255)</f>
        <v>25.855172413793095</v>
      </c>
      <c r="AR12" s="64">
        <f>AVERAGE(AJ227:AJ255)</f>
        <v>7.3496551724137955</v>
      </c>
      <c r="AS12" s="64">
        <f>AVERAGE(AK227:AK255)</f>
        <v>5558.3686206896546</v>
      </c>
      <c r="AT12" s="64">
        <f>AVERAGE(AL227:AL255)</f>
        <v>1922.3103448275863</v>
      </c>
      <c r="AU12" s="64">
        <f>AVERAGE(AM227:AM255)</f>
        <v>15.601724137931036</v>
      </c>
      <c r="AW12" s="1056">
        <v>42014</v>
      </c>
      <c r="AX12" s="1053">
        <v>1942</v>
      </c>
    </row>
    <row r="13" spans="1:50" ht="14.5">
      <c r="A13" s="42" t="s">
        <v>18</v>
      </c>
      <c r="B13" s="44">
        <f>B9*1.983</f>
        <v>4.91784</v>
      </c>
      <c r="C13" s="44">
        <f>C9*1.983</f>
        <v>4.6798799999999998</v>
      </c>
      <c r="D13" s="44">
        <f>D9*1.983</f>
        <v>6.2067899999999998</v>
      </c>
      <c r="E13" s="44">
        <f t="shared" ref="E13:M15" si="9">E9*1.983</f>
        <v>82.691100000000006</v>
      </c>
      <c r="F13" s="44">
        <f t="shared" si="9"/>
        <v>713.88</v>
      </c>
      <c r="G13" s="44">
        <f t="shared" si="9"/>
        <v>293.48400000000004</v>
      </c>
      <c r="H13" s="44">
        <f t="shared" si="9"/>
        <v>45.609000000000002</v>
      </c>
      <c r="I13" s="44">
        <f t="shared" si="9"/>
        <v>11.114715</v>
      </c>
      <c r="J13" s="44">
        <f t="shared" si="9"/>
        <v>1.5070800000000002</v>
      </c>
      <c r="K13" s="44">
        <f t="shared" si="9"/>
        <v>3.1728000000000005</v>
      </c>
      <c r="L13" s="44">
        <f t="shared" si="9"/>
        <v>0.99150000000000005</v>
      </c>
      <c r="M13" s="44">
        <f t="shared" si="9"/>
        <v>6.345600000000001</v>
      </c>
      <c r="T13" s="272">
        <v>20</v>
      </c>
      <c r="U13" s="6"/>
      <c r="V13" s="6"/>
      <c r="W13" s="270">
        <f>U13*3</f>
        <v>0</v>
      </c>
      <c r="X13" s="270">
        <f t="shared" si="1"/>
        <v>0</v>
      </c>
      <c r="AF13" s="837">
        <v>42035</v>
      </c>
      <c r="AG13" s="838" t="s">
        <v>1138</v>
      </c>
      <c r="AH13" s="838" t="s">
        <v>1138</v>
      </c>
      <c r="AI13" s="844">
        <v>20</v>
      </c>
      <c r="AJ13" s="844">
        <v>20.7</v>
      </c>
      <c r="AK13" s="836">
        <v>5558.54</v>
      </c>
      <c r="AL13" s="836">
        <v>1941</v>
      </c>
      <c r="AM13" s="844">
        <v>31.7</v>
      </c>
      <c r="AN13" s="893" t="s">
        <v>77</v>
      </c>
      <c r="AO13" s="64">
        <f>AVERAGE(AG257:AG287)</f>
        <v>23.880000000000003</v>
      </c>
      <c r="AP13" s="64">
        <f t="shared" ref="AP13:AU13" si="10">AVERAGE(AH257:AH287)</f>
        <v>7.7313333333333345</v>
      </c>
      <c r="AQ13" s="64">
        <f t="shared" si="10"/>
        <v>28.677419354838712</v>
      </c>
      <c r="AR13" s="64">
        <f t="shared" si="10"/>
        <v>21.106774193548386</v>
      </c>
      <c r="AS13" s="64">
        <f t="shared" si="10"/>
        <v>5557.5719354838711</v>
      </c>
      <c r="AT13" s="64">
        <f t="shared" si="10"/>
        <v>1842.2903225806451</v>
      </c>
      <c r="AU13" s="64">
        <f t="shared" si="10"/>
        <v>36.692903225806461</v>
      </c>
      <c r="AW13" s="1056">
        <v>42015</v>
      </c>
      <c r="AX13" s="1053">
        <v>1942</v>
      </c>
    </row>
    <row r="14" spans="1:50" ht="14.5">
      <c r="A14" s="42" t="s">
        <v>19</v>
      </c>
      <c r="B14" s="44">
        <f t="shared" ref="B14:D15" si="11">B10*1.983</f>
        <v>12.8895</v>
      </c>
      <c r="C14" s="44">
        <f t="shared" si="11"/>
        <v>41.643000000000001</v>
      </c>
      <c r="D14" s="44">
        <f t="shared" si="11"/>
        <v>45.609000000000002</v>
      </c>
      <c r="E14" s="44">
        <f t="shared" si="9"/>
        <v>122.94600000000001</v>
      </c>
      <c r="F14" s="44">
        <f t="shared" si="9"/>
        <v>1080.7350000000001</v>
      </c>
      <c r="G14" s="44">
        <f t="shared" si="9"/>
        <v>932.01</v>
      </c>
      <c r="H14" s="44">
        <f t="shared" si="9"/>
        <v>283.56900000000002</v>
      </c>
      <c r="I14" s="44">
        <f t="shared" si="9"/>
        <v>79.320000000000007</v>
      </c>
      <c r="J14" s="44">
        <f t="shared" si="9"/>
        <v>20.785805999999997</v>
      </c>
      <c r="K14" s="44">
        <f t="shared" si="9"/>
        <v>15.331234000000004</v>
      </c>
      <c r="L14" s="44">
        <f t="shared" si="9"/>
        <v>13.881</v>
      </c>
      <c r="M14" s="44">
        <f t="shared" si="9"/>
        <v>63.456000000000003</v>
      </c>
      <c r="T14" s="271">
        <v>22</v>
      </c>
      <c r="U14" s="6"/>
      <c r="V14" s="6"/>
      <c r="W14" s="270">
        <f>U14*2</f>
        <v>0</v>
      </c>
      <c r="X14" s="270">
        <f t="shared" si="1"/>
        <v>0</v>
      </c>
      <c r="AE14">
        <f>AVERAGE(AI14:AI42)</f>
        <v>21.03793103448276</v>
      </c>
      <c r="AF14" s="837">
        <v>42036</v>
      </c>
      <c r="AG14" s="838" t="s">
        <v>1138</v>
      </c>
      <c r="AH14" s="838" t="s">
        <v>1138</v>
      </c>
      <c r="AI14" s="844">
        <v>19.2</v>
      </c>
      <c r="AJ14" s="844">
        <v>19.399999999999999</v>
      </c>
      <c r="AK14" s="836">
        <v>5558.52</v>
      </c>
      <c r="AL14" s="836">
        <v>1939</v>
      </c>
      <c r="AM14" s="844">
        <v>33.200000000000003</v>
      </c>
      <c r="AN14" s="893" t="s">
        <v>78</v>
      </c>
      <c r="AO14" s="64">
        <f>AVERAGE(AG288:AG318)</f>
        <v>21.580000000000002</v>
      </c>
      <c r="AP14" s="64">
        <f t="shared" ref="AP14:AU14" si="12">AVERAGE(AH288:AH318)</f>
        <v>6.9554166666666672</v>
      </c>
      <c r="AQ14" s="64">
        <f t="shared" si="12"/>
        <v>32.451612903225808</v>
      </c>
      <c r="AR14" s="64">
        <f t="shared" si="12"/>
        <v>4.2774193548387096</v>
      </c>
      <c r="AS14" s="64">
        <f t="shared" si="12"/>
        <v>5555.2467741935479</v>
      </c>
      <c r="AT14" s="64">
        <f t="shared" si="12"/>
        <v>1604.9354838709678</v>
      </c>
      <c r="AU14" s="64">
        <f t="shared" si="12"/>
        <v>25.990322580645167</v>
      </c>
      <c r="AW14" s="1056">
        <v>42016</v>
      </c>
      <c r="AX14" s="1053">
        <v>1941</v>
      </c>
    </row>
    <row r="15" spans="1:50" ht="14.5">
      <c r="A15" s="42" t="s">
        <v>21</v>
      </c>
      <c r="B15" s="44">
        <f t="shared" si="11"/>
        <v>36.883800000000008</v>
      </c>
      <c r="C15" s="44">
        <f t="shared" si="11"/>
        <v>41.643000000000001</v>
      </c>
      <c r="D15" s="44">
        <f t="shared" si="11"/>
        <v>57.507000000000005</v>
      </c>
      <c r="E15" s="44">
        <f t="shared" si="9"/>
        <v>172.52100000000002</v>
      </c>
      <c r="F15" s="44">
        <f t="shared" si="9"/>
        <v>866.57100000000003</v>
      </c>
      <c r="G15" s="44">
        <f t="shared" si="9"/>
        <v>864.58800000000008</v>
      </c>
      <c r="H15" s="44">
        <f t="shared" si="9"/>
        <v>440.226</v>
      </c>
      <c r="I15" s="44">
        <f t="shared" si="9"/>
        <v>118.98</v>
      </c>
      <c r="J15" s="44">
        <f t="shared" si="9"/>
        <v>14.574366206896558</v>
      </c>
      <c r="K15" s="44">
        <f t="shared" si="9"/>
        <v>41.854733225806449</v>
      </c>
      <c r="L15" s="44">
        <f t="shared" si="9"/>
        <v>7.9320000000000004</v>
      </c>
      <c r="M15" s="44">
        <f t="shared" si="9"/>
        <v>43.626000000000005</v>
      </c>
      <c r="T15" s="272">
        <v>24</v>
      </c>
      <c r="U15" s="6"/>
      <c r="V15" s="6"/>
      <c r="W15" s="270">
        <f>U15*2</f>
        <v>0</v>
      </c>
      <c r="X15" s="270">
        <f t="shared" si="1"/>
        <v>0</v>
      </c>
      <c r="AF15" s="837">
        <v>42037</v>
      </c>
      <c r="AG15" s="838" t="s">
        <v>1138</v>
      </c>
      <c r="AH15" s="838" t="s">
        <v>1138</v>
      </c>
      <c r="AI15" s="844">
        <v>19.8</v>
      </c>
      <c r="AJ15" s="844">
        <v>16.8</v>
      </c>
      <c r="AK15" s="836">
        <v>5558.5</v>
      </c>
      <c r="AL15" s="836">
        <v>1937</v>
      </c>
      <c r="AM15" s="844">
        <v>33.4</v>
      </c>
      <c r="AN15" s="893" t="s">
        <v>79</v>
      </c>
      <c r="AO15" s="510"/>
      <c r="AP15" s="510"/>
      <c r="AQ15" s="64">
        <f>AVERAGE(AI318:AI348)</f>
        <v>31.516129032258064</v>
      </c>
      <c r="AR15" s="64">
        <f t="shared" ref="AR15:AU15" si="13">AVERAGE(AJ318:AJ348)</f>
        <v>22.287096774193547</v>
      </c>
      <c r="AS15" s="64">
        <f t="shared" si="13"/>
        <v>5573.4357142857143</v>
      </c>
      <c r="AT15" s="64">
        <f t="shared" si="13"/>
        <v>1936.4285714285713</v>
      </c>
      <c r="AU15" s="64">
        <f t="shared" si="13"/>
        <v>32.696774193548386</v>
      </c>
      <c r="AW15" s="1056">
        <v>42017</v>
      </c>
      <c r="AX15" s="1053">
        <v>1940</v>
      </c>
    </row>
    <row r="16" spans="1:50" ht="14.5">
      <c r="A16" s="8" t="s">
        <v>610</v>
      </c>
      <c r="B16" s="44">
        <f>B2*1.983</f>
        <v>42.039600000000007</v>
      </c>
      <c r="C16" s="44">
        <f t="shared" ref="C16:M16" si="14">C2*1.983</f>
        <v>41.430535714285718</v>
      </c>
      <c r="D16" s="44">
        <f t="shared" si="14"/>
        <v>64.856893548387106</v>
      </c>
      <c r="E16" s="44">
        <f t="shared" si="14"/>
        <v>120.24251000000001</v>
      </c>
      <c r="F16" s="44">
        <f t="shared" si="14"/>
        <v>1115.6613870967733</v>
      </c>
      <c r="G16" s="44">
        <f t="shared" si="14"/>
        <v>1107.7038</v>
      </c>
      <c r="H16" s="44">
        <f t="shared" si="14"/>
        <v>308.89038461538462</v>
      </c>
      <c r="I16" s="44">
        <f t="shared" si="14"/>
        <v>133.36968260869568</v>
      </c>
      <c r="J16" s="44">
        <f t="shared" si="14"/>
        <v>51.270806896551711</v>
      </c>
      <c r="K16" s="44">
        <f t="shared" si="14"/>
        <v>56.867322580645165</v>
      </c>
      <c r="L16" s="44">
        <f t="shared" si="14"/>
        <v>64.351548387096784</v>
      </c>
      <c r="M16" s="44">
        <f t="shared" si="14"/>
        <v>62.496483870967744</v>
      </c>
      <c r="T16" s="271">
        <v>26</v>
      </c>
      <c r="U16" s="6"/>
      <c r="W16" s="270">
        <f>U16*2</f>
        <v>0</v>
      </c>
      <c r="X16" s="270">
        <f t="shared" si="1"/>
        <v>0</v>
      </c>
      <c r="AF16" s="837">
        <v>42038</v>
      </c>
      <c r="AG16" s="838" t="s">
        <v>1138</v>
      </c>
      <c r="AH16" s="838" t="s">
        <v>1138</v>
      </c>
      <c r="AI16" s="844">
        <v>19.3</v>
      </c>
      <c r="AJ16" s="844">
        <v>18.2</v>
      </c>
      <c r="AK16" s="836">
        <v>5558.52</v>
      </c>
      <c r="AL16" s="836">
        <v>1939</v>
      </c>
      <c r="AM16" s="844">
        <v>32.799999999999997</v>
      </c>
      <c r="AW16" s="1056">
        <v>42018</v>
      </c>
      <c r="AX16" s="1053">
        <v>1940</v>
      </c>
    </row>
    <row r="17" spans="1:50" ht="15.5">
      <c r="A17" s="8"/>
      <c r="B17" s="1442"/>
      <c r="C17" s="1442"/>
      <c r="D17" s="1442"/>
      <c r="E17" s="1442"/>
      <c r="F17" s="1442"/>
      <c r="G17" s="1442"/>
      <c r="H17" s="1442"/>
      <c r="I17" s="1442"/>
      <c r="J17" s="1442"/>
      <c r="K17" s="1442"/>
      <c r="L17" s="1442"/>
      <c r="T17" s="272">
        <v>28</v>
      </c>
      <c r="U17" s="6"/>
      <c r="W17" s="270">
        <f>U17*2</f>
        <v>0</v>
      </c>
      <c r="X17" s="270">
        <f t="shared" si="1"/>
        <v>0</v>
      </c>
      <c r="AF17" s="837">
        <v>42039</v>
      </c>
      <c r="AG17" s="838" t="s">
        <v>1138</v>
      </c>
      <c r="AH17" s="838" t="s">
        <v>1138</v>
      </c>
      <c r="AI17" s="844">
        <v>21.4</v>
      </c>
      <c r="AJ17" s="844">
        <v>20.399999999999999</v>
      </c>
      <c r="AK17" s="836">
        <v>5558.54</v>
      </c>
      <c r="AL17" s="836">
        <v>1941</v>
      </c>
      <c r="AM17" s="844">
        <v>32.799999999999997</v>
      </c>
      <c r="AW17" s="1056">
        <v>42019</v>
      </c>
      <c r="AX17" s="1053">
        <v>1937</v>
      </c>
    </row>
    <row r="18" spans="1:50" ht="14.25" customHeight="1">
      <c r="A18" s="60" t="s">
        <v>85</v>
      </c>
      <c r="B18" s="62">
        <v>31</v>
      </c>
      <c r="C18" s="61">
        <v>29</v>
      </c>
      <c r="D18" s="61">
        <v>31</v>
      </c>
      <c r="E18" s="61">
        <v>30</v>
      </c>
      <c r="F18" s="61">
        <v>31</v>
      </c>
      <c r="G18" s="61">
        <v>30</v>
      </c>
      <c r="H18" s="61">
        <v>31</v>
      </c>
      <c r="I18" s="61">
        <v>31</v>
      </c>
      <c r="J18" s="61">
        <v>30</v>
      </c>
      <c r="K18" s="61">
        <v>31</v>
      </c>
      <c r="L18" s="61">
        <v>30</v>
      </c>
      <c r="M18" s="61">
        <v>31</v>
      </c>
      <c r="N18" s="1444" t="s">
        <v>138</v>
      </c>
      <c r="O18" s="179"/>
      <c r="P18" s="179"/>
      <c r="T18" s="271">
        <v>30</v>
      </c>
      <c r="W18" s="270">
        <f>U18*2</f>
        <v>0</v>
      </c>
      <c r="X18" s="270">
        <f t="shared" si="1"/>
        <v>0</v>
      </c>
      <c r="AF18" s="837">
        <v>42040</v>
      </c>
      <c r="AG18" s="838" t="s">
        <v>1138</v>
      </c>
      <c r="AH18" s="838" t="s">
        <v>1138</v>
      </c>
      <c r="AI18" s="844">
        <v>19</v>
      </c>
      <c r="AJ18" s="844">
        <v>19.399999999999999</v>
      </c>
      <c r="AK18" s="836">
        <v>5558.53</v>
      </c>
      <c r="AL18" s="836">
        <v>1940</v>
      </c>
      <c r="AM18" s="844">
        <v>33.799999999999997</v>
      </c>
      <c r="AW18" s="1056">
        <v>42020</v>
      </c>
      <c r="AX18" s="1053">
        <v>1939</v>
      </c>
    </row>
    <row r="19" spans="1:50" ht="18.649999999999999" customHeight="1">
      <c r="A19" s="60"/>
      <c r="B19" s="62" t="s">
        <v>68</v>
      </c>
      <c r="C19" s="61" t="s">
        <v>69</v>
      </c>
      <c r="D19" s="61" t="s">
        <v>70</v>
      </c>
      <c r="E19" s="61" t="s">
        <v>71</v>
      </c>
      <c r="F19" s="61" t="s">
        <v>72</v>
      </c>
      <c r="G19" s="61" t="s">
        <v>73</v>
      </c>
      <c r="H19" s="61" t="s">
        <v>74</v>
      </c>
      <c r="I19" s="61" t="s">
        <v>75</v>
      </c>
      <c r="J19" s="61" t="s">
        <v>76</v>
      </c>
      <c r="K19" s="61" t="s">
        <v>77</v>
      </c>
      <c r="L19" s="61" t="s">
        <v>78</v>
      </c>
      <c r="M19" s="61" t="s">
        <v>79</v>
      </c>
      <c r="N19" s="1444"/>
      <c r="O19" s="181"/>
      <c r="P19" s="182"/>
      <c r="X19" s="6">
        <f>SUM(X4:X18)</f>
        <v>1.5831999999999999</v>
      </c>
      <c r="AF19" s="837">
        <v>42041</v>
      </c>
      <c r="AG19" s="838" t="s">
        <v>1138</v>
      </c>
      <c r="AH19" s="838" t="s">
        <v>1138</v>
      </c>
      <c r="AI19" s="844">
        <v>20</v>
      </c>
      <c r="AJ19" s="844">
        <v>19.100000000000001</v>
      </c>
      <c r="AK19" s="836">
        <v>5558.53</v>
      </c>
      <c r="AL19" s="836">
        <v>1940</v>
      </c>
      <c r="AM19" s="844">
        <v>33.799999999999997</v>
      </c>
      <c r="AW19" s="1056">
        <v>42021</v>
      </c>
      <c r="AX19" s="1053">
        <v>1938</v>
      </c>
    </row>
    <row r="20" spans="1:50" ht="14.5">
      <c r="A20" s="42" t="s">
        <v>18</v>
      </c>
      <c r="B20" s="169">
        <f>B13*B18</f>
        <v>152.45303999999999</v>
      </c>
      <c r="C20" s="169">
        <f>C13*C18</f>
        <v>135.71652</v>
      </c>
      <c r="D20" s="169">
        <f>D13*D18</f>
        <v>192.41048999999998</v>
      </c>
      <c r="E20" s="169">
        <f t="shared" ref="E20:M20" si="15">E13*E18</f>
        <v>2480.7330000000002</v>
      </c>
      <c r="F20" s="169">
        <f t="shared" si="15"/>
        <v>22130.28</v>
      </c>
      <c r="G20" s="169">
        <f t="shared" si="15"/>
        <v>8804.52</v>
      </c>
      <c r="H20" s="169">
        <f t="shared" si="15"/>
        <v>1413.8790000000001</v>
      </c>
      <c r="I20" s="169">
        <f t="shared" si="15"/>
        <v>344.55616500000002</v>
      </c>
      <c r="J20" s="169">
        <f t="shared" si="15"/>
        <v>45.212400000000002</v>
      </c>
      <c r="K20" s="169">
        <f t="shared" si="15"/>
        <v>98.356800000000021</v>
      </c>
      <c r="L20" s="169">
        <f t="shared" si="15"/>
        <v>29.745000000000001</v>
      </c>
      <c r="M20" s="169">
        <f t="shared" si="15"/>
        <v>196.71360000000004</v>
      </c>
      <c r="N20" s="58">
        <f>SUM(B20:M20)</f>
        <v>36024.576015000006</v>
      </c>
      <c r="O20" s="183"/>
      <c r="P20" s="184"/>
      <c r="AF20" s="837">
        <v>42042</v>
      </c>
      <c r="AG20" s="838" t="s">
        <v>1138</v>
      </c>
      <c r="AH20" s="838" t="s">
        <v>1138</v>
      </c>
      <c r="AI20" s="844">
        <v>19.899999999999999</v>
      </c>
      <c r="AJ20" s="844">
        <v>20.399999999999999</v>
      </c>
      <c r="AK20" s="836">
        <v>5558.54</v>
      </c>
      <c r="AL20" s="836">
        <v>1941</v>
      </c>
      <c r="AM20" s="844">
        <v>34.4</v>
      </c>
      <c r="AW20" s="1056">
        <v>42022</v>
      </c>
      <c r="AX20" s="1053">
        <v>1938</v>
      </c>
    </row>
    <row r="21" spans="1:50" ht="14.5">
      <c r="A21" s="42" t="s">
        <v>19</v>
      </c>
      <c r="B21" s="169">
        <f>B14*B18</f>
        <v>399.5745</v>
      </c>
      <c r="C21" s="169">
        <f>C14*C18</f>
        <v>1207.6469999999999</v>
      </c>
      <c r="D21" s="169">
        <f>D14*D18</f>
        <v>1413.8790000000001</v>
      </c>
      <c r="E21" s="169">
        <f t="shared" ref="E21:M21" si="16">E14*E18</f>
        <v>3688.3800000000006</v>
      </c>
      <c r="F21" s="169">
        <f t="shared" si="16"/>
        <v>33502.785000000003</v>
      </c>
      <c r="G21" s="169">
        <f t="shared" si="16"/>
        <v>27960.3</v>
      </c>
      <c r="H21" s="169">
        <f t="shared" si="16"/>
        <v>8790.639000000001</v>
      </c>
      <c r="I21" s="169">
        <f t="shared" si="16"/>
        <v>2458.92</v>
      </c>
      <c r="J21" s="169">
        <f t="shared" si="16"/>
        <v>623.57417999999996</v>
      </c>
      <c r="K21" s="169">
        <f t="shared" si="16"/>
        <v>475.26825400000013</v>
      </c>
      <c r="L21" s="169">
        <f t="shared" si="16"/>
        <v>416.43</v>
      </c>
      <c r="M21" s="169">
        <f t="shared" si="16"/>
        <v>1967.1360000000002</v>
      </c>
      <c r="N21" s="58">
        <f>SUM(B21:M21)</f>
        <v>82904.532933999973</v>
      </c>
      <c r="O21" s="183"/>
      <c r="P21" s="184"/>
      <c r="AF21" s="837">
        <v>42043</v>
      </c>
      <c r="AG21" s="838" t="s">
        <v>1138</v>
      </c>
      <c r="AH21" s="838" t="s">
        <v>1138</v>
      </c>
      <c r="AI21" s="844">
        <v>23</v>
      </c>
      <c r="AJ21" s="844">
        <v>23.4</v>
      </c>
      <c r="AK21" s="836">
        <v>5558.58</v>
      </c>
      <c r="AL21" s="836">
        <v>1945</v>
      </c>
      <c r="AM21" s="844">
        <v>36.200000000000003</v>
      </c>
      <c r="AW21" s="1056">
        <v>42023</v>
      </c>
      <c r="AX21" s="1053">
        <v>1940</v>
      </c>
    </row>
    <row r="22" spans="1:50" ht="14.5">
      <c r="A22" s="170" t="s">
        <v>22</v>
      </c>
      <c r="B22" s="171">
        <f>SUM(B20:B21)</f>
        <v>552.02754000000004</v>
      </c>
      <c r="C22" s="171">
        <f>SUM(C20:C21)</f>
        <v>1343.3635199999999</v>
      </c>
      <c r="D22" s="171">
        <f>SUM(D20:D21)</f>
        <v>1606.2894900000001</v>
      </c>
      <c r="E22" s="171">
        <f t="shared" ref="E22:M22" si="17">SUM(E20:E21)</f>
        <v>6169.1130000000012</v>
      </c>
      <c r="F22" s="171">
        <f t="shared" si="17"/>
        <v>55633.065000000002</v>
      </c>
      <c r="G22" s="171">
        <f t="shared" si="17"/>
        <v>36764.82</v>
      </c>
      <c r="H22" s="171">
        <f t="shared" si="17"/>
        <v>10204.518000000002</v>
      </c>
      <c r="I22" s="171">
        <f t="shared" si="17"/>
        <v>2803.476165</v>
      </c>
      <c r="J22" s="171">
        <f t="shared" si="17"/>
        <v>668.78657999999996</v>
      </c>
      <c r="K22" s="171">
        <f t="shared" si="17"/>
        <v>573.62505400000009</v>
      </c>
      <c r="L22" s="171">
        <f t="shared" si="17"/>
        <v>446.17500000000001</v>
      </c>
      <c r="M22" s="171">
        <f t="shared" si="17"/>
        <v>2163.8496000000005</v>
      </c>
      <c r="N22" s="58">
        <f>SUM(B22:M22)</f>
        <v>118929.10894900002</v>
      </c>
      <c r="O22" s="185"/>
      <c r="P22" s="184">
        <f>N24-N21</f>
        <v>13913.64694417025</v>
      </c>
      <c r="AF22" s="837">
        <v>42044</v>
      </c>
      <c r="AG22" s="838" t="s">
        <v>1138</v>
      </c>
      <c r="AH22" s="838" t="s">
        <v>1138</v>
      </c>
      <c r="AI22" s="844">
        <v>20</v>
      </c>
      <c r="AJ22" s="844">
        <v>23</v>
      </c>
      <c r="AK22" s="836">
        <v>5558.57</v>
      </c>
      <c r="AL22" s="836">
        <v>1945</v>
      </c>
      <c r="AM22" s="844">
        <v>39</v>
      </c>
      <c r="AW22" s="1056">
        <v>42024</v>
      </c>
      <c r="AX22" s="1053">
        <v>1940</v>
      </c>
    </row>
    <row r="23" spans="1:50" ht="14.5">
      <c r="A23" s="42" t="s">
        <v>21</v>
      </c>
      <c r="B23" s="169">
        <f>B15*B18</f>
        <v>1143.3978000000002</v>
      </c>
      <c r="C23" s="169">
        <f>C15*C18</f>
        <v>1207.6469999999999</v>
      </c>
      <c r="D23" s="169">
        <f>D15*D18</f>
        <v>1782.7170000000001</v>
      </c>
      <c r="E23" s="169">
        <f t="shared" ref="E23:M23" si="18">E15*E18</f>
        <v>5175.63</v>
      </c>
      <c r="F23" s="169">
        <f t="shared" si="18"/>
        <v>26863.701000000001</v>
      </c>
      <c r="G23" s="169">
        <f t="shared" si="18"/>
        <v>25937.640000000003</v>
      </c>
      <c r="H23" s="169">
        <f t="shared" si="18"/>
        <v>13647.005999999999</v>
      </c>
      <c r="I23" s="169">
        <f t="shared" si="18"/>
        <v>3688.38</v>
      </c>
      <c r="J23" s="169">
        <f t="shared" si="18"/>
        <v>437.23098620689672</v>
      </c>
      <c r="K23" s="169">
        <f t="shared" si="18"/>
        <v>1297.4967299999998</v>
      </c>
      <c r="L23" s="169">
        <f t="shared" si="18"/>
        <v>237.96</v>
      </c>
      <c r="M23" s="169">
        <f t="shared" si="18"/>
        <v>1352.4060000000002</v>
      </c>
      <c r="N23" s="58">
        <f>SUM(B23:M23)</f>
        <v>82771.212516206899</v>
      </c>
      <c r="O23" s="183"/>
      <c r="P23" s="1386">
        <f>N21/N24</f>
        <v>0.8562909676501016</v>
      </c>
      <c r="AF23" s="837">
        <v>42045</v>
      </c>
      <c r="AG23" s="838" t="s">
        <v>1138</v>
      </c>
      <c r="AH23" s="838" t="s">
        <v>1138</v>
      </c>
      <c r="AI23" s="844">
        <v>20.6</v>
      </c>
      <c r="AJ23" s="844">
        <v>22.1</v>
      </c>
      <c r="AK23" s="836">
        <v>5558.56</v>
      </c>
      <c r="AL23" s="836">
        <v>1943</v>
      </c>
      <c r="AM23" s="844">
        <v>38.5</v>
      </c>
      <c r="AW23" s="1056">
        <v>42025</v>
      </c>
      <c r="AX23" s="1053">
        <v>1939</v>
      </c>
    </row>
    <row r="24" spans="1:50" ht="14.5">
      <c r="A24" s="8" t="s">
        <v>610</v>
      </c>
      <c r="B24" s="169">
        <f>B16*B18</f>
        <v>1303.2276000000002</v>
      </c>
      <c r="C24" s="169">
        <f t="shared" ref="C24:M24" si="19">C16*C18</f>
        <v>1201.4855357142858</v>
      </c>
      <c r="D24" s="169">
        <f t="shared" si="19"/>
        <v>2010.5637000000004</v>
      </c>
      <c r="E24" s="169">
        <f t="shared" si="19"/>
        <v>3607.2753000000002</v>
      </c>
      <c r="F24" s="169">
        <f t="shared" si="19"/>
        <v>34585.502999999975</v>
      </c>
      <c r="G24" s="169">
        <f t="shared" si="19"/>
        <v>33231.114000000001</v>
      </c>
      <c r="H24" s="169">
        <f t="shared" si="19"/>
        <v>9575.6019230769234</v>
      </c>
      <c r="I24" s="169">
        <f t="shared" si="19"/>
        <v>4134.4601608695666</v>
      </c>
      <c r="J24" s="169">
        <f t="shared" si="19"/>
        <v>1538.1242068965514</v>
      </c>
      <c r="K24" s="169">
        <f t="shared" si="19"/>
        <v>1762.8870000000002</v>
      </c>
      <c r="L24" s="169">
        <f t="shared" si="19"/>
        <v>1930.5464516129036</v>
      </c>
      <c r="M24" s="169">
        <f t="shared" si="19"/>
        <v>1937.3910000000001</v>
      </c>
      <c r="N24" s="58">
        <f>SUM(B24:M24)</f>
        <v>96818.179878170224</v>
      </c>
      <c r="AF24" s="837">
        <v>42046</v>
      </c>
      <c r="AG24" s="838" t="s">
        <v>1138</v>
      </c>
      <c r="AH24" s="838" t="s">
        <v>1138</v>
      </c>
      <c r="AI24" s="844">
        <v>22.6</v>
      </c>
      <c r="AJ24" s="844">
        <v>25.7</v>
      </c>
      <c r="AK24" s="836">
        <v>5558.6</v>
      </c>
      <c r="AL24" s="836">
        <v>1948</v>
      </c>
      <c r="AM24" s="844">
        <v>40.299999999999997</v>
      </c>
      <c r="AW24" s="1056">
        <v>42026</v>
      </c>
      <c r="AX24" s="1053">
        <v>1934</v>
      </c>
    </row>
    <row r="25" spans="1:50" ht="14.5">
      <c r="AF25" s="837">
        <v>42047</v>
      </c>
      <c r="AG25" s="838" t="s">
        <v>1138</v>
      </c>
      <c r="AH25" s="838" t="s">
        <v>1138</v>
      </c>
      <c r="AI25" s="844">
        <v>19.7</v>
      </c>
      <c r="AJ25" s="844">
        <v>23.9</v>
      </c>
      <c r="AK25" s="836">
        <v>5558.58</v>
      </c>
      <c r="AL25" s="836">
        <v>1946</v>
      </c>
      <c r="AM25" s="844">
        <v>41.2</v>
      </c>
      <c r="AW25" s="1056">
        <v>42027</v>
      </c>
      <c r="AX25" s="1053">
        <v>1935</v>
      </c>
    </row>
    <row r="26" spans="1:50" ht="14.5">
      <c r="AF26" s="837">
        <v>42048</v>
      </c>
      <c r="AG26" s="838" t="s">
        <v>1138</v>
      </c>
      <c r="AH26" s="838" t="s">
        <v>1138</v>
      </c>
      <c r="AI26" s="844">
        <v>21.6</v>
      </c>
      <c r="AJ26" s="844">
        <v>22.4</v>
      </c>
      <c r="AK26" s="836">
        <v>5558.57</v>
      </c>
      <c r="AL26" s="836">
        <v>1944</v>
      </c>
      <c r="AM26" s="844">
        <v>39.4</v>
      </c>
      <c r="AW26" s="1056">
        <v>42028</v>
      </c>
      <c r="AX26" s="1053">
        <v>1940</v>
      </c>
    </row>
    <row r="27" spans="1:50" ht="14.5">
      <c r="AF27" s="837">
        <v>42049</v>
      </c>
      <c r="AG27" s="838" t="s">
        <v>1138</v>
      </c>
      <c r="AH27" s="838" t="s">
        <v>1138</v>
      </c>
      <c r="AI27" s="844">
        <v>20.5</v>
      </c>
      <c r="AJ27" s="844">
        <v>23.5</v>
      </c>
      <c r="AK27" s="836">
        <v>5558.58</v>
      </c>
      <c r="AL27" s="836">
        <v>1946</v>
      </c>
      <c r="AM27" s="844">
        <v>38.4</v>
      </c>
      <c r="AW27" s="1056">
        <v>42029</v>
      </c>
      <c r="AX27" s="1053">
        <v>1939</v>
      </c>
    </row>
    <row r="28" spans="1:50" ht="14.5">
      <c r="AF28" s="837">
        <v>42050</v>
      </c>
      <c r="AG28" s="838" t="s">
        <v>1138</v>
      </c>
      <c r="AH28" s="838" t="s">
        <v>1138</v>
      </c>
      <c r="AI28" s="844">
        <v>20.2</v>
      </c>
      <c r="AJ28" s="844">
        <v>22.4</v>
      </c>
      <c r="AK28" s="836">
        <v>5558.57</v>
      </c>
      <c r="AL28" s="836">
        <v>1944</v>
      </c>
      <c r="AM28" s="844">
        <v>38</v>
      </c>
      <c r="AW28" s="1056">
        <v>42030</v>
      </c>
      <c r="AX28" s="1053">
        <v>1942</v>
      </c>
    </row>
    <row r="29" spans="1:50" ht="14.5">
      <c r="AF29" s="837">
        <v>42051</v>
      </c>
      <c r="AG29" s="838" t="s">
        <v>1138</v>
      </c>
      <c r="AH29" s="838" t="s">
        <v>1138</v>
      </c>
      <c r="AI29" s="844">
        <v>20</v>
      </c>
      <c r="AJ29" s="844">
        <v>22.8</v>
      </c>
      <c r="AK29" s="836">
        <v>5558.57</v>
      </c>
      <c r="AL29" s="836">
        <v>1945</v>
      </c>
      <c r="AM29" s="844">
        <v>38.299999999999997</v>
      </c>
      <c r="AW29" s="1056">
        <v>42031</v>
      </c>
      <c r="AX29" s="1053">
        <v>1943</v>
      </c>
    </row>
    <row r="30" spans="1:50" ht="14.5">
      <c r="AF30" s="837">
        <v>42052</v>
      </c>
      <c r="AG30" s="838" t="s">
        <v>1138</v>
      </c>
      <c r="AH30" s="838" t="s">
        <v>1138</v>
      </c>
      <c r="AI30" s="844">
        <v>18.8</v>
      </c>
      <c r="AJ30" s="844">
        <v>18</v>
      </c>
      <c r="AK30" s="836">
        <v>5558.51</v>
      </c>
      <c r="AL30" s="836">
        <v>1938</v>
      </c>
      <c r="AM30" s="844">
        <v>39.1</v>
      </c>
      <c r="AW30" s="1056">
        <v>42032</v>
      </c>
      <c r="AX30" s="1053">
        <v>1943</v>
      </c>
    </row>
    <row r="31" spans="1:50" ht="14.5">
      <c r="AF31" s="837">
        <v>42053</v>
      </c>
      <c r="AG31" s="838" t="s">
        <v>1138</v>
      </c>
      <c r="AH31" s="838" t="s">
        <v>1138</v>
      </c>
      <c r="AI31" s="844">
        <v>23.5</v>
      </c>
      <c r="AJ31" s="844">
        <v>18.8</v>
      </c>
      <c r="AK31" s="836">
        <v>5558.53</v>
      </c>
      <c r="AL31" s="836">
        <v>1940</v>
      </c>
      <c r="AM31" s="844">
        <v>37.299999999999997</v>
      </c>
      <c r="AW31" s="1056">
        <v>42033</v>
      </c>
      <c r="AX31" s="1053">
        <v>1943</v>
      </c>
    </row>
    <row r="32" spans="1:50" ht="14.5">
      <c r="AF32" s="837">
        <v>42054</v>
      </c>
      <c r="AG32" s="838" t="s">
        <v>1138</v>
      </c>
      <c r="AH32" s="838" t="s">
        <v>1138</v>
      </c>
      <c r="AI32" s="844">
        <v>23.1</v>
      </c>
      <c r="AJ32" s="844">
        <v>24.8</v>
      </c>
      <c r="AK32" s="836">
        <v>5558.6</v>
      </c>
      <c r="AL32" s="836">
        <v>1948</v>
      </c>
      <c r="AM32" s="844">
        <v>38.1</v>
      </c>
      <c r="AW32" s="1056">
        <v>42034</v>
      </c>
      <c r="AX32" s="1053">
        <v>1942</v>
      </c>
    </row>
    <row r="33" spans="32:50" ht="14.5">
      <c r="AF33" s="837">
        <v>42055</v>
      </c>
      <c r="AG33" s="838" t="s">
        <v>1138</v>
      </c>
      <c r="AH33" s="838" t="s">
        <v>1138</v>
      </c>
      <c r="AI33" s="844">
        <v>21.2</v>
      </c>
      <c r="AJ33" s="844">
        <v>25.8</v>
      </c>
      <c r="AK33" s="836">
        <v>5558.61</v>
      </c>
      <c r="AL33" s="836">
        <v>1949</v>
      </c>
      <c r="AM33" s="844">
        <v>38.6</v>
      </c>
      <c r="AW33" s="1056">
        <v>42035</v>
      </c>
      <c r="AX33" s="1053">
        <v>1941</v>
      </c>
    </row>
    <row r="34" spans="32:50" ht="14.5">
      <c r="AF34" s="837">
        <v>42056</v>
      </c>
      <c r="AG34" s="838" t="s">
        <v>1138</v>
      </c>
      <c r="AH34" s="838" t="s">
        <v>1138</v>
      </c>
      <c r="AI34" s="844">
        <v>21.6</v>
      </c>
      <c r="AJ34" s="844">
        <v>24.9</v>
      </c>
      <c r="AK34" s="836">
        <v>5558.6</v>
      </c>
      <c r="AL34" s="836">
        <v>1948</v>
      </c>
      <c r="AM34" s="844">
        <v>39.700000000000003</v>
      </c>
      <c r="AW34" s="1056">
        <v>42036</v>
      </c>
      <c r="AX34" s="1053">
        <v>1939</v>
      </c>
    </row>
    <row r="35" spans="32:50" ht="14.5">
      <c r="AF35" s="837">
        <v>42057</v>
      </c>
      <c r="AG35" s="838" t="s">
        <v>1138</v>
      </c>
      <c r="AH35" s="838" t="s">
        <v>1138</v>
      </c>
      <c r="AI35" s="844">
        <v>17.8</v>
      </c>
      <c r="AJ35" s="844">
        <v>18.899999999999999</v>
      </c>
      <c r="AK35" s="836">
        <v>5558.53</v>
      </c>
      <c r="AL35" s="836">
        <v>1940</v>
      </c>
      <c r="AM35" s="844">
        <v>39.700000000000003</v>
      </c>
      <c r="AW35" s="1056">
        <v>42037</v>
      </c>
      <c r="AX35" s="1053">
        <v>1937</v>
      </c>
    </row>
    <row r="36" spans="32:50" ht="14.5">
      <c r="AF36" s="837">
        <v>42058</v>
      </c>
      <c r="AG36" s="838" t="s">
        <v>1138</v>
      </c>
      <c r="AH36" s="838" t="s">
        <v>1138</v>
      </c>
      <c r="AI36" s="844">
        <v>20.3</v>
      </c>
      <c r="AJ36" s="844">
        <v>13.5</v>
      </c>
      <c r="AK36" s="836">
        <v>5558.46</v>
      </c>
      <c r="AL36" s="836">
        <v>1933</v>
      </c>
      <c r="AM36" s="844">
        <v>36.4</v>
      </c>
      <c r="AW36" s="1056">
        <v>42038</v>
      </c>
      <c r="AX36" s="1053">
        <v>1939</v>
      </c>
    </row>
    <row r="37" spans="32:50" ht="14.5">
      <c r="AF37" s="837">
        <v>42059</v>
      </c>
      <c r="AG37" s="838" t="s">
        <v>1138</v>
      </c>
      <c r="AH37" s="838" t="s">
        <v>1138</v>
      </c>
      <c r="AI37" s="844">
        <v>25.1</v>
      </c>
      <c r="AJ37" s="844">
        <v>16.3</v>
      </c>
      <c r="AK37" s="836">
        <v>5558.51</v>
      </c>
      <c r="AL37" s="836">
        <v>1938</v>
      </c>
      <c r="AM37" s="844">
        <v>33.9</v>
      </c>
      <c r="AW37" s="1056">
        <v>42039</v>
      </c>
      <c r="AX37" s="1053">
        <v>1941</v>
      </c>
    </row>
    <row r="38" spans="32:50" ht="14.5">
      <c r="AF38" s="837">
        <v>42060</v>
      </c>
      <c r="AG38" s="838" t="s">
        <v>1138</v>
      </c>
      <c r="AH38" s="838" t="s">
        <v>1138</v>
      </c>
      <c r="AI38" s="844">
        <v>23.3</v>
      </c>
      <c r="AJ38" s="844">
        <v>23.7</v>
      </c>
      <c r="AK38" s="836">
        <v>5558.59</v>
      </c>
      <c r="AL38" s="836">
        <v>1947</v>
      </c>
      <c r="AM38" s="844">
        <v>35.5</v>
      </c>
      <c r="AW38" s="1056">
        <v>42040</v>
      </c>
      <c r="AX38" s="1053">
        <v>1940</v>
      </c>
    </row>
    <row r="39" spans="32:50" ht="14.5">
      <c r="AF39" s="837">
        <v>42061</v>
      </c>
      <c r="AG39" s="838" t="s">
        <v>1138</v>
      </c>
      <c r="AH39" s="838" t="s">
        <v>1138</v>
      </c>
      <c r="AI39" s="844">
        <v>22</v>
      </c>
      <c r="AJ39" s="844">
        <v>22.6</v>
      </c>
      <c r="AK39" s="836">
        <v>5558.58</v>
      </c>
      <c r="AL39" s="836">
        <v>1946</v>
      </c>
      <c r="AM39" s="844">
        <v>38</v>
      </c>
      <c r="AW39" s="1056">
        <v>42041</v>
      </c>
      <c r="AX39" s="1053">
        <v>1940</v>
      </c>
    </row>
    <row r="40" spans="32:50" ht="14.5">
      <c r="AF40" s="837">
        <v>42062</v>
      </c>
      <c r="AG40" s="838" t="s">
        <v>1138</v>
      </c>
      <c r="AH40" s="838" t="s">
        <v>1138</v>
      </c>
      <c r="AI40" s="844">
        <v>21.1</v>
      </c>
      <c r="AJ40" s="844">
        <v>19.8</v>
      </c>
      <c r="AK40" s="836">
        <v>5558.55</v>
      </c>
      <c r="AL40" s="836">
        <v>1942</v>
      </c>
      <c r="AM40" s="844">
        <v>38</v>
      </c>
      <c r="AW40" s="1056">
        <v>42042</v>
      </c>
      <c r="AX40" s="1053">
        <v>1941</v>
      </c>
    </row>
    <row r="41" spans="32:50" ht="14.5">
      <c r="AF41" s="837">
        <v>42063</v>
      </c>
      <c r="AG41" s="838" t="s">
        <v>1138</v>
      </c>
      <c r="AH41" s="838" t="s">
        <v>1138</v>
      </c>
      <c r="AI41" s="844">
        <v>20.399999999999999</v>
      </c>
      <c r="AJ41" s="844">
        <v>16</v>
      </c>
      <c r="AK41" s="836">
        <v>5558.5</v>
      </c>
      <c r="AL41" s="836">
        <v>1937</v>
      </c>
      <c r="AM41" s="844">
        <v>36.299999999999997</v>
      </c>
      <c r="AW41" s="1056">
        <v>42043</v>
      </c>
      <c r="AX41" s="1053">
        <v>1945</v>
      </c>
    </row>
    <row r="42" spans="32:50" ht="14.5">
      <c r="AF42" s="837">
        <v>42064</v>
      </c>
      <c r="AG42" s="838" t="s">
        <v>1138</v>
      </c>
      <c r="AH42" s="838" t="s">
        <v>1138</v>
      </c>
      <c r="AI42" s="844">
        <v>25.1</v>
      </c>
      <c r="AJ42" s="844">
        <v>17.5</v>
      </c>
      <c r="AK42" s="836">
        <v>5558.52</v>
      </c>
      <c r="AL42" s="836">
        <v>1939</v>
      </c>
      <c r="AM42" s="844">
        <v>34.9</v>
      </c>
      <c r="AW42" s="1056">
        <v>42044</v>
      </c>
      <c r="AX42" s="1053">
        <v>1945</v>
      </c>
    </row>
    <row r="43" spans="32:50" ht="14.5">
      <c r="AF43" s="837">
        <v>42065</v>
      </c>
      <c r="AG43" s="838" t="s">
        <v>1138</v>
      </c>
      <c r="AH43" s="838" t="s">
        <v>1138</v>
      </c>
      <c r="AI43" s="844">
        <v>22.6</v>
      </c>
      <c r="AJ43" s="844">
        <v>18.7</v>
      </c>
      <c r="AK43" s="836">
        <v>5558.54</v>
      </c>
      <c r="AL43" s="836">
        <v>1941</v>
      </c>
      <c r="AM43" s="844">
        <v>34.5</v>
      </c>
      <c r="AW43" s="1056">
        <v>42045</v>
      </c>
      <c r="AX43" s="1053">
        <v>1943</v>
      </c>
    </row>
    <row r="44" spans="32:50" ht="14.5">
      <c r="AF44" s="837">
        <v>42066</v>
      </c>
      <c r="AG44" s="838" t="s">
        <v>1138</v>
      </c>
      <c r="AH44" s="838" t="s">
        <v>1138</v>
      </c>
      <c r="AI44" s="844">
        <v>24.5</v>
      </c>
      <c r="AJ44" s="844">
        <v>21.9</v>
      </c>
      <c r="AK44" s="836">
        <v>5558.58</v>
      </c>
      <c r="AL44" s="836">
        <v>1945</v>
      </c>
      <c r="AM44" s="844">
        <v>34.799999999999997</v>
      </c>
      <c r="AW44" s="1056">
        <v>42046</v>
      </c>
      <c r="AX44" s="1053">
        <v>1948</v>
      </c>
    </row>
    <row r="45" spans="32:50" ht="14.5">
      <c r="AF45" s="837">
        <v>42067</v>
      </c>
      <c r="AG45" s="838" t="s">
        <v>1138</v>
      </c>
      <c r="AH45" s="838" t="s">
        <v>1138</v>
      </c>
      <c r="AI45" s="844">
        <v>22.2</v>
      </c>
      <c r="AJ45" s="844">
        <v>20.9</v>
      </c>
      <c r="AK45" s="836">
        <v>5558.56</v>
      </c>
      <c r="AL45" s="836">
        <v>1943</v>
      </c>
      <c r="AM45" s="844">
        <v>34.799999999999997</v>
      </c>
      <c r="AW45" s="1056">
        <v>42047</v>
      </c>
      <c r="AX45" s="1053">
        <v>1946</v>
      </c>
    </row>
    <row r="46" spans="32:50" ht="14.5">
      <c r="AF46" s="837">
        <v>42068</v>
      </c>
      <c r="AG46" s="838" t="s">
        <v>1138</v>
      </c>
      <c r="AH46" s="838" t="s">
        <v>1138</v>
      </c>
      <c r="AI46" s="844">
        <v>19.7</v>
      </c>
      <c r="AJ46" s="844">
        <v>16</v>
      </c>
      <c r="AK46" s="836">
        <v>5558.5</v>
      </c>
      <c r="AL46" s="836">
        <v>1937</v>
      </c>
      <c r="AM46" s="844">
        <v>34.700000000000003</v>
      </c>
      <c r="AW46" s="1056">
        <v>42048</v>
      </c>
      <c r="AX46" s="1053">
        <v>1944</v>
      </c>
    </row>
    <row r="47" spans="32:50" ht="14.5">
      <c r="AF47" s="837">
        <v>42069</v>
      </c>
      <c r="AG47" s="838" t="s">
        <v>1138</v>
      </c>
      <c r="AH47" s="838" t="s">
        <v>1138</v>
      </c>
      <c r="AI47" s="844">
        <v>22.1</v>
      </c>
      <c r="AJ47" s="844">
        <v>18.2</v>
      </c>
      <c r="AK47" s="836">
        <v>5558.53</v>
      </c>
      <c r="AL47" s="836">
        <v>1940</v>
      </c>
      <c r="AM47" s="844">
        <v>33.799999999999997</v>
      </c>
      <c r="AW47" s="1056">
        <v>42049</v>
      </c>
      <c r="AX47" s="1053">
        <v>1946</v>
      </c>
    </row>
    <row r="48" spans="32:50" ht="14.5">
      <c r="AF48" s="837">
        <v>42070</v>
      </c>
      <c r="AG48" s="838" t="s">
        <v>1138</v>
      </c>
      <c r="AH48" s="838" t="s">
        <v>1138</v>
      </c>
      <c r="AI48" s="844">
        <v>22.5</v>
      </c>
      <c r="AJ48" s="844">
        <v>22.3</v>
      </c>
      <c r="AK48" s="836">
        <v>5558.58</v>
      </c>
      <c r="AL48" s="836">
        <v>1946</v>
      </c>
      <c r="AM48" s="844">
        <v>34.4</v>
      </c>
      <c r="AW48" s="1056">
        <v>42050</v>
      </c>
      <c r="AX48" s="1053">
        <v>1944</v>
      </c>
    </row>
    <row r="49" spans="1:50" ht="12.75" customHeight="1">
      <c r="A49" s="1443" t="s">
        <v>132</v>
      </c>
      <c r="B49" s="1443"/>
      <c r="C49" s="1443"/>
      <c r="D49" s="1443"/>
      <c r="E49" s="85"/>
      <c r="AF49" s="837">
        <v>42071</v>
      </c>
      <c r="AG49" s="838" t="s">
        <v>1138</v>
      </c>
      <c r="AH49" s="838" t="s">
        <v>1138</v>
      </c>
      <c r="AI49" s="844">
        <v>23.7</v>
      </c>
      <c r="AJ49" s="844">
        <v>29.3</v>
      </c>
      <c r="AK49" s="836">
        <v>5558.66</v>
      </c>
      <c r="AL49" s="836">
        <v>1954</v>
      </c>
      <c r="AM49" s="844">
        <v>37.700000000000003</v>
      </c>
      <c r="AW49" s="1056">
        <v>42051</v>
      </c>
      <c r="AX49" s="1053">
        <v>1945</v>
      </c>
    </row>
    <row r="50" spans="1:50" ht="12.75" customHeight="1">
      <c r="A50" s="1443" t="s">
        <v>133</v>
      </c>
      <c r="B50" s="1443"/>
      <c r="C50" s="1443"/>
      <c r="D50" s="1443"/>
      <c r="E50" s="129"/>
      <c r="AF50" s="837">
        <v>42072</v>
      </c>
      <c r="AG50" s="50"/>
      <c r="AH50" s="50"/>
      <c r="AI50" s="844">
        <v>25</v>
      </c>
      <c r="AJ50" s="844">
        <v>31.8</v>
      </c>
      <c r="AK50" s="836">
        <v>5558.68</v>
      </c>
      <c r="AL50" s="836">
        <v>1956</v>
      </c>
      <c r="AM50" s="844">
        <v>41.3</v>
      </c>
      <c r="AW50" s="1056">
        <v>42052</v>
      </c>
      <c r="AX50" s="1053">
        <v>1938</v>
      </c>
    </row>
    <row r="51" spans="1:50" ht="12.75" customHeight="1">
      <c r="A51" s="1443" t="s">
        <v>134</v>
      </c>
      <c r="B51" s="1443"/>
      <c r="C51" s="1443"/>
      <c r="D51" s="1443"/>
      <c r="E51" s="129"/>
      <c r="AF51" s="837">
        <v>42073</v>
      </c>
      <c r="AG51" s="50"/>
      <c r="AH51" s="50"/>
      <c r="AI51" s="844">
        <v>25.6</v>
      </c>
      <c r="AJ51" s="844">
        <v>35.299999999999997</v>
      </c>
      <c r="AK51" s="836">
        <v>5558.71</v>
      </c>
      <c r="AL51" s="836">
        <v>1960</v>
      </c>
      <c r="AM51" s="844">
        <v>43.3</v>
      </c>
      <c r="AW51" s="1056">
        <v>42053</v>
      </c>
      <c r="AX51" s="1053">
        <v>1940</v>
      </c>
    </row>
    <row r="52" spans="1:50" ht="12.75" customHeight="1">
      <c r="A52" s="1443" t="s">
        <v>135</v>
      </c>
      <c r="B52" s="1443"/>
      <c r="C52" s="1443"/>
      <c r="D52" s="1443"/>
      <c r="E52" s="129"/>
      <c r="AF52" s="837">
        <v>42074</v>
      </c>
      <c r="AG52" s="50"/>
      <c r="AH52" s="50"/>
      <c r="AI52" s="844">
        <v>27.7</v>
      </c>
      <c r="AJ52" s="844">
        <v>37.6</v>
      </c>
      <c r="AK52" s="836">
        <v>5558.73</v>
      </c>
      <c r="AL52" s="836">
        <v>1962</v>
      </c>
      <c r="AM52" s="844">
        <v>46.3</v>
      </c>
      <c r="AW52" s="1056">
        <v>42054</v>
      </c>
      <c r="AX52" s="1053">
        <v>1948</v>
      </c>
    </row>
    <row r="53" spans="1:50" ht="12.75" customHeight="1">
      <c r="A53" s="1443" t="s">
        <v>136</v>
      </c>
      <c r="B53" s="1443"/>
      <c r="C53" s="1443"/>
      <c r="D53" s="1443"/>
      <c r="E53" s="130"/>
      <c r="AF53" s="837">
        <v>42075</v>
      </c>
      <c r="AG53" s="50"/>
      <c r="AH53" s="50"/>
      <c r="AI53" s="844">
        <v>33.299999999999997</v>
      </c>
      <c r="AJ53" s="844">
        <v>42.4</v>
      </c>
      <c r="AK53" s="836">
        <v>5558.78</v>
      </c>
      <c r="AL53" s="836">
        <v>1967</v>
      </c>
      <c r="AM53" s="844">
        <v>51.4</v>
      </c>
      <c r="AW53" s="1056">
        <v>42055</v>
      </c>
      <c r="AX53" s="1053">
        <v>1949</v>
      </c>
    </row>
    <row r="54" spans="1:50" ht="17.25" customHeight="1">
      <c r="A54" s="1443" t="s">
        <v>137</v>
      </c>
      <c r="B54" s="1443"/>
      <c r="C54" s="1443"/>
      <c r="D54" s="1443"/>
      <c r="E54" s="130"/>
      <c r="G54" s="1449" t="s">
        <v>274</v>
      </c>
      <c r="H54" s="1449"/>
      <c r="I54" s="1449"/>
      <c r="J54" s="1449"/>
      <c r="K54" s="1449"/>
      <c r="L54" s="1449"/>
      <c r="M54" s="1449"/>
      <c r="N54" s="1449"/>
      <c r="AF54" s="837">
        <v>42076</v>
      </c>
      <c r="AG54" s="50"/>
      <c r="AH54" s="50"/>
      <c r="AI54" s="844">
        <v>40.4</v>
      </c>
      <c r="AJ54" s="844">
        <v>46.8</v>
      </c>
      <c r="AK54" s="836">
        <v>5558.82</v>
      </c>
      <c r="AL54" s="836">
        <v>1971</v>
      </c>
      <c r="AM54" s="844">
        <v>54.2</v>
      </c>
      <c r="AW54" s="1056">
        <v>42056</v>
      </c>
      <c r="AX54" s="1053">
        <v>1948</v>
      </c>
    </row>
    <row r="55" spans="1:50" ht="31.5">
      <c r="A55" s="131" t="s">
        <v>201</v>
      </c>
      <c r="B55" s="132" t="s">
        <v>204</v>
      </c>
      <c r="C55" s="132" t="s">
        <v>202</v>
      </c>
      <c r="E55" s="54"/>
      <c r="F55" s="54"/>
      <c r="AF55" s="837">
        <v>42077</v>
      </c>
      <c r="AG55" s="50"/>
      <c r="AH55" s="50"/>
      <c r="AI55" s="844">
        <v>36.700000000000003</v>
      </c>
      <c r="AJ55" s="844">
        <v>47</v>
      </c>
      <c r="AK55" s="836">
        <v>5558.82</v>
      </c>
      <c r="AL55" s="836">
        <v>1972</v>
      </c>
      <c r="AM55" s="844">
        <v>57.9</v>
      </c>
      <c r="AW55" s="1056">
        <v>42057</v>
      </c>
      <c r="AX55" s="1053">
        <v>1940</v>
      </c>
    </row>
    <row r="56" spans="1:50" ht="14.5">
      <c r="A56" s="351">
        <v>1987</v>
      </c>
      <c r="B56" s="52">
        <v>61594.954499999993</v>
      </c>
      <c r="C56" s="50"/>
      <c r="E56" s="133"/>
      <c r="F56" s="133"/>
      <c r="AF56" s="837">
        <v>42078</v>
      </c>
      <c r="AG56" s="50"/>
      <c r="AH56" s="50"/>
      <c r="AI56" s="844">
        <v>39</v>
      </c>
      <c r="AJ56" s="844">
        <v>44.9</v>
      </c>
      <c r="AK56" s="836">
        <v>5558.8</v>
      </c>
      <c r="AL56" s="836">
        <v>1970</v>
      </c>
      <c r="AM56" s="844">
        <v>57.6</v>
      </c>
      <c r="AW56" s="1056">
        <v>42058</v>
      </c>
      <c r="AX56" s="1053">
        <v>1933</v>
      </c>
    </row>
    <row r="57" spans="1:50" ht="14.5">
      <c r="A57" s="351">
        <v>1988</v>
      </c>
      <c r="B57" s="52">
        <v>26201.379000000001</v>
      </c>
      <c r="C57" s="50"/>
      <c r="E57" s="133"/>
      <c r="F57" s="133"/>
      <c r="AF57" s="837">
        <v>42079</v>
      </c>
      <c r="AG57" s="50"/>
      <c r="AH57" s="50"/>
      <c r="AI57" s="844">
        <v>41.4</v>
      </c>
      <c r="AJ57" s="844">
        <v>42.3</v>
      </c>
      <c r="AK57" s="836">
        <v>5558.77</v>
      </c>
      <c r="AL57" s="836">
        <v>1967</v>
      </c>
      <c r="AM57" s="844">
        <v>56.3</v>
      </c>
      <c r="AW57" s="1056">
        <v>42059</v>
      </c>
      <c r="AX57" s="1053">
        <v>1938</v>
      </c>
    </row>
    <row r="58" spans="1:50" ht="14.5">
      <c r="A58" s="351">
        <v>1989</v>
      </c>
      <c r="B58" s="52">
        <v>7527.4679999999998</v>
      </c>
      <c r="C58" s="50"/>
      <c r="E58" s="133"/>
      <c r="F58" s="133"/>
      <c r="AF58" s="837">
        <v>42080</v>
      </c>
      <c r="AG58" s="50"/>
      <c r="AH58" s="50"/>
      <c r="AI58" s="844">
        <v>45.9</v>
      </c>
      <c r="AJ58" s="844">
        <v>34.299999999999997</v>
      </c>
      <c r="AK58" s="836">
        <v>5558.7</v>
      </c>
      <c r="AL58" s="836">
        <v>1958</v>
      </c>
      <c r="AM58" s="844">
        <v>53.2</v>
      </c>
      <c r="AW58" s="1056">
        <v>42060</v>
      </c>
      <c r="AX58" s="1053">
        <v>1947</v>
      </c>
    </row>
    <row r="59" spans="1:50" ht="14.5">
      <c r="A59" s="351">
        <v>1990</v>
      </c>
      <c r="B59" s="52">
        <v>20266.259999999998</v>
      </c>
      <c r="C59" s="50"/>
      <c r="E59" s="133"/>
      <c r="F59" s="133"/>
      <c r="AF59" s="837">
        <v>42081</v>
      </c>
      <c r="AG59" s="50"/>
      <c r="AH59" s="50"/>
      <c r="AI59" s="844">
        <v>46.9</v>
      </c>
      <c r="AJ59" s="844">
        <v>27.3</v>
      </c>
      <c r="AK59" s="836">
        <v>5558.63</v>
      </c>
      <c r="AL59" s="836">
        <v>1951</v>
      </c>
      <c r="AM59" s="844">
        <v>49.3</v>
      </c>
      <c r="AW59" s="1056">
        <v>42061</v>
      </c>
      <c r="AX59" s="1053">
        <v>1946</v>
      </c>
    </row>
    <row r="60" spans="1:50" ht="14.5">
      <c r="A60" s="351">
        <v>1991</v>
      </c>
      <c r="B60" s="52">
        <v>25694.7225</v>
      </c>
      <c r="C60" s="50"/>
      <c r="E60" s="133"/>
      <c r="F60" s="133"/>
      <c r="AF60" s="837">
        <v>42082</v>
      </c>
      <c r="AG60" s="50"/>
      <c r="AH60" s="50"/>
      <c r="AI60" s="844">
        <v>50</v>
      </c>
      <c r="AJ60" s="844">
        <v>24.7</v>
      </c>
      <c r="AK60" s="836">
        <v>5558.6</v>
      </c>
      <c r="AL60" s="836">
        <v>1948</v>
      </c>
      <c r="AM60" s="844">
        <v>46.2</v>
      </c>
      <c r="AW60" s="1056">
        <v>42062</v>
      </c>
      <c r="AX60" s="1053">
        <v>1942</v>
      </c>
    </row>
    <row r="61" spans="1:50" ht="14.5">
      <c r="A61" s="351">
        <v>1992</v>
      </c>
      <c r="B61" s="52">
        <v>18384.392999999996</v>
      </c>
      <c r="C61" s="50"/>
      <c r="E61" s="54"/>
      <c r="F61" s="54"/>
      <c r="AF61" s="837">
        <v>42083</v>
      </c>
      <c r="AH61" s="50">
        <v>20</v>
      </c>
      <c r="AI61" s="844">
        <v>41.4</v>
      </c>
      <c r="AJ61" s="844">
        <v>21</v>
      </c>
      <c r="AK61" s="836">
        <v>5558.56</v>
      </c>
      <c r="AL61" s="836">
        <v>1944</v>
      </c>
      <c r="AM61" s="844">
        <v>42.9</v>
      </c>
      <c r="AW61" s="1056">
        <v>42063</v>
      </c>
      <c r="AX61" s="1053">
        <v>1937</v>
      </c>
    </row>
    <row r="62" spans="1:50" ht="14.5">
      <c r="A62" s="351">
        <v>1993</v>
      </c>
      <c r="B62" s="52">
        <v>11291.201999999999</v>
      </c>
      <c r="C62" s="50"/>
      <c r="E62" s="54"/>
      <c r="F62" s="54"/>
      <c r="AF62" s="837">
        <v>42084</v>
      </c>
      <c r="AH62" s="50">
        <v>22</v>
      </c>
      <c r="AI62" s="844">
        <v>34.200000000000003</v>
      </c>
      <c r="AJ62" s="844">
        <v>16</v>
      </c>
      <c r="AK62" s="836">
        <v>5558.5</v>
      </c>
      <c r="AL62" s="836">
        <v>1937</v>
      </c>
      <c r="AM62" s="844">
        <v>34.5</v>
      </c>
      <c r="AW62" s="1056">
        <v>42064</v>
      </c>
      <c r="AX62" s="1053">
        <v>1939</v>
      </c>
    </row>
    <row r="63" spans="1:50" ht="14.5">
      <c r="A63" s="351">
        <v>1994</v>
      </c>
      <c r="B63" s="52">
        <v>13173.069</v>
      </c>
      <c r="C63" s="50"/>
      <c r="E63" s="54"/>
      <c r="F63" s="54"/>
      <c r="AF63" s="837">
        <v>42085</v>
      </c>
      <c r="AH63" s="50">
        <v>24</v>
      </c>
      <c r="AI63" s="844">
        <v>33.9</v>
      </c>
      <c r="AJ63" s="844">
        <v>18.100000000000001</v>
      </c>
      <c r="AK63" s="836">
        <v>5558.52</v>
      </c>
      <c r="AL63" s="836">
        <v>1939</v>
      </c>
      <c r="AM63" s="844">
        <v>30.9</v>
      </c>
      <c r="AW63" s="1056">
        <v>42065</v>
      </c>
      <c r="AX63" s="1053">
        <v>1941</v>
      </c>
    </row>
    <row r="64" spans="1:50" ht="14.5">
      <c r="A64" s="351">
        <v>1995</v>
      </c>
      <c r="B64" s="52">
        <v>69556.699499999988</v>
      </c>
      <c r="C64" s="50"/>
      <c r="E64" s="54"/>
      <c r="F64" s="54"/>
      <c r="AF64" s="837">
        <v>42086</v>
      </c>
      <c r="AG64" s="845">
        <v>23</v>
      </c>
      <c r="AH64" s="845">
        <v>25</v>
      </c>
      <c r="AI64" s="846">
        <v>36.1</v>
      </c>
      <c r="AJ64" s="846">
        <v>21.2</v>
      </c>
      <c r="AK64" s="847">
        <v>5558.56</v>
      </c>
      <c r="AL64" s="847">
        <v>1943</v>
      </c>
      <c r="AM64" s="846">
        <v>31.3</v>
      </c>
      <c r="AW64" s="1056">
        <v>42066</v>
      </c>
      <c r="AX64" s="1053">
        <v>1945</v>
      </c>
    </row>
    <row r="65" spans="1:50" ht="14.5">
      <c r="A65" s="351">
        <v>1996</v>
      </c>
      <c r="B65" s="52">
        <v>22654.783499999998</v>
      </c>
      <c r="C65" s="50"/>
      <c r="E65" s="54"/>
      <c r="F65" s="54"/>
      <c r="AF65" s="837">
        <v>42087</v>
      </c>
      <c r="AG65" s="510">
        <v>26</v>
      </c>
      <c r="AH65" s="510">
        <v>25</v>
      </c>
      <c r="AI65" s="844">
        <v>36.200000000000003</v>
      </c>
      <c r="AJ65" s="844">
        <v>24.4</v>
      </c>
      <c r="AK65" s="836">
        <v>5558.61</v>
      </c>
      <c r="AL65" s="836">
        <v>1949</v>
      </c>
      <c r="AM65" s="844">
        <v>34.9</v>
      </c>
      <c r="AW65" s="1056">
        <v>42067</v>
      </c>
      <c r="AX65" s="1053">
        <v>1943</v>
      </c>
    </row>
    <row r="66" spans="1:50" ht="14.5">
      <c r="A66" s="351">
        <v>1997</v>
      </c>
      <c r="B66" s="52">
        <v>38071.616999999998</v>
      </c>
      <c r="C66" s="50"/>
      <c r="E66" s="54"/>
      <c r="F66" s="54"/>
      <c r="AF66" s="837">
        <v>42088</v>
      </c>
      <c r="AG66" s="510">
        <v>26</v>
      </c>
      <c r="AH66" s="510">
        <v>24</v>
      </c>
      <c r="AI66" s="844">
        <v>34.6</v>
      </c>
      <c r="AJ66" s="844">
        <v>24.8</v>
      </c>
      <c r="AK66" s="836">
        <v>5558.63</v>
      </c>
      <c r="AL66" s="836">
        <v>1951</v>
      </c>
      <c r="AM66" s="844">
        <v>38.200000000000003</v>
      </c>
      <c r="AW66" s="1056">
        <v>42068</v>
      </c>
      <c r="AX66" s="1053">
        <v>1937</v>
      </c>
    </row>
    <row r="67" spans="1:50" ht="14.5">
      <c r="A67" s="351">
        <v>1998</v>
      </c>
      <c r="B67" s="52">
        <v>69122.422500000001</v>
      </c>
      <c r="C67" s="50"/>
      <c r="E67" s="54"/>
      <c r="F67" s="54"/>
      <c r="AF67" s="837">
        <v>42089</v>
      </c>
      <c r="AG67" s="848">
        <v>17</v>
      </c>
      <c r="AH67" s="848">
        <v>18</v>
      </c>
      <c r="AI67" s="846">
        <v>31.1</v>
      </c>
      <c r="AJ67" s="846">
        <v>23.8</v>
      </c>
      <c r="AK67" s="847">
        <v>5558.62</v>
      </c>
      <c r="AL67" s="847">
        <v>1950</v>
      </c>
      <c r="AM67" s="846">
        <v>40.5</v>
      </c>
      <c r="AW67" s="1056">
        <v>42069</v>
      </c>
      <c r="AX67" s="1053">
        <v>1940</v>
      </c>
    </row>
    <row r="68" spans="1:50" ht="14.5">
      <c r="A68" s="351">
        <v>1999</v>
      </c>
      <c r="B68" s="52">
        <v>52692.275999999998</v>
      </c>
      <c r="C68" s="50"/>
      <c r="E68" s="54"/>
      <c r="F68" s="54"/>
      <c r="AF68" s="837">
        <v>42090</v>
      </c>
      <c r="AG68" s="848">
        <v>23</v>
      </c>
      <c r="AH68" s="848">
        <v>24</v>
      </c>
      <c r="AI68" s="836">
        <v>35.1</v>
      </c>
      <c r="AJ68" s="836">
        <v>27.5</v>
      </c>
      <c r="AK68" s="836">
        <v>5558.66</v>
      </c>
      <c r="AL68" s="836">
        <v>1954</v>
      </c>
      <c r="AM68" s="836">
        <v>37.9</v>
      </c>
      <c r="AW68" s="1056">
        <v>42070</v>
      </c>
      <c r="AX68" s="1053">
        <v>1946</v>
      </c>
    </row>
    <row r="69" spans="1:50" ht="14.5">
      <c r="A69" s="351">
        <v>2000</v>
      </c>
      <c r="B69" s="52">
        <v>13173.069</v>
      </c>
      <c r="C69" s="50"/>
      <c r="D69" s="135"/>
      <c r="E69" s="54"/>
      <c r="F69" s="54"/>
      <c r="AF69" s="837">
        <v>42091</v>
      </c>
      <c r="AG69" s="848">
        <v>23</v>
      </c>
      <c r="AH69" s="848">
        <v>28</v>
      </c>
      <c r="AI69" s="836">
        <v>32</v>
      </c>
      <c r="AJ69" s="836">
        <v>36.6</v>
      </c>
      <c r="AK69" s="836">
        <v>5558.72</v>
      </c>
      <c r="AL69" s="836">
        <v>1961</v>
      </c>
      <c r="AM69" s="836">
        <v>42.9</v>
      </c>
      <c r="AW69" s="1056">
        <v>42071</v>
      </c>
      <c r="AX69" s="1053">
        <v>1954</v>
      </c>
    </row>
    <row r="70" spans="1:50" ht="14.5">
      <c r="A70" s="351">
        <v>2001</v>
      </c>
      <c r="B70" s="52">
        <v>15134.171499999999</v>
      </c>
      <c r="C70" s="50">
        <v>2323</v>
      </c>
      <c r="D70" s="136"/>
      <c r="E70" s="54"/>
      <c r="F70" s="54"/>
      <c r="AF70" s="837">
        <v>42092</v>
      </c>
      <c r="AG70" s="848">
        <v>26</v>
      </c>
      <c r="AH70" s="848">
        <v>29</v>
      </c>
      <c r="AI70" s="836">
        <v>35.6</v>
      </c>
      <c r="AJ70" s="836">
        <v>39.5</v>
      </c>
      <c r="AK70" s="836">
        <v>5558.74</v>
      </c>
      <c r="AL70" s="836">
        <v>1963</v>
      </c>
      <c r="AM70" s="836">
        <v>47.8</v>
      </c>
      <c r="AW70" s="1056">
        <v>42072</v>
      </c>
      <c r="AX70" s="1053">
        <v>1956</v>
      </c>
    </row>
    <row r="71" spans="1:50" ht="14.5">
      <c r="A71" s="351">
        <v>2002</v>
      </c>
      <c r="B71" s="52">
        <v>4248.6766499999994</v>
      </c>
      <c r="C71" s="52">
        <v>528.37034999999992</v>
      </c>
      <c r="D71" s="136"/>
      <c r="E71" s="54"/>
      <c r="F71" s="54"/>
      <c r="AF71" s="837">
        <v>42093</v>
      </c>
      <c r="AG71" s="848">
        <v>26</v>
      </c>
      <c r="AH71" s="848">
        <v>23</v>
      </c>
      <c r="AI71" s="836">
        <v>34.6</v>
      </c>
      <c r="AJ71" s="836">
        <v>38.700000000000003</v>
      </c>
      <c r="AK71" s="836">
        <v>5558.73</v>
      </c>
      <c r="AL71" s="836">
        <v>1962</v>
      </c>
      <c r="AM71" s="836">
        <v>49.9</v>
      </c>
      <c r="AW71" s="1056">
        <v>42073</v>
      </c>
      <c r="AX71" s="1053">
        <v>1960</v>
      </c>
    </row>
    <row r="72" spans="1:50" ht="14.5">
      <c r="A72" s="351">
        <v>2003</v>
      </c>
      <c r="B72" s="52">
        <v>21641.470499999999</v>
      </c>
      <c r="C72" s="52">
        <v>7455.0884999999998</v>
      </c>
      <c r="D72" s="136"/>
      <c r="E72" s="54"/>
      <c r="F72" s="54"/>
      <c r="AE72" s="51"/>
      <c r="AF72" s="837">
        <v>42094</v>
      </c>
      <c r="AG72" s="848">
        <v>26</v>
      </c>
      <c r="AH72" s="848">
        <v>18</v>
      </c>
      <c r="AI72" s="836">
        <v>34.799999999999997</v>
      </c>
      <c r="AJ72" s="836">
        <v>35.1</v>
      </c>
      <c r="AK72" s="836">
        <v>5558.7</v>
      </c>
      <c r="AL72" s="836">
        <v>1959</v>
      </c>
      <c r="AM72" s="836">
        <v>49.4</v>
      </c>
      <c r="AW72" s="1056">
        <v>42074</v>
      </c>
      <c r="AX72" s="1053">
        <v>1962</v>
      </c>
    </row>
    <row r="73" spans="1:50" ht="14.5">
      <c r="A73" s="351">
        <v>2004</v>
      </c>
      <c r="B73" s="52">
        <v>20924.913449999996</v>
      </c>
      <c r="C73" s="52">
        <v>3988.1104499999997</v>
      </c>
      <c r="D73" s="136"/>
      <c r="E73" s="54"/>
      <c r="F73" s="54"/>
      <c r="AE73" s="51"/>
      <c r="AF73" s="837">
        <v>42095</v>
      </c>
      <c r="AG73" s="848">
        <v>24.1</v>
      </c>
      <c r="AH73" s="848">
        <v>20</v>
      </c>
      <c r="AI73" s="836">
        <v>36.5</v>
      </c>
      <c r="AJ73" s="836">
        <v>30.2</v>
      </c>
      <c r="AK73" s="836">
        <v>5558.67</v>
      </c>
      <c r="AL73" s="836">
        <v>1955</v>
      </c>
      <c r="AM73" s="836">
        <v>47.3</v>
      </c>
      <c r="AW73" s="1056">
        <v>42075</v>
      </c>
      <c r="AX73" s="1053">
        <v>1967</v>
      </c>
    </row>
    <row r="74" spans="1:50" ht="14.5">
      <c r="A74" s="351">
        <v>2005</v>
      </c>
      <c r="B74" s="52">
        <v>36624.026999999995</v>
      </c>
      <c r="C74" s="52">
        <v>7455.0884999999998</v>
      </c>
      <c r="D74" s="136"/>
      <c r="E74" s="54"/>
      <c r="F74" s="54"/>
      <c r="AE74" s="51"/>
      <c r="AF74" s="837">
        <v>42096</v>
      </c>
      <c r="AG74" s="848">
        <v>23.9</v>
      </c>
      <c r="AH74" s="848">
        <v>16</v>
      </c>
      <c r="AI74" s="836">
        <v>34.5</v>
      </c>
      <c r="AJ74" s="836">
        <v>29.7</v>
      </c>
      <c r="AK74" s="836">
        <v>5558.68</v>
      </c>
      <c r="AL74" s="836">
        <v>1956</v>
      </c>
      <c r="AM74" s="836">
        <v>45.5</v>
      </c>
      <c r="AW74" s="1056">
        <v>42076</v>
      </c>
      <c r="AX74" s="1053">
        <v>1971</v>
      </c>
    </row>
    <row r="75" spans="1:50" ht="14.5">
      <c r="A75" s="351">
        <v>2006</v>
      </c>
      <c r="B75" s="52">
        <v>8497.4680000000008</v>
      </c>
      <c r="C75" s="52">
        <v>970</v>
      </c>
      <c r="D75" s="136"/>
      <c r="E75" s="54"/>
      <c r="F75" s="54"/>
      <c r="AE75" s="51"/>
      <c r="AF75" s="837">
        <v>42097</v>
      </c>
      <c r="AG75" s="848">
        <v>21.2</v>
      </c>
      <c r="AH75" s="848">
        <v>19</v>
      </c>
      <c r="AI75" s="836">
        <v>35</v>
      </c>
      <c r="AJ75" s="836">
        <v>30.9</v>
      </c>
      <c r="AK75" s="836">
        <v>5558.68</v>
      </c>
      <c r="AL75" s="836">
        <v>1957</v>
      </c>
      <c r="AM75" s="836">
        <v>47.3</v>
      </c>
      <c r="AW75" s="1056">
        <v>42077</v>
      </c>
      <c r="AX75" s="1053">
        <v>1972</v>
      </c>
    </row>
    <row r="76" spans="1:50" ht="14.5">
      <c r="A76" s="351">
        <v>2007</v>
      </c>
      <c r="B76" s="52">
        <v>56500</v>
      </c>
      <c r="C76" s="50">
        <v>14861</v>
      </c>
      <c r="AE76" s="51"/>
      <c r="AF76" s="837">
        <v>42098</v>
      </c>
      <c r="AG76" s="848">
        <v>19.600000000000001</v>
      </c>
      <c r="AH76" s="848">
        <v>20.3</v>
      </c>
      <c r="AI76" s="836">
        <v>32.1</v>
      </c>
      <c r="AJ76" s="836">
        <v>36.799999999999997</v>
      </c>
      <c r="AK76" s="836">
        <v>5558.72</v>
      </c>
      <c r="AL76" s="836">
        <v>1961</v>
      </c>
      <c r="AM76" s="836">
        <v>48.6</v>
      </c>
      <c r="AW76" s="1056">
        <v>42078</v>
      </c>
      <c r="AX76" s="1053">
        <v>1970</v>
      </c>
    </row>
    <row r="77" spans="1:50" ht="16.5" customHeight="1">
      <c r="A77" s="351">
        <v>2008</v>
      </c>
      <c r="B77" s="134">
        <v>19400</v>
      </c>
      <c r="C77" s="50">
        <v>5613</v>
      </c>
      <c r="AE77" s="51"/>
      <c r="AF77" s="837">
        <v>42099</v>
      </c>
      <c r="AG77" s="848">
        <v>20.100000000000001</v>
      </c>
      <c r="AH77" s="848">
        <v>18.5</v>
      </c>
      <c r="AI77" s="836">
        <v>30.7</v>
      </c>
      <c r="AJ77" s="836">
        <v>33.5</v>
      </c>
      <c r="AK77" s="836">
        <v>5558.69</v>
      </c>
      <c r="AL77" s="836">
        <v>1957</v>
      </c>
      <c r="AM77" s="836">
        <v>48</v>
      </c>
      <c r="AW77" s="1056">
        <v>42079</v>
      </c>
      <c r="AX77" s="1053">
        <v>1967</v>
      </c>
    </row>
    <row r="78" spans="1:50" ht="16.5" customHeight="1">
      <c r="A78" s="351">
        <v>2009</v>
      </c>
      <c r="B78" s="134">
        <v>25943</v>
      </c>
      <c r="C78" s="134">
        <v>8202</v>
      </c>
      <c r="AE78" s="51"/>
      <c r="AF78" s="837">
        <v>42100</v>
      </c>
      <c r="AG78" s="848">
        <v>20</v>
      </c>
      <c r="AH78" s="848">
        <v>15.8</v>
      </c>
      <c r="AI78" s="836">
        <v>29.3</v>
      </c>
      <c r="AJ78" s="836">
        <v>29.3</v>
      </c>
      <c r="AK78" s="836">
        <v>5558.65</v>
      </c>
      <c r="AL78" s="836">
        <v>1953</v>
      </c>
      <c r="AM78" s="836">
        <v>46.3</v>
      </c>
      <c r="AW78" s="1056">
        <v>42080</v>
      </c>
      <c r="AX78" s="1053">
        <v>1958</v>
      </c>
    </row>
    <row r="79" spans="1:50" ht="14.5">
      <c r="A79" s="351">
        <v>2010</v>
      </c>
      <c r="B79" s="134">
        <v>29007</v>
      </c>
      <c r="C79" s="134">
        <v>8401</v>
      </c>
      <c r="D79" s="156"/>
      <c r="AE79" s="51"/>
      <c r="AF79" s="837">
        <v>42101</v>
      </c>
      <c r="AG79" s="848">
        <v>20.399999999999999</v>
      </c>
      <c r="AH79" s="848">
        <v>15.6</v>
      </c>
      <c r="AI79" s="836">
        <v>28.8</v>
      </c>
      <c r="AJ79" s="836">
        <v>26.1</v>
      </c>
      <c r="AK79" s="836">
        <v>5558.63</v>
      </c>
      <c r="AL79" s="836">
        <v>1951</v>
      </c>
      <c r="AM79" s="836">
        <v>44.1</v>
      </c>
      <c r="AW79" s="1056">
        <v>42081</v>
      </c>
      <c r="AX79" s="1053">
        <v>1951</v>
      </c>
    </row>
    <row r="80" spans="1:50" ht="14.5">
      <c r="A80" s="351">
        <v>2011</v>
      </c>
      <c r="B80" s="226">
        <v>9432</v>
      </c>
      <c r="C80" s="134">
        <v>1348</v>
      </c>
      <c r="D80" s="268"/>
      <c r="AE80" s="51"/>
      <c r="AF80" s="837">
        <v>42102</v>
      </c>
      <c r="AG80" s="848">
        <v>20.5</v>
      </c>
      <c r="AH80" s="848">
        <v>19.7</v>
      </c>
      <c r="AI80" s="836">
        <v>28.8</v>
      </c>
      <c r="AJ80" s="836">
        <v>26.6</v>
      </c>
      <c r="AK80" s="836">
        <v>5558.64</v>
      </c>
      <c r="AL80" s="836">
        <v>1952</v>
      </c>
      <c r="AM80" s="836">
        <v>43.5</v>
      </c>
      <c r="AW80" s="1056">
        <v>42082</v>
      </c>
      <c r="AX80" s="1053">
        <v>1948</v>
      </c>
    </row>
    <row r="81" spans="1:50" ht="14.5">
      <c r="A81" s="351">
        <v>2012</v>
      </c>
      <c r="B81" s="226">
        <v>5868</v>
      </c>
      <c r="C81" s="134">
        <v>1316</v>
      </c>
      <c r="D81" s="268"/>
      <c r="AE81" s="51"/>
      <c r="AF81" s="837">
        <v>42103</v>
      </c>
      <c r="AG81" s="848">
        <v>19.3</v>
      </c>
      <c r="AH81" s="848">
        <v>19.100000000000001</v>
      </c>
      <c r="AI81" s="836">
        <v>29.2</v>
      </c>
      <c r="AJ81" s="836">
        <v>28.1</v>
      </c>
      <c r="AK81" s="836">
        <v>5558.38</v>
      </c>
      <c r="AL81" s="836">
        <v>1928</v>
      </c>
      <c r="AM81" s="836">
        <v>50.5</v>
      </c>
      <c r="AW81" s="1056">
        <v>42083</v>
      </c>
      <c r="AX81" s="1053">
        <v>1944</v>
      </c>
    </row>
    <row r="82" spans="1:50" ht="14.5">
      <c r="A82" s="351">
        <v>2013</v>
      </c>
      <c r="B82" s="134">
        <v>42275</v>
      </c>
      <c r="C82" s="134"/>
      <c r="D82" s="904" t="s">
        <v>16</v>
      </c>
      <c r="E82">
        <f>AVERAGE(B56:B81)</f>
        <v>27024.040099999998</v>
      </c>
      <c r="F82" s="710" t="s">
        <v>1219</v>
      </c>
      <c r="AF82" s="837">
        <v>42104</v>
      </c>
      <c r="AG82" s="848">
        <v>19</v>
      </c>
      <c r="AH82" s="848">
        <v>15.1</v>
      </c>
      <c r="AI82" s="836">
        <v>26.2</v>
      </c>
      <c r="AJ82" s="836">
        <v>25.2</v>
      </c>
      <c r="AK82" s="836">
        <v>5558.63</v>
      </c>
      <c r="AL82" s="836">
        <v>1951</v>
      </c>
      <c r="AM82" s="836">
        <v>53.6</v>
      </c>
      <c r="AW82" s="1056">
        <v>42084</v>
      </c>
      <c r="AX82" s="1053">
        <v>1937</v>
      </c>
    </row>
    <row r="83" spans="1:50" ht="14.5">
      <c r="A83" s="628">
        <v>2014</v>
      </c>
      <c r="B83" s="843">
        <v>32941</v>
      </c>
      <c r="C83" s="319"/>
      <c r="D83" s="904" t="s">
        <v>311</v>
      </c>
      <c r="E83">
        <f>MEDIAN(B56:B81)</f>
        <v>21283.191974999998</v>
      </c>
      <c r="F83" s="710" t="s">
        <v>1219</v>
      </c>
      <c r="AF83" s="837">
        <v>42105</v>
      </c>
      <c r="AG83" s="848">
        <v>18.3</v>
      </c>
      <c r="AH83" s="848">
        <v>15.6</v>
      </c>
      <c r="AI83" s="836">
        <v>26.5</v>
      </c>
      <c r="AJ83" s="836">
        <v>24.2</v>
      </c>
      <c r="AK83" s="836">
        <v>5558.61</v>
      </c>
      <c r="AL83" s="836">
        <v>1949</v>
      </c>
      <c r="AM83" s="836">
        <v>52.7</v>
      </c>
      <c r="AW83" s="1056">
        <v>42085</v>
      </c>
      <c r="AX83" s="1053">
        <v>1939</v>
      </c>
    </row>
    <row r="84" spans="1:50" s="710" customFormat="1" ht="14.5">
      <c r="A84" s="628">
        <v>2015</v>
      </c>
      <c r="B84" s="319">
        <f>N22</f>
        <v>118929.10894900002</v>
      </c>
      <c r="C84" s="319"/>
      <c r="D84" s="904" t="s">
        <v>16</v>
      </c>
      <c r="E84" s="710">
        <f>AVERAGE(B82:B84)</f>
        <v>64715.036316333339</v>
      </c>
      <c r="F84" s="710" t="s">
        <v>1220</v>
      </c>
      <c r="AF84" s="851"/>
      <c r="AG84" s="852"/>
      <c r="AH84" s="852"/>
      <c r="AI84" s="847"/>
      <c r="AJ84" s="847"/>
      <c r="AK84" s="847"/>
      <c r="AL84" s="847"/>
      <c r="AM84" s="847"/>
      <c r="AN84" s="51"/>
      <c r="AO84" s="51"/>
      <c r="AP84" s="51"/>
      <c r="AQ84" s="51"/>
      <c r="AR84" s="51"/>
      <c r="AS84" s="51"/>
      <c r="AT84" s="51"/>
      <c r="AU84" s="51"/>
      <c r="AW84" s="1056">
        <v>42086</v>
      </c>
      <c r="AX84" s="1053">
        <v>1943</v>
      </c>
    </row>
    <row r="85" spans="1:50" ht="14.5">
      <c r="D85" s="225"/>
      <c r="AF85" s="851">
        <v>42106</v>
      </c>
      <c r="AG85" s="852">
        <v>18.3</v>
      </c>
      <c r="AH85" s="852">
        <v>12.5</v>
      </c>
      <c r="AI85" s="847">
        <v>24.5</v>
      </c>
      <c r="AJ85" s="847">
        <v>21.8</v>
      </c>
      <c r="AK85" s="847"/>
      <c r="AL85" s="853"/>
      <c r="AM85" s="853"/>
      <c r="AW85" s="1056">
        <v>42087</v>
      </c>
      <c r="AX85" s="1053">
        <v>1949</v>
      </c>
    </row>
    <row r="86" spans="1:50" ht="31.5">
      <c r="A86" s="175" t="s">
        <v>201</v>
      </c>
      <c r="B86" s="176" t="s">
        <v>203</v>
      </c>
      <c r="AF86" s="837">
        <v>42107</v>
      </c>
      <c r="AG86" s="848">
        <v>18</v>
      </c>
      <c r="AH86" s="848">
        <v>14</v>
      </c>
      <c r="AI86" s="836">
        <v>24.8</v>
      </c>
      <c r="AJ86" s="836">
        <v>20</v>
      </c>
      <c r="AK86" s="836">
        <v>5558.56</v>
      </c>
      <c r="AL86" s="836">
        <v>1943</v>
      </c>
      <c r="AM86" s="836">
        <v>48.6</v>
      </c>
      <c r="AW86" s="1056">
        <v>42088</v>
      </c>
      <c r="AX86" s="1053">
        <v>1951</v>
      </c>
    </row>
    <row r="87" spans="1:50" ht="14.5">
      <c r="A87" s="351">
        <v>1987</v>
      </c>
      <c r="B87" s="128">
        <v>85.1</v>
      </c>
      <c r="AF87" s="837">
        <v>42108</v>
      </c>
      <c r="AG87" s="848">
        <v>20</v>
      </c>
      <c r="AH87" s="848">
        <v>16</v>
      </c>
      <c r="AI87" s="836">
        <v>24.6</v>
      </c>
      <c r="AJ87" s="836">
        <v>18.8</v>
      </c>
      <c r="AK87" s="836">
        <v>5558.54</v>
      </c>
      <c r="AL87" s="836">
        <v>1941</v>
      </c>
      <c r="AM87" s="836">
        <v>46.6</v>
      </c>
      <c r="AW87" s="1056">
        <v>42089</v>
      </c>
      <c r="AX87" s="1053">
        <v>1950</v>
      </c>
    </row>
    <row r="88" spans="1:50" ht="14.5">
      <c r="A88" s="351">
        <v>1988</v>
      </c>
      <c r="B88" s="128">
        <v>36.200000000000003</v>
      </c>
      <c r="AF88" s="837">
        <v>42109</v>
      </c>
      <c r="AG88" s="848">
        <v>20</v>
      </c>
      <c r="AH88" s="848">
        <v>13</v>
      </c>
      <c r="AI88" s="836">
        <v>24.8</v>
      </c>
      <c r="AJ88" s="836">
        <v>18.600000000000001</v>
      </c>
      <c r="AK88" s="836">
        <v>5558.54</v>
      </c>
      <c r="AL88" s="836">
        <v>1941</v>
      </c>
      <c r="AM88" s="836">
        <v>38.799999999999997</v>
      </c>
      <c r="AW88" s="1056">
        <v>42090</v>
      </c>
      <c r="AX88" s="1053">
        <v>1954</v>
      </c>
    </row>
    <row r="89" spans="1:50" ht="14.5">
      <c r="A89" s="351">
        <v>1989</v>
      </c>
      <c r="B89" s="128">
        <v>10.4</v>
      </c>
      <c r="AF89" s="837">
        <v>42110</v>
      </c>
      <c r="AG89" s="848">
        <v>20</v>
      </c>
      <c r="AH89" s="848">
        <v>23</v>
      </c>
      <c r="AI89" s="836">
        <v>28.6</v>
      </c>
      <c r="AJ89" s="836">
        <v>23.7</v>
      </c>
      <c r="AK89" s="836">
        <v>5558.6</v>
      </c>
      <c r="AL89" s="836">
        <v>1948</v>
      </c>
      <c r="AM89" s="836">
        <v>37.5</v>
      </c>
      <c r="AW89" s="1056">
        <v>42091</v>
      </c>
      <c r="AX89" s="1053">
        <v>1961</v>
      </c>
    </row>
    <row r="90" spans="1:50" ht="14.5">
      <c r="A90" s="351">
        <v>1990</v>
      </c>
      <c r="B90" s="128">
        <v>28</v>
      </c>
      <c r="AF90" s="837">
        <v>42111</v>
      </c>
      <c r="AG90" s="848">
        <v>35</v>
      </c>
      <c r="AH90" s="848">
        <v>32</v>
      </c>
      <c r="AI90" s="836">
        <v>34.799999999999997</v>
      </c>
      <c r="AJ90" s="836">
        <v>77.2</v>
      </c>
      <c r="AK90" s="836">
        <v>5559.05</v>
      </c>
      <c r="AL90" s="836">
        <v>1997</v>
      </c>
      <c r="AM90" s="836">
        <v>105</v>
      </c>
      <c r="AW90" s="1056">
        <v>42092</v>
      </c>
      <c r="AX90" s="1053">
        <v>1963</v>
      </c>
    </row>
    <row r="91" spans="1:50" ht="14.5">
      <c r="A91" s="351">
        <v>1991</v>
      </c>
      <c r="B91" s="128">
        <v>35.5</v>
      </c>
      <c r="AF91" s="837">
        <v>42112</v>
      </c>
      <c r="AG91" s="848">
        <v>22</v>
      </c>
      <c r="AH91" s="848">
        <v>43</v>
      </c>
      <c r="AI91" s="836">
        <v>44</v>
      </c>
      <c r="AJ91" s="836">
        <v>85.1</v>
      </c>
      <c r="AK91" s="836">
        <v>5559.09</v>
      </c>
      <c r="AL91" s="836">
        <v>2002</v>
      </c>
      <c r="AM91" s="836">
        <v>107</v>
      </c>
      <c r="AW91" s="1056">
        <v>42093</v>
      </c>
      <c r="AX91" s="1053">
        <v>1962</v>
      </c>
    </row>
    <row r="92" spans="1:50" ht="14.5">
      <c r="A92" s="351">
        <v>1992</v>
      </c>
      <c r="B92" s="128">
        <v>25.4</v>
      </c>
      <c r="AF92" s="837">
        <v>42113</v>
      </c>
      <c r="AG92" s="848">
        <v>22</v>
      </c>
      <c r="AH92" s="848">
        <v>45</v>
      </c>
      <c r="AI92" s="836">
        <v>50</v>
      </c>
      <c r="AJ92" s="836">
        <v>90.5</v>
      </c>
      <c r="AK92" s="836">
        <v>5559.15</v>
      </c>
      <c r="AL92" s="836">
        <v>2008</v>
      </c>
      <c r="AM92" s="836">
        <v>107</v>
      </c>
      <c r="AW92" s="1056">
        <v>42094</v>
      </c>
      <c r="AX92" s="1053">
        <v>1959</v>
      </c>
    </row>
    <row r="93" spans="1:50" ht="14.5">
      <c r="A93" s="351">
        <v>1993</v>
      </c>
      <c r="B93" s="128">
        <v>15.6</v>
      </c>
      <c r="AF93" s="837">
        <v>42114</v>
      </c>
      <c r="AG93" s="848">
        <v>19</v>
      </c>
      <c r="AH93" s="848">
        <v>43</v>
      </c>
      <c r="AI93" s="836">
        <v>47.3</v>
      </c>
      <c r="AJ93" s="836">
        <v>83.5</v>
      </c>
      <c r="AK93" s="836">
        <v>5559.08</v>
      </c>
      <c r="AL93" s="836">
        <v>2000</v>
      </c>
      <c r="AM93" s="836">
        <v>92.3</v>
      </c>
      <c r="AW93" s="1056">
        <v>42095</v>
      </c>
      <c r="AX93" s="1053">
        <v>1955</v>
      </c>
    </row>
    <row r="94" spans="1:50" ht="14.5">
      <c r="A94" s="351">
        <v>1994</v>
      </c>
      <c r="B94" s="128">
        <v>18.2</v>
      </c>
      <c r="AF94" s="837">
        <v>42115</v>
      </c>
      <c r="AG94" s="848">
        <v>19</v>
      </c>
      <c r="AH94" s="848">
        <v>53</v>
      </c>
      <c r="AI94" s="836">
        <v>50.6</v>
      </c>
      <c r="AJ94" s="836">
        <v>90.1</v>
      </c>
      <c r="AK94" s="836">
        <v>5559.15</v>
      </c>
      <c r="AL94" s="836">
        <v>2008</v>
      </c>
      <c r="AM94" s="836">
        <v>95.1</v>
      </c>
      <c r="AW94" s="1056">
        <v>42096</v>
      </c>
      <c r="AX94" s="1053">
        <v>1956</v>
      </c>
    </row>
    <row r="95" spans="1:50" ht="14.5">
      <c r="A95" s="351">
        <v>1995</v>
      </c>
      <c r="B95" s="128">
        <v>96.1</v>
      </c>
      <c r="AF95" s="837">
        <v>42116</v>
      </c>
      <c r="AG95" s="848">
        <v>28</v>
      </c>
      <c r="AH95" s="848">
        <v>64</v>
      </c>
      <c r="AI95" s="836">
        <v>62.7</v>
      </c>
      <c r="AJ95" s="836">
        <v>110</v>
      </c>
      <c r="AK95" s="836">
        <v>5559.29</v>
      </c>
      <c r="AL95" s="836">
        <v>2023</v>
      </c>
      <c r="AM95" s="836">
        <v>112</v>
      </c>
      <c r="AW95" s="1056">
        <v>42097</v>
      </c>
      <c r="AX95" s="1053">
        <v>1957</v>
      </c>
    </row>
    <row r="96" spans="1:50" ht="14.5">
      <c r="A96" s="351">
        <v>1996</v>
      </c>
      <c r="B96" s="128">
        <v>31.3</v>
      </c>
      <c r="AF96" s="837">
        <v>42117</v>
      </c>
      <c r="AG96" s="848">
        <v>50.6</v>
      </c>
      <c r="AH96" s="848">
        <v>122</v>
      </c>
      <c r="AI96" s="836">
        <v>92.5</v>
      </c>
      <c r="AJ96" s="836">
        <v>152</v>
      </c>
      <c r="AK96" s="836">
        <v>5559.56</v>
      </c>
      <c r="AL96" s="836">
        <v>2053</v>
      </c>
      <c r="AM96" s="836">
        <v>150</v>
      </c>
      <c r="AW96" s="1056">
        <v>42098</v>
      </c>
      <c r="AX96" s="1053">
        <v>1961</v>
      </c>
    </row>
    <row r="97" spans="1:50" ht="14.5">
      <c r="A97" s="351">
        <v>1997</v>
      </c>
      <c r="B97" s="128">
        <v>52.6</v>
      </c>
      <c r="AF97" s="837">
        <v>42118</v>
      </c>
      <c r="AG97" s="848">
        <v>52.7</v>
      </c>
      <c r="AH97" s="848">
        <v>137</v>
      </c>
      <c r="AI97" s="836">
        <v>103</v>
      </c>
      <c r="AJ97" s="836">
        <v>175</v>
      </c>
      <c r="AK97" s="836">
        <v>5559.7</v>
      </c>
      <c r="AL97" s="836">
        <v>2068</v>
      </c>
      <c r="AM97" s="836">
        <v>177</v>
      </c>
      <c r="AN97" s="834"/>
      <c r="AO97" s="834"/>
      <c r="AP97" s="834"/>
      <c r="AQ97" s="834"/>
      <c r="AR97" s="834"/>
      <c r="AS97" s="834"/>
      <c r="AT97" s="834"/>
      <c r="AU97" s="834"/>
      <c r="AW97" s="1056">
        <v>42099</v>
      </c>
      <c r="AX97" s="1053">
        <v>1957</v>
      </c>
    </row>
    <row r="98" spans="1:50" ht="14.5">
      <c r="A98" s="351">
        <v>1998</v>
      </c>
      <c r="B98" s="128">
        <v>95.5</v>
      </c>
      <c r="AF98" s="837">
        <v>42119</v>
      </c>
      <c r="AG98" s="848">
        <v>52.2</v>
      </c>
      <c r="AH98" s="848">
        <v>126</v>
      </c>
      <c r="AI98" s="836">
        <v>97.3</v>
      </c>
      <c r="AJ98" s="836">
        <v>166</v>
      </c>
      <c r="AK98" s="836">
        <v>5559.64</v>
      </c>
      <c r="AL98" s="836">
        <v>2061</v>
      </c>
      <c r="AM98" s="836">
        <v>170</v>
      </c>
      <c r="AN98" s="834"/>
      <c r="AO98" s="834"/>
      <c r="AP98" s="834"/>
      <c r="AQ98" s="834"/>
      <c r="AR98" s="834"/>
      <c r="AS98" s="834"/>
      <c r="AT98" s="834"/>
      <c r="AU98" s="834"/>
      <c r="AW98" s="1056">
        <v>42100</v>
      </c>
      <c r="AX98" s="1053">
        <v>1953</v>
      </c>
    </row>
    <row r="99" spans="1:50" ht="14.5">
      <c r="A99" s="351">
        <v>1999</v>
      </c>
      <c r="B99" s="128">
        <v>72.8</v>
      </c>
      <c r="AF99" s="837">
        <v>42120</v>
      </c>
      <c r="AG99" s="848">
        <v>65</v>
      </c>
      <c r="AH99" s="848">
        <v>173</v>
      </c>
      <c r="AI99" s="836">
        <v>130</v>
      </c>
      <c r="AJ99" s="836">
        <v>189</v>
      </c>
      <c r="AK99" s="836">
        <v>5559.77</v>
      </c>
      <c r="AL99" s="836">
        <v>2076</v>
      </c>
      <c r="AM99" s="836">
        <v>233</v>
      </c>
      <c r="AN99" s="834"/>
      <c r="AO99" s="834"/>
      <c r="AP99" s="834"/>
      <c r="AQ99" s="834"/>
      <c r="AR99" s="834"/>
      <c r="AS99" s="834"/>
      <c r="AT99" s="834"/>
      <c r="AU99" s="834"/>
      <c r="AW99" s="1056">
        <v>42101</v>
      </c>
      <c r="AX99" s="1053">
        <v>1951</v>
      </c>
    </row>
    <row r="100" spans="1:50" ht="14.5">
      <c r="A100" s="351">
        <v>2000</v>
      </c>
      <c r="B100" s="128">
        <v>18.2</v>
      </c>
      <c r="AF100" s="837">
        <v>42121</v>
      </c>
      <c r="AG100" s="848">
        <v>67.3</v>
      </c>
      <c r="AH100" s="848">
        <v>195</v>
      </c>
      <c r="AI100" s="836">
        <v>151</v>
      </c>
      <c r="AJ100" s="836">
        <v>257</v>
      </c>
      <c r="AK100" s="836">
        <v>5560.15</v>
      </c>
      <c r="AL100" s="836">
        <v>2119</v>
      </c>
      <c r="AM100" s="836">
        <v>307</v>
      </c>
      <c r="AN100" s="834"/>
      <c r="AO100" s="834"/>
      <c r="AP100" s="834"/>
      <c r="AQ100" s="834"/>
      <c r="AR100" s="834"/>
      <c r="AS100" s="834"/>
      <c r="AT100" s="834"/>
      <c r="AU100" s="834"/>
      <c r="AW100" s="1056">
        <v>42102</v>
      </c>
      <c r="AX100" s="1053">
        <v>1952</v>
      </c>
    </row>
    <row r="101" spans="1:50" ht="14.5">
      <c r="A101" s="351">
        <v>2001</v>
      </c>
      <c r="B101" s="128">
        <v>17.7</v>
      </c>
      <c r="AF101" s="837">
        <v>42122</v>
      </c>
      <c r="AG101" s="848">
        <v>69.599999999999994</v>
      </c>
      <c r="AH101" s="848">
        <v>178</v>
      </c>
      <c r="AI101" s="836">
        <v>143</v>
      </c>
      <c r="AJ101" s="836">
        <v>233</v>
      </c>
      <c r="AK101" s="836">
        <v>5560.01</v>
      </c>
      <c r="AL101" s="836">
        <v>2102</v>
      </c>
      <c r="AM101" s="836">
        <v>251</v>
      </c>
      <c r="AN101" s="834"/>
      <c r="AO101" s="834"/>
      <c r="AP101" s="834"/>
      <c r="AQ101" s="834"/>
      <c r="AR101" s="834"/>
      <c r="AS101" s="834"/>
      <c r="AT101" s="834"/>
      <c r="AU101" s="834"/>
      <c r="AW101" s="1056">
        <v>42103</v>
      </c>
      <c r="AX101" s="1053">
        <v>1928</v>
      </c>
    </row>
    <row r="102" spans="1:50" ht="14.5">
      <c r="A102" s="351">
        <v>2002</v>
      </c>
      <c r="B102" s="128">
        <v>5.14</v>
      </c>
      <c r="AF102" s="837">
        <v>42123</v>
      </c>
      <c r="AG102" s="848">
        <v>78.400000000000006</v>
      </c>
      <c r="AH102" s="848">
        <v>179</v>
      </c>
      <c r="AI102" s="836">
        <v>158</v>
      </c>
      <c r="AJ102" s="836">
        <v>230</v>
      </c>
      <c r="AK102" s="836">
        <v>5559.99</v>
      </c>
      <c r="AL102" s="836">
        <v>2100</v>
      </c>
      <c r="AM102" s="836">
        <v>247</v>
      </c>
      <c r="AN102" s="834"/>
      <c r="AO102" s="834"/>
      <c r="AP102" s="834"/>
      <c r="AQ102" s="834"/>
      <c r="AR102" s="834"/>
      <c r="AS102" s="834"/>
      <c r="AT102" s="834"/>
      <c r="AU102" s="834"/>
      <c r="AW102" s="1056">
        <v>42104</v>
      </c>
      <c r="AX102" s="1053">
        <v>1951</v>
      </c>
    </row>
    <row r="103" spans="1:50" ht="14.5">
      <c r="A103" s="351">
        <v>2003</v>
      </c>
      <c r="B103" s="128">
        <v>19.600000000000001</v>
      </c>
      <c r="AF103" s="837">
        <v>42124</v>
      </c>
      <c r="AG103" s="848">
        <v>98</v>
      </c>
      <c r="AH103" s="848">
        <v>201</v>
      </c>
      <c r="AI103" s="836">
        <v>190</v>
      </c>
      <c r="AJ103" s="836">
        <v>238</v>
      </c>
      <c r="AK103" s="836">
        <v>5560.04</v>
      </c>
      <c r="AL103" s="836">
        <v>2106</v>
      </c>
      <c r="AM103" s="836">
        <v>253</v>
      </c>
      <c r="AN103" s="834"/>
      <c r="AO103" s="834"/>
      <c r="AP103" s="834"/>
      <c r="AQ103" s="834"/>
      <c r="AR103" s="834"/>
      <c r="AS103" s="834"/>
      <c r="AT103" s="834"/>
      <c r="AU103" s="834"/>
      <c r="AW103" s="1056">
        <v>42105</v>
      </c>
      <c r="AX103" s="1053">
        <v>1949</v>
      </c>
    </row>
    <row r="104" spans="1:50" ht="14.5">
      <c r="A104" s="351">
        <v>2004</v>
      </c>
      <c r="B104" s="128">
        <v>23.4</v>
      </c>
      <c r="AF104" s="837">
        <v>42125</v>
      </c>
      <c r="AG104" s="848">
        <v>123</v>
      </c>
      <c r="AH104" s="848">
        <v>240</v>
      </c>
      <c r="AI104" s="836">
        <v>234</v>
      </c>
      <c r="AJ104" s="836">
        <v>261</v>
      </c>
      <c r="AK104" s="836">
        <v>5560.18</v>
      </c>
      <c r="AL104" s="836">
        <v>2122</v>
      </c>
      <c r="AM104" s="836">
        <v>294</v>
      </c>
      <c r="AN104" s="834"/>
      <c r="AO104" s="834"/>
      <c r="AP104" s="834"/>
      <c r="AQ104" s="834"/>
      <c r="AR104" s="834"/>
      <c r="AS104" s="834"/>
      <c r="AT104" s="834"/>
      <c r="AU104" s="834"/>
      <c r="AW104" s="1056">
        <v>42106</v>
      </c>
      <c r="AX104" s="1053"/>
    </row>
    <row r="105" spans="1:50" ht="14.5">
      <c r="A105" s="351">
        <v>2005</v>
      </c>
      <c r="B105" s="138">
        <v>40.299999999999997</v>
      </c>
      <c r="AF105" s="837">
        <v>42126</v>
      </c>
      <c r="AG105" s="848">
        <v>137</v>
      </c>
      <c r="AH105" s="848">
        <v>259</v>
      </c>
      <c r="AI105" s="836">
        <v>250</v>
      </c>
      <c r="AJ105" s="836">
        <v>280</v>
      </c>
      <c r="AK105" s="836">
        <v>5560.83</v>
      </c>
      <c r="AL105" s="836">
        <v>2198</v>
      </c>
      <c r="AM105" s="836">
        <v>322</v>
      </c>
      <c r="AN105" s="834"/>
      <c r="AO105" s="834"/>
      <c r="AP105" s="834"/>
      <c r="AQ105" s="834"/>
      <c r="AR105" s="834"/>
      <c r="AS105" s="834"/>
      <c r="AT105" s="834"/>
      <c r="AU105" s="834"/>
      <c r="AW105" s="1056">
        <v>42107</v>
      </c>
      <c r="AX105" s="1053">
        <v>1943</v>
      </c>
    </row>
    <row r="106" spans="1:50" ht="15.5">
      <c r="A106" s="351">
        <v>2006</v>
      </c>
      <c r="B106" s="139">
        <v>10.4</v>
      </c>
      <c r="AF106" s="837">
        <v>42127</v>
      </c>
      <c r="AG106" s="848">
        <v>137</v>
      </c>
      <c r="AH106" s="848">
        <v>239</v>
      </c>
      <c r="AI106" s="836">
        <v>235</v>
      </c>
      <c r="AJ106" s="836">
        <v>281</v>
      </c>
      <c r="AK106" s="836">
        <v>5561.08</v>
      </c>
      <c r="AL106" s="836">
        <v>2227</v>
      </c>
      <c r="AM106" s="836">
        <v>320</v>
      </c>
      <c r="AN106" s="834"/>
      <c r="AO106" s="834"/>
      <c r="AP106" s="834"/>
      <c r="AQ106" s="834"/>
      <c r="AR106" s="834"/>
      <c r="AS106" s="834"/>
      <c r="AT106" s="834"/>
      <c r="AU106" s="834"/>
      <c r="AW106" s="1056">
        <v>42108</v>
      </c>
      <c r="AX106" s="1053">
        <v>1941</v>
      </c>
    </row>
    <row r="107" spans="1:50" ht="14.5">
      <c r="A107" s="351">
        <v>2007</v>
      </c>
      <c r="B107" s="50"/>
      <c r="AF107" s="837">
        <v>42128</v>
      </c>
      <c r="AG107" s="848">
        <v>199</v>
      </c>
      <c r="AH107" s="848">
        <v>338</v>
      </c>
      <c r="AI107" s="836">
        <v>303</v>
      </c>
      <c r="AJ107" s="836">
        <v>283</v>
      </c>
      <c r="AK107" s="836">
        <v>5561.38</v>
      </c>
      <c r="AL107" s="836">
        <v>2261</v>
      </c>
      <c r="AM107" s="836">
        <v>329</v>
      </c>
      <c r="AN107" s="834"/>
      <c r="AO107" s="834"/>
      <c r="AP107" s="834"/>
      <c r="AQ107" s="834"/>
      <c r="AR107" s="834"/>
      <c r="AS107" s="834"/>
      <c r="AT107" s="834"/>
      <c r="AU107" s="834"/>
      <c r="AW107" s="1056">
        <v>42109</v>
      </c>
      <c r="AX107" s="1053">
        <v>1941</v>
      </c>
    </row>
    <row r="108" spans="1:50" ht="14.5">
      <c r="A108" s="351">
        <v>2008</v>
      </c>
      <c r="B108" s="50"/>
      <c r="AE108" s="710" t="s">
        <v>1141</v>
      </c>
      <c r="AF108" s="837">
        <v>42129</v>
      </c>
      <c r="AG108" s="848">
        <v>316</v>
      </c>
      <c r="AH108" s="848">
        <v>564</v>
      </c>
      <c r="AI108" s="836">
        <v>601</v>
      </c>
      <c r="AJ108" s="836">
        <v>345</v>
      </c>
      <c r="AK108" s="836">
        <v>5564.83</v>
      </c>
      <c r="AL108" s="836">
        <v>2691</v>
      </c>
      <c r="AM108" s="836">
        <v>477</v>
      </c>
      <c r="AN108" s="834"/>
      <c r="AO108" s="834"/>
      <c r="AP108" s="834"/>
      <c r="AQ108" s="834"/>
      <c r="AR108" s="834"/>
      <c r="AS108" s="834"/>
      <c r="AT108" s="834"/>
      <c r="AU108" s="834"/>
      <c r="AW108" s="1056">
        <v>42110</v>
      </c>
      <c r="AX108" s="1053">
        <v>1948</v>
      </c>
    </row>
    <row r="109" spans="1:50" ht="14.5">
      <c r="AF109" s="837">
        <v>42130</v>
      </c>
      <c r="AG109" s="848">
        <v>316</v>
      </c>
      <c r="AH109" s="848">
        <v>618</v>
      </c>
      <c r="AI109" s="836">
        <v>643</v>
      </c>
      <c r="AJ109" s="836">
        <v>392</v>
      </c>
      <c r="AK109" s="836">
        <v>5569.01</v>
      </c>
      <c r="AL109" s="836">
        <v>3280</v>
      </c>
      <c r="AM109" s="836">
        <v>533</v>
      </c>
      <c r="AN109" s="834"/>
      <c r="AO109" s="834"/>
      <c r="AP109" s="834"/>
      <c r="AQ109" s="834"/>
      <c r="AR109" s="834"/>
      <c r="AS109" s="834"/>
      <c r="AT109" s="834"/>
      <c r="AU109" s="834"/>
      <c r="AW109" s="1056">
        <v>42111</v>
      </c>
      <c r="AX109" s="1053">
        <v>1997</v>
      </c>
    </row>
    <row r="110" spans="1:50" ht="14.5">
      <c r="AF110" s="837">
        <v>42131</v>
      </c>
      <c r="AG110" s="848">
        <v>294</v>
      </c>
      <c r="AH110" s="848">
        <v>547</v>
      </c>
      <c r="AI110" s="836">
        <v>469</v>
      </c>
      <c r="AJ110" s="836">
        <v>405</v>
      </c>
      <c r="AK110" s="836">
        <v>5572.16</v>
      </c>
      <c r="AL110" s="836">
        <v>3777</v>
      </c>
      <c r="AM110" s="836">
        <v>527</v>
      </c>
      <c r="AN110" s="834"/>
      <c r="AO110" s="834"/>
      <c r="AP110" s="834"/>
      <c r="AQ110" s="834"/>
      <c r="AR110" s="834"/>
      <c r="AS110" s="834"/>
      <c r="AT110" s="834"/>
      <c r="AU110" s="834"/>
      <c r="AW110" s="1056">
        <v>42112</v>
      </c>
      <c r="AX110" s="1053">
        <v>2002</v>
      </c>
    </row>
    <row r="111" spans="1:50" ht="14.5">
      <c r="AF111" s="837">
        <v>42132</v>
      </c>
      <c r="AG111" s="848">
        <v>322</v>
      </c>
      <c r="AH111" s="848">
        <v>575</v>
      </c>
      <c r="AI111" s="836">
        <v>494</v>
      </c>
      <c r="AJ111" s="836">
        <v>414</v>
      </c>
      <c r="AK111" s="836">
        <v>5574.65</v>
      </c>
      <c r="AL111" s="836">
        <v>4208</v>
      </c>
      <c r="AM111" s="836">
        <v>536</v>
      </c>
      <c r="AN111" s="834"/>
      <c r="AO111" s="834"/>
      <c r="AP111" s="834"/>
      <c r="AQ111" s="834"/>
      <c r="AR111" s="834"/>
      <c r="AS111" s="834"/>
      <c r="AT111" s="834"/>
      <c r="AU111" s="834"/>
      <c r="AW111" s="1056">
        <v>42113</v>
      </c>
      <c r="AX111" s="1053">
        <v>2008</v>
      </c>
    </row>
    <row r="112" spans="1:50" ht="14.5">
      <c r="F112" s="28" t="s">
        <v>689</v>
      </c>
      <c r="AE112" s="710" t="s">
        <v>1142</v>
      </c>
      <c r="AF112" s="837">
        <v>42133</v>
      </c>
      <c r="AG112" s="848">
        <v>422</v>
      </c>
      <c r="AH112" s="848">
        <v>903</v>
      </c>
      <c r="AI112" s="836">
        <v>909</v>
      </c>
      <c r="AJ112" s="836">
        <v>309</v>
      </c>
      <c r="AK112" s="836">
        <v>5579.89</v>
      </c>
      <c r="AL112" s="836">
        <v>5259</v>
      </c>
      <c r="AM112" s="836">
        <v>503</v>
      </c>
      <c r="AN112" s="834"/>
      <c r="AO112" s="834"/>
      <c r="AP112" s="834"/>
      <c r="AQ112" s="834"/>
      <c r="AR112" s="834"/>
      <c r="AS112" s="834"/>
      <c r="AT112" s="834"/>
      <c r="AU112" s="834"/>
      <c r="AW112" s="1056">
        <v>42114</v>
      </c>
      <c r="AX112" s="1053">
        <v>2000</v>
      </c>
    </row>
    <row r="113" spans="1:50" ht="15.5">
      <c r="A113" s="255" t="s">
        <v>657</v>
      </c>
      <c r="C113" s="378">
        <v>41518</v>
      </c>
      <c r="D113" s="255">
        <v>68</v>
      </c>
      <c r="F113" s="255">
        <v>44.4</v>
      </c>
      <c r="G113">
        <f>(F113*0.12)+F113</f>
        <v>49.727999999999994</v>
      </c>
      <c r="I113" s="255">
        <v>6.33</v>
      </c>
      <c r="L113" s="255">
        <v>44.4</v>
      </c>
      <c r="M113" s="255">
        <v>6.33</v>
      </c>
      <c r="AE113" s="710" t="s">
        <v>1141</v>
      </c>
      <c r="AF113" s="837">
        <v>42134</v>
      </c>
      <c r="AG113" s="852">
        <v>420</v>
      </c>
      <c r="AH113" s="852">
        <v>903</v>
      </c>
      <c r="AI113" s="847">
        <v>816</v>
      </c>
      <c r="AJ113" s="847">
        <v>321</v>
      </c>
      <c r="AK113" s="847">
        <v>5587.69</v>
      </c>
      <c r="AL113" s="847">
        <v>7167</v>
      </c>
      <c r="AM113" s="847">
        <v>422</v>
      </c>
      <c r="AN113" s="834"/>
      <c r="AO113" s="834"/>
      <c r="AP113" s="834"/>
      <c r="AQ113" s="834"/>
      <c r="AR113" s="834"/>
      <c r="AS113" s="834"/>
      <c r="AT113" s="834"/>
      <c r="AU113" s="834"/>
      <c r="AW113" s="1056">
        <v>42115</v>
      </c>
      <c r="AX113" s="1053">
        <v>2008</v>
      </c>
    </row>
    <row r="114" spans="1:50" ht="15.5">
      <c r="A114" s="255" t="s">
        <v>657</v>
      </c>
      <c r="C114" s="378">
        <v>41519</v>
      </c>
      <c r="D114" s="255">
        <v>71.900000000000006</v>
      </c>
      <c r="F114" s="255">
        <v>46</v>
      </c>
      <c r="G114">
        <f t="shared" ref="G114:G145" si="20">(F114*0.12)+F114</f>
        <v>51.519999999999996</v>
      </c>
      <c r="I114" s="255">
        <v>6.34</v>
      </c>
      <c r="L114" s="255">
        <v>46</v>
      </c>
      <c r="M114" s="255">
        <v>6.34</v>
      </c>
      <c r="AF114" s="854">
        <v>42135</v>
      </c>
      <c r="AG114" s="848">
        <v>381</v>
      </c>
      <c r="AH114" s="848">
        <v>838</v>
      </c>
      <c r="AI114" s="836">
        <v>660</v>
      </c>
      <c r="AJ114" s="836">
        <v>418</v>
      </c>
      <c r="AK114" s="836">
        <v>5592.43</v>
      </c>
      <c r="AL114" s="836">
        <v>8567</v>
      </c>
      <c r="AM114" s="836">
        <v>505</v>
      </c>
      <c r="AN114" s="865"/>
      <c r="AO114" s="834"/>
      <c r="AP114" s="834"/>
      <c r="AQ114" s="834"/>
      <c r="AR114" s="834"/>
      <c r="AS114" s="834"/>
      <c r="AT114" s="834"/>
      <c r="AU114" s="834"/>
      <c r="AW114" s="1056">
        <v>42116</v>
      </c>
      <c r="AX114" s="1053">
        <v>2023</v>
      </c>
    </row>
    <row r="115" spans="1:50" ht="15.5">
      <c r="A115" s="255" t="s">
        <v>657</v>
      </c>
      <c r="C115" s="378">
        <v>41520</v>
      </c>
      <c r="D115" s="255">
        <v>76.400000000000006</v>
      </c>
      <c r="F115" s="255">
        <v>46.1</v>
      </c>
      <c r="G115">
        <f t="shared" si="20"/>
        <v>51.632000000000005</v>
      </c>
      <c r="I115" s="255">
        <v>6.34</v>
      </c>
      <c r="L115" s="255">
        <v>46.1</v>
      </c>
      <c r="M115" s="255">
        <v>6.34</v>
      </c>
      <c r="AE115" s="710" t="s">
        <v>1143</v>
      </c>
      <c r="AF115" s="854">
        <v>42136</v>
      </c>
      <c r="AG115" s="848">
        <v>348</v>
      </c>
      <c r="AH115" s="848">
        <v>719</v>
      </c>
      <c r="AI115" s="836">
        <v>527</v>
      </c>
      <c r="AJ115" s="836">
        <v>450</v>
      </c>
      <c r="AK115" s="836">
        <v>5595.29</v>
      </c>
      <c r="AL115" s="836">
        <v>9495</v>
      </c>
      <c r="AM115" s="836">
        <v>545</v>
      </c>
      <c r="AN115" s="865"/>
      <c r="AO115" s="834"/>
      <c r="AP115" s="834"/>
      <c r="AQ115" s="834"/>
      <c r="AR115" s="834"/>
      <c r="AS115" s="834"/>
      <c r="AT115" s="834"/>
      <c r="AU115" s="834"/>
      <c r="AW115" s="1056">
        <v>42117</v>
      </c>
      <c r="AX115" s="1053">
        <v>2053</v>
      </c>
    </row>
    <row r="116" spans="1:50" ht="15.5">
      <c r="A116" s="255" t="s">
        <v>657</v>
      </c>
      <c r="C116" s="378">
        <v>41521</v>
      </c>
      <c r="D116" s="255">
        <v>74.7</v>
      </c>
      <c r="F116" s="255">
        <v>44.2</v>
      </c>
      <c r="G116">
        <f t="shared" si="20"/>
        <v>49.504000000000005</v>
      </c>
      <c r="I116" s="255">
        <v>6.33</v>
      </c>
      <c r="L116" s="255">
        <v>44.2</v>
      </c>
      <c r="M116" s="255">
        <v>6.33</v>
      </c>
      <c r="AF116" s="854">
        <v>42137</v>
      </c>
      <c r="AG116" s="848">
        <v>317</v>
      </c>
      <c r="AH116" s="848">
        <v>593</v>
      </c>
      <c r="AI116" s="836">
        <v>411</v>
      </c>
      <c r="AJ116" s="836">
        <v>487</v>
      </c>
      <c r="AK116" s="836">
        <v>5596.82</v>
      </c>
      <c r="AL116" s="836">
        <v>10018</v>
      </c>
      <c r="AM116" s="836">
        <v>637</v>
      </c>
      <c r="AN116" s="865"/>
      <c r="AO116" s="834"/>
      <c r="AP116" s="834"/>
      <c r="AQ116" s="834"/>
      <c r="AR116" s="834"/>
      <c r="AS116" s="834"/>
      <c r="AT116" s="834"/>
      <c r="AU116" s="834"/>
      <c r="AW116" s="1056">
        <v>42118</v>
      </c>
      <c r="AX116" s="1053">
        <v>2068</v>
      </c>
    </row>
    <row r="117" spans="1:50" ht="15.5">
      <c r="A117" s="255" t="s">
        <v>657</v>
      </c>
      <c r="C117" s="378">
        <v>41522</v>
      </c>
      <c r="D117" s="255">
        <v>75.3</v>
      </c>
      <c r="F117" s="255">
        <v>42.6</v>
      </c>
      <c r="G117">
        <f t="shared" si="20"/>
        <v>47.712000000000003</v>
      </c>
      <c r="I117" s="255">
        <v>6.31</v>
      </c>
      <c r="L117" s="255">
        <v>42.6</v>
      </c>
      <c r="M117" s="255">
        <v>6.31</v>
      </c>
      <c r="AF117" s="854">
        <v>42138</v>
      </c>
      <c r="AG117" s="848">
        <v>284</v>
      </c>
      <c r="AH117" s="848">
        <v>509</v>
      </c>
      <c r="AI117" s="836">
        <v>342</v>
      </c>
      <c r="AJ117" s="836">
        <v>489</v>
      </c>
      <c r="AK117" s="836">
        <v>5597.64</v>
      </c>
      <c r="AL117" s="836">
        <v>10305</v>
      </c>
      <c r="AM117" s="836">
        <v>636</v>
      </c>
      <c r="AN117" s="865"/>
      <c r="AO117" s="834"/>
      <c r="AP117" s="834"/>
      <c r="AQ117" s="834"/>
      <c r="AR117" s="834"/>
      <c r="AS117" s="834"/>
      <c r="AT117" s="834"/>
      <c r="AU117" s="834"/>
      <c r="AW117" s="1056">
        <v>42119</v>
      </c>
      <c r="AX117" s="1053">
        <v>2061</v>
      </c>
    </row>
    <row r="118" spans="1:50" ht="15.5">
      <c r="A118" s="255" t="s">
        <v>657</v>
      </c>
      <c r="C118" s="378">
        <v>41523</v>
      </c>
      <c r="D118" s="255">
        <v>77.099999999999994</v>
      </c>
      <c r="F118" s="255">
        <v>39.4</v>
      </c>
      <c r="G118">
        <f t="shared" si="20"/>
        <v>44.128</v>
      </c>
      <c r="I118" s="255">
        <v>6.28</v>
      </c>
      <c r="L118" s="255">
        <v>39.4</v>
      </c>
      <c r="M118" s="255">
        <v>6.28</v>
      </c>
      <c r="AF118" s="854">
        <v>42139</v>
      </c>
      <c r="AG118" s="848">
        <v>263</v>
      </c>
      <c r="AH118" s="848">
        <v>434</v>
      </c>
      <c r="AI118" s="836">
        <v>261</v>
      </c>
      <c r="AJ118" s="836">
        <v>490</v>
      </c>
      <c r="AK118" s="836">
        <v>5597.89</v>
      </c>
      <c r="AL118" s="836">
        <v>10391</v>
      </c>
      <c r="AM118" s="836">
        <v>632</v>
      </c>
      <c r="AN118" s="865"/>
      <c r="AO118" s="834"/>
      <c r="AP118" s="834"/>
      <c r="AQ118" s="834"/>
      <c r="AR118" s="834"/>
      <c r="AS118" s="834"/>
      <c r="AT118" s="834"/>
      <c r="AU118" s="834"/>
      <c r="AW118" s="1056">
        <v>42120</v>
      </c>
      <c r="AX118" s="1053">
        <v>2076</v>
      </c>
    </row>
    <row r="119" spans="1:50" ht="15.5">
      <c r="A119" s="255" t="s">
        <v>657</v>
      </c>
      <c r="C119" s="378">
        <v>41524</v>
      </c>
      <c r="D119" s="255">
        <v>74.8</v>
      </c>
      <c r="F119" s="255">
        <v>36.1</v>
      </c>
      <c r="G119">
        <f t="shared" si="20"/>
        <v>40.432000000000002</v>
      </c>
      <c r="I119" s="255">
        <v>6.24</v>
      </c>
      <c r="L119" s="255">
        <v>36.1</v>
      </c>
      <c r="M119" s="255">
        <v>6.24</v>
      </c>
      <c r="AF119" s="854">
        <v>42140</v>
      </c>
      <c r="AG119" s="848">
        <v>238</v>
      </c>
      <c r="AH119" s="848">
        <v>395</v>
      </c>
      <c r="AI119" s="836">
        <v>341</v>
      </c>
      <c r="AJ119" s="836">
        <v>489</v>
      </c>
      <c r="AK119" s="836">
        <v>5597.74</v>
      </c>
      <c r="AL119" s="836">
        <v>10337</v>
      </c>
      <c r="AM119" s="836">
        <v>630</v>
      </c>
      <c r="AN119" s="865"/>
      <c r="AO119" s="834"/>
      <c r="AP119" s="834"/>
      <c r="AQ119" s="834"/>
      <c r="AR119" s="834"/>
      <c r="AS119" s="834"/>
      <c r="AT119" s="834"/>
      <c r="AU119" s="834"/>
      <c r="AW119" s="1056">
        <v>42121</v>
      </c>
      <c r="AX119" s="1053">
        <v>2119</v>
      </c>
    </row>
    <row r="120" spans="1:50" ht="15.5">
      <c r="A120" s="255" t="s">
        <v>657</v>
      </c>
      <c r="C120" s="378">
        <v>41525</v>
      </c>
      <c r="D120" s="255">
        <v>73</v>
      </c>
      <c r="F120" s="255">
        <v>36.299999999999997</v>
      </c>
      <c r="G120">
        <f t="shared" si="20"/>
        <v>40.655999999999999</v>
      </c>
      <c r="I120" s="255">
        <v>6.24</v>
      </c>
      <c r="L120" s="255">
        <v>36.299999999999997</v>
      </c>
      <c r="M120" s="255">
        <v>6.24</v>
      </c>
      <c r="AF120" s="854">
        <v>42141</v>
      </c>
      <c r="AG120" s="848">
        <v>210</v>
      </c>
      <c r="AH120" s="848">
        <v>377</v>
      </c>
      <c r="AI120" s="836">
        <v>286</v>
      </c>
      <c r="AJ120" s="836">
        <v>488</v>
      </c>
      <c r="AK120" s="836">
        <v>5597.27</v>
      </c>
      <c r="AL120" s="836">
        <v>10175</v>
      </c>
      <c r="AM120" s="836">
        <v>628</v>
      </c>
      <c r="AN120" s="865"/>
      <c r="AO120" s="834"/>
      <c r="AP120" s="834"/>
      <c r="AQ120" s="834"/>
      <c r="AR120" s="834"/>
      <c r="AS120" s="834"/>
      <c r="AT120" s="834"/>
      <c r="AU120" s="834"/>
      <c r="AW120" s="1056">
        <v>42122</v>
      </c>
      <c r="AX120" s="1053">
        <v>2102</v>
      </c>
    </row>
    <row r="121" spans="1:50" ht="15.5">
      <c r="A121" s="255" t="s">
        <v>657</v>
      </c>
      <c r="C121" s="378">
        <v>41526</v>
      </c>
      <c r="D121" s="255">
        <v>66.099999999999994</v>
      </c>
      <c r="F121" s="255">
        <v>48</v>
      </c>
      <c r="G121">
        <f t="shared" si="20"/>
        <v>53.76</v>
      </c>
      <c r="I121" s="255">
        <v>6.31</v>
      </c>
      <c r="L121" s="255">
        <v>48</v>
      </c>
      <c r="M121" s="255">
        <v>6.31</v>
      </c>
      <c r="AF121" s="854">
        <v>42142</v>
      </c>
      <c r="AG121" s="848">
        <v>223</v>
      </c>
      <c r="AH121" s="848">
        <v>369</v>
      </c>
      <c r="AI121" s="836">
        <v>288</v>
      </c>
      <c r="AJ121" s="836">
        <v>486</v>
      </c>
      <c r="AK121" s="836">
        <v>5596.65</v>
      </c>
      <c r="AL121" s="836">
        <v>9959</v>
      </c>
      <c r="AM121" s="836">
        <v>635</v>
      </c>
      <c r="AN121" s="865"/>
      <c r="AO121" s="834"/>
      <c r="AP121" s="834"/>
      <c r="AQ121" s="834"/>
      <c r="AR121" s="834"/>
      <c r="AS121" s="834"/>
      <c r="AT121" s="834"/>
      <c r="AU121" s="834"/>
      <c r="AW121" s="1056">
        <v>42123</v>
      </c>
      <c r="AX121" s="1053">
        <v>2100</v>
      </c>
    </row>
    <row r="122" spans="1:50" ht="15.5">
      <c r="A122" s="255" t="s">
        <v>657</v>
      </c>
      <c r="C122" s="378">
        <v>41527</v>
      </c>
      <c r="D122" s="255">
        <v>59.7</v>
      </c>
      <c r="F122" s="255">
        <v>132</v>
      </c>
      <c r="G122">
        <f t="shared" si="20"/>
        <v>147.84</v>
      </c>
      <c r="I122" s="255">
        <v>6.8</v>
      </c>
      <c r="L122" s="255">
        <v>132</v>
      </c>
      <c r="M122" s="255">
        <v>6.8</v>
      </c>
      <c r="AF122" s="854">
        <v>42143</v>
      </c>
      <c r="AG122" s="848">
        <v>329</v>
      </c>
      <c r="AH122" s="848">
        <v>620</v>
      </c>
      <c r="AI122" s="836">
        <v>624</v>
      </c>
      <c r="AJ122" s="836">
        <v>487</v>
      </c>
      <c r="AK122" s="836">
        <v>5597.11</v>
      </c>
      <c r="AL122" s="836">
        <v>10121</v>
      </c>
      <c r="AM122" s="836">
        <v>706</v>
      </c>
      <c r="AN122" s="865"/>
      <c r="AO122" s="834"/>
      <c r="AP122" s="834"/>
      <c r="AQ122" s="834"/>
      <c r="AR122" s="834"/>
      <c r="AS122" s="834"/>
      <c r="AT122" s="834"/>
      <c r="AU122" s="834"/>
      <c r="AW122" s="1056">
        <v>42124</v>
      </c>
      <c r="AX122" s="1053">
        <v>2106</v>
      </c>
    </row>
    <row r="123" spans="1:50" ht="15.5">
      <c r="A123" s="255" t="s">
        <v>657</v>
      </c>
      <c r="C123" s="378">
        <v>41528</v>
      </c>
      <c r="D123" s="255">
        <v>60.5</v>
      </c>
      <c r="F123" s="255">
        <v>391</v>
      </c>
      <c r="G123">
        <f t="shared" si="20"/>
        <v>437.92</v>
      </c>
      <c r="I123" s="255">
        <v>7.34</v>
      </c>
      <c r="L123" s="255">
        <v>391</v>
      </c>
      <c r="M123" s="255">
        <v>7.34</v>
      </c>
      <c r="AF123" s="854">
        <v>42144</v>
      </c>
      <c r="AG123" s="848">
        <v>314</v>
      </c>
      <c r="AH123" s="848">
        <v>621</v>
      </c>
      <c r="AI123" s="836">
        <v>575</v>
      </c>
      <c r="AJ123" s="836">
        <v>491</v>
      </c>
      <c r="AK123" s="836">
        <v>5598.53</v>
      </c>
      <c r="AL123" s="836">
        <v>10623</v>
      </c>
      <c r="AM123" s="836">
        <v>632</v>
      </c>
      <c r="AN123" s="865"/>
      <c r="AO123" s="834"/>
      <c r="AP123" s="834"/>
      <c r="AQ123" s="834"/>
      <c r="AR123" s="834"/>
      <c r="AS123" s="834"/>
      <c r="AT123" s="834"/>
      <c r="AU123" s="834"/>
      <c r="AW123" s="1056">
        <v>42125</v>
      </c>
      <c r="AX123" s="1053">
        <v>2122</v>
      </c>
    </row>
    <row r="124" spans="1:50" ht="15.5">
      <c r="A124" s="255" t="s">
        <v>657</v>
      </c>
      <c r="C124" s="378">
        <v>41529</v>
      </c>
      <c r="D124" s="255">
        <v>59.5</v>
      </c>
      <c r="F124" s="255">
        <v>405</v>
      </c>
      <c r="G124">
        <f t="shared" si="20"/>
        <v>453.6</v>
      </c>
      <c r="I124" s="255">
        <v>7.68</v>
      </c>
      <c r="L124" s="255">
        <v>405</v>
      </c>
      <c r="M124" s="255">
        <v>7.68</v>
      </c>
      <c r="AF124" s="854">
        <v>42145</v>
      </c>
      <c r="AG124" s="848">
        <v>322</v>
      </c>
      <c r="AH124" s="848">
        <v>607</v>
      </c>
      <c r="AI124" s="836">
        <v>555</v>
      </c>
      <c r="AJ124" s="836">
        <v>494</v>
      </c>
      <c r="AK124" s="836">
        <v>5599.35</v>
      </c>
      <c r="AL124" s="836">
        <v>10921</v>
      </c>
      <c r="AM124" s="836">
        <v>630</v>
      </c>
      <c r="AN124" s="865"/>
      <c r="AO124" s="834"/>
      <c r="AP124" s="834"/>
      <c r="AQ124" s="834"/>
      <c r="AR124" s="834"/>
      <c r="AS124" s="834"/>
      <c r="AT124" s="834"/>
      <c r="AU124" s="834"/>
      <c r="AW124" s="1056">
        <v>42126</v>
      </c>
      <c r="AX124" s="1053">
        <v>2198</v>
      </c>
    </row>
    <row r="125" spans="1:50" ht="15.5">
      <c r="A125" s="255" t="s">
        <v>657</v>
      </c>
      <c r="C125" s="378">
        <v>41530</v>
      </c>
      <c r="D125" s="255">
        <v>61.9</v>
      </c>
      <c r="F125" s="255">
        <v>1100</v>
      </c>
      <c r="G125">
        <f t="shared" si="20"/>
        <v>1232</v>
      </c>
      <c r="I125" s="255">
        <v>8.6300000000000008</v>
      </c>
      <c r="L125" s="255">
        <v>845.3</v>
      </c>
      <c r="M125" s="255">
        <v>7.91</v>
      </c>
      <c r="AF125" s="854">
        <v>42146</v>
      </c>
      <c r="AG125" s="848">
        <v>342</v>
      </c>
      <c r="AH125" s="848">
        <v>635</v>
      </c>
      <c r="AI125" s="836">
        <v>573</v>
      </c>
      <c r="AJ125" s="836">
        <v>497</v>
      </c>
      <c r="AK125" s="836">
        <v>5600.06</v>
      </c>
      <c r="AL125" s="836">
        <v>11181</v>
      </c>
      <c r="AM125" s="836">
        <v>666</v>
      </c>
      <c r="AN125" s="865"/>
      <c r="AO125" s="834"/>
      <c r="AP125" s="834"/>
      <c r="AQ125" s="834"/>
      <c r="AR125" s="834"/>
      <c r="AS125" s="834"/>
      <c r="AT125" s="834"/>
      <c r="AU125" s="834"/>
      <c r="AW125" s="1056">
        <v>42127</v>
      </c>
      <c r="AX125" s="1053">
        <v>2227</v>
      </c>
    </row>
    <row r="126" spans="1:50" ht="15.5">
      <c r="A126" s="255" t="s">
        <v>657</v>
      </c>
      <c r="C126" s="378">
        <v>41531</v>
      </c>
      <c r="D126" s="255">
        <v>62.3</v>
      </c>
      <c r="F126" s="255">
        <v>900</v>
      </c>
      <c r="G126">
        <f t="shared" si="20"/>
        <v>1008</v>
      </c>
      <c r="I126" s="255">
        <v>8.17</v>
      </c>
      <c r="L126" s="255">
        <v>747</v>
      </c>
      <c r="M126" s="255">
        <v>7.75</v>
      </c>
      <c r="AF126" s="854">
        <v>42147</v>
      </c>
      <c r="AG126" s="848">
        <v>363</v>
      </c>
      <c r="AH126" s="848">
        <v>656</v>
      </c>
      <c r="AI126" s="836">
        <v>654</v>
      </c>
      <c r="AJ126" s="836">
        <v>500</v>
      </c>
      <c r="AK126" s="836">
        <v>5601.04</v>
      </c>
      <c r="AL126" s="836">
        <v>11554</v>
      </c>
      <c r="AM126" s="836">
        <v>683</v>
      </c>
      <c r="AN126" s="865"/>
      <c r="AO126" s="834"/>
      <c r="AP126" s="834"/>
      <c r="AQ126" s="834"/>
      <c r="AR126" s="834"/>
      <c r="AS126" s="834"/>
      <c r="AT126" s="834"/>
      <c r="AU126" s="834"/>
      <c r="AW126" s="1056">
        <v>42128</v>
      </c>
      <c r="AX126" s="1053">
        <v>2261</v>
      </c>
    </row>
    <row r="127" spans="1:50" ht="15.5">
      <c r="A127" s="255" t="s">
        <v>657</v>
      </c>
      <c r="C127" s="378">
        <v>41532</v>
      </c>
      <c r="D127" s="255">
        <v>56.5</v>
      </c>
      <c r="F127" s="255">
        <v>950</v>
      </c>
      <c r="G127">
        <f t="shared" si="20"/>
        <v>1064</v>
      </c>
      <c r="I127" s="255">
        <v>8.26</v>
      </c>
      <c r="L127" s="255">
        <v>551</v>
      </c>
      <c r="M127" s="255">
        <v>7.58</v>
      </c>
      <c r="AF127" s="854">
        <v>42148</v>
      </c>
      <c r="AG127" s="848">
        <v>350</v>
      </c>
      <c r="AH127" s="848">
        <v>647</v>
      </c>
      <c r="AI127" s="836">
        <v>607</v>
      </c>
      <c r="AJ127" s="836">
        <v>503</v>
      </c>
      <c r="AK127" s="836">
        <v>5601.87</v>
      </c>
      <c r="AL127" s="836">
        <v>11870</v>
      </c>
      <c r="AM127" s="836">
        <v>655</v>
      </c>
      <c r="AN127" s="865"/>
      <c r="AO127" s="834"/>
      <c r="AP127" s="834"/>
      <c r="AQ127" s="834"/>
      <c r="AR127" s="834"/>
      <c r="AS127" s="834"/>
      <c r="AT127" s="834"/>
      <c r="AU127" s="834"/>
      <c r="AW127" s="1056">
        <v>42129</v>
      </c>
      <c r="AX127" s="1053">
        <v>2691</v>
      </c>
    </row>
    <row r="128" spans="1:50" ht="15.5">
      <c r="A128" s="255" t="s">
        <v>657</v>
      </c>
      <c r="C128" s="378">
        <v>41530</v>
      </c>
      <c r="D128" s="255">
        <v>61.9</v>
      </c>
      <c r="F128" s="255">
        <v>1100</v>
      </c>
      <c r="G128">
        <f t="shared" si="20"/>
        <v>1232</v>
      </c>
      <c r="I128" s="255">
        <v>8.6300000000000008</v>
      </c>
      <c r="L128" s="255">
        <v>427</v>
      </c>
      <c r="M128" s="255">
        <v>7.44</v>
      </c>
      <c r="AF128" s="867">
        <v>42149</v>
      </c>
      <c r="AG128" s="852">
        <v>324</v>
      </c>
      <c r="AH128" s="852">
        <v>631</v>
      </c>
      <c r="AI128" s="847">
        <v>543</v>
      </c>
      <c r="AJ128" s="847">
        <v>505</v>
      </c>
      <c r="AK128" s="847">
        <v>5602.47</v>
      </c>
      <c r="AL128" s="847">
        <v>12107</v>
      </c>
      <c r="AM128" s="847">
        <v>638</v>
      </c>
      <c r="AN128" s="865"/>
      <c r="AO128" s="834"/>
      <c r="AP128" s="834"/>
      <c r="AQ128" s="834"/>
      <c r="AR128" s="834"/>
      <c r="AS128" s="834"/>
      <c r="AT128" s="834"/>
      <c r="AU128" s="834"/>
      <c r="AW128" s="1056">
        <v>42130</v>
      </c>
      <c r="AX128" s="1053">
        <v>3280</v>
      </c>
    </row>
    <row r="129" spans="1:50" ht="15.5">
      <c r="A129" s="255" t="s">
        <v>657</v>
      </c>
      <c r="C129" s="378">
        <v>41531</v>
      </c>
      <c r="D129" s="255">
        <v>62.3</v>
      </c>
      <c r="F129" s="255">
        <v>900</v>
      </c>
      <c r="G129">
        <f t="shared" si="20"/>
        <v>1008</v>
      </c>
      <c r="I129" s="255">
        <v>8.17</v>
      </c>
      <c r="L129" s="255">
        <v>345</v>
      </c>
      <c r="M129" s="255">
        <v>7.32</v>
      </c>
      <c r="AF129" s="868">
        <v>42150</v>
      </c>
      <c r="AG129" s="848">
        <v>299</v>
      </c>
      <c r="AH129" s="848">
        <v>605</v>
      </c>
      <c r="AI129" s="848">
        <v>477</v>
      </c>
      <c r="AJ129" s="848">
        <v>506</v>
      </c>
      <c r="AK129" s="848">
        <v>5602.71</v>
      </c>
      <c r="AL129" s="848">
        <v>12204</v>
      </c>
      <c r="AM129" s="848">
        <v>627</v>
      </c>
      <c r="AN129" s="834"/>
      <c r="AO129" s="834"/>
      <c r="AW129" s="1056">
        <v>42131</v>
      </c>
      <c r="AX129" s="1053">
        <v>3777</v>
      </c>
    </row>
    <row r="130" spans="1:50" ht="15.5">
      <c r="A130" s="255" t="s">
        <v>657</v>
      </c>
      <c r="C130" s="378">
        <v>41532</v>
      </c>
      <c r="D130" s="255">
        <v>56.5</v>
      </c>
      <c r="F130" s="255">
        <v>950</v>
      </c>
      <c r="G130">
        <f t="shared" si="20"/>
        <v>1064</v>
      </c>
      <c r="I130" s="255">
        <v>8.26</v>
      </c>
      <c r="L130" s="255">
        <v>315</v>
      </c>
      <c r="M130" s="255">
        <v>7.27</v>
      </c>
      <c r="AF130" s="868">
        <v>42151</v>
      </c>
      <c r="AG130" s="848">
        <v>275</v>
      </c>
      <c r="AH130" s="848">
        <v>543</v>
      </c>
      <c r="AI130" s="848">
        <v>406</v>
      </c>
      <c r="AJ130" s="848">
        <v>506</v>
      </c>
      <c r="AK130" s="848">
        <v>5602.65</v>
      </c>
      <c r="AL130" s="848">
        <v>12178</v>
      </c>
      <c r="AM130" s="848">
        <v>622</v>
      </c>
      <c r="AN130" s="834"/>
      <c r="AO130" s="834"/>
      <c r="AW130" s="1056">
        <v>42132</v>
      </c>
      <c r="AX130" s="1053">
        <v>4208</v>
      </c>
    </row>
    <row r="131" spans="1:50" ht="15.5">
      <c r="A131" s="255" t="s">
        <v>657</v>
      </c>
      <c r="C131" s="378">
        <v>41533</v>
      </c>
      <c r="D131" s="255">
        <v>60.2</v>
      </c>
      <c r="F131" s="255">
        <v>1100</v>
      </c>
      <c r="G131">
        <f t="shared" si="20"/>
        <v>1232</v>
      </c>
      <c r="I131" s="255">
        <v>8.56</v>
      </c>
      <c r="L131" s="255">
        <v>248</v>
      </c>
      <c r="M131" s="255">
        <v>7.15</v>
      </c>
      <c r="AF131" s="868">
        <v>42152</v>
      </c>
      <c r="AG131" s="848">
        <v>263</v>
      </c>
      <c r="AH131" s="848">
        <v>517</v>
      </c>
      <c r="AI131" s="848">
        <v>367</v>
      </c>
      <c r="AJ131" s="848">
        <v>506</v>
      </c>
      <c r="AK131" s="848">
        <v>5602.43</v>
      </c>
      <c r="AL131" s="848">
        <v>12090</v>
      </c>
      <c r="AM131" s="848">
        <v>622</v>
      </c>
      <c r="AN131" s="834"/>
      <c r="AO131" s="834"/>
      <c r="AW131" s="1056">
        <v>42133</v>
      </c>
      <c r="AX131" s="1053">
        <v>5259</v>
      </c>
    </row>
    <row r="132" spans="1:50" ht="15.5">
      <c r="A132" s="255" t="s">
        <v>657</v>
      </c>
      <c r="C132" s="378">
        <v>41534</v>
      </c>
      <c r="D132" s="255">
        <v>66.900000000000006</v>
      </c>
      <c r="F132" s="255">
        <v>900</v>
      </c>
      <c r="G132">
        <f t="shared" si="20"/>
        <v>1008</v>
      </c>
      <c r="I132" s="255">
        <v>8.17</v>
      </c>
      <c r="L132" s="255">
        <v>216</v>
      </c>
      <c r="M132" s="255">
        <v>7.08</v>
      </c>
      <c r="AF132" s="868">
        <v>42153</v>
      </c>
      <c r="AG132" s="848">
        <v>247</v>
      </c>
      <c r="AH132" s="848">
        <v>482</v>
      </c>
      <c r="AI132" s="848">
        <v>310</v>
      </c>
      <c r="AJ132" s="848">
        <v>456</v>
      </c>
      <c r="AK132" s="848">
        <v>5602.07</v>
      </c>
      <c r="AL132" s="848">
        <v>11949</v>
      </c>
      <c r="AM132" s="848">
        <v>539</v>
      </c>
      <c r="AN132" s="834"/>
      <c r="AO132" s="834"/>
      <c r="AW132" s="1056">
        <v>42134</v>
      </c>
      <c r="AX132" s="1053">
        <v>7167</v>
      </c>
    </row>
    <row r="133" spans="1:50" ht="15.5">
      <c r="A133" s="255" t="s">
        <v>657</v>
      </c>
      <c r="C133" s="378">
        <v>41535</v>
      </c>
      <c r="D133" s="255">
        <v>68.2</v>
      </c>
      <c r="F133" s="255">
        <v>845.3</v>
      </c>
      <c r="G133">
        <f t="shared" si="20"/>
        <v>946.73599999999999</v>
      </c>
      <c r="I133" s="255">
        <v>7.91</v>
      </c>
      <c r="L133" s="255">
        <v>191</v>
      </c>
      <c r="M133" s="255">
        <v>7.02</v>
      </c>
      <c r="AF133" s="868">
        <v>42154</v>
      </c>
      <c r="AG133" s="848">
        <v>245</v>
      </c>
      <c r="AH133" s="848">
        <v>473</v>
      </c>
      <c r="AI133" s="848">
        <v>301</v>
      </c>
      <c r="AJ133" s="848">
        <v>503</v>
      </c>
      <c r="AK133" s="848">
        <v>5601.57</v>
      </c>
      <c r="AL133" s="848">
        <v>11754</v>
      </c>
      <c r="AM133" s="848">
        <v>601</v>
      </c>
      <c r="AN133" s="834"/>
      <c r="AO133" s="834"/>
      <c r="AW133" s="1056">
        <v>42135</v>
      </c>
      <c r="AX133" s="1053">
        <v>8567</v>
      </c>
    </row>
    <row r="134" spans="1:50" ht="15.5">
      <c r="A134" s="255" t="s">
        <v>657</v>
      </c>
      <c r="C134" s="378">
        <v>41536</v>
      </c>
      <c r="D134" s="255">
        <v>57.5</v>
      </c>
      <c r="F134" s="255">
        <v>747</v>
      </c>
      <c r="G134">
        <f t="shared" si="20"/>
        <v>836.64</v>
      </c>
      <c r="I134" s="255">
        <v>7.75</v>
      </c>
      <c r="L134" s="255">
        <v>188</v>
      </c>
      <c r="M134" s="255">
        <v>6.98</v>
      </c>
      <c r="AF134" s="868">
        <v>42155</v>
      </c>
      <c r="AG134" s="848">
        <v>241</v>
      </c>
      <c r="AH134" s="848">
        <v>428</v>
      </c>
      <c r="AI134" s="848">
        <v>279</v>
      </c>
      <c r="AJ134" s="848">
        <v>501</v>
      </c>
      <c r="AK134" s="848">
        <v>5600.76</v>
      </c>
      <c r="AL134" s="848">
        <v>11446</v>
      </c>
      <c r="AM134" s="848">
        <v>597</v>
      </c>
      <c r="AN134" s="834"/>
      <c r="AO134" s="834"/>
      <c r="AW134" s="1056">
        <v>42136</v>
      </c>
      <c r="AX134" s="1053">
        <v>9495</v>
      </c>
    </row>
    <row r="135" spans="1:50" ht="15.5">
      <c r="A135" s="255" t="s">
        <v>657</v>
      </c>
      <c r="C135" s="378">
        <v>41537</v>
      </c>
      <c r="D135" s="255">
        <v>57.6</v>
      </c>
      <c r="F135" s="255">
        <v>551</v>
      </c>
      <c r="G135">
        <f t="shared" si="20"/>
        <v>617.12</v>
      </c>
      <c r="I135" s="255">
        <v>7.58</v>
      </c>
      <c r="L135" s="255">
        <v>183</v>
      </c>
      <c r="M135" s="255">
        <v>6.95</v>
      </c>
      <c r="AF135" s="868">
        <v>42156</v>
      </c>
      <c r="AG135" s="848">
        <v>256</v>
      </c>
      <c r="AH135" s="848">
        <v>435</v>
      </c>
      <c r="AI135" s="848">
        <v>285</v>
      </c>
      <c r="AJ135" s="848">
        <v>498</v>
      </c>
      <c r="AK135" s="848">
        <v>5599.85</v>
      </c>
      <c r="AL135" s="848">
        <v>11104</v>
      </c>
      <c r="AM135" s="848">
        <v>586</v>
      </c>
      <c r="AN135" s="834"/>
      <c r="AO135" s="834"/>
      <c r="AW135" s="1056">
        <v>42137</v>
      </c>
      <c r="AX135" s="1053">
        <v>10018</v>
      </c>
    </row>
    <row r="136" spans="1:50" ht="15.5">
      <c r="A136" s="255" t="s">
        <v>657</v>
      </c>
      <c r="C136" s="378">
        <v>41538</v>
      </c>
      <c r="D136" s="255">
        <v>65.099999999999994</v>
      </c>
      <c r="F136" s="255">
        <v>427</v>
      </c>
      <c r="G136">
        <f t="shared" si="20"/>
        <v>478.24</v>
      </c>
      <c r="I136" s="255">
        <v>7.44</v>
      </c>
      <c r="L136" s="255">
        <v>160</v>
      </c>
      <c r="M136" s="255">
        <v>6.88</v>
      </c>
      <c r="AF136" s="868">
        <v>42157</v>
      </c>
      <c r="AG136" s="848">
        <v>265</v>
      </c>
      <c r="AH136" s="848">
        <v>424</v>
      </c>
      <c r="AI136" s="848">
        <v>282</v>
      </c>
      <c r="AJ136" s="848">
        <v>494</v>
      </c>
      <c r="AK136" s="848">
        <v>5598.92</v>
      </c>
      <c r="AL136" s="848">
        <v>10763</v>
      </c>
      <c r="AM136" s="848">
        <v>581</v>
      </c>
      <c r="AN136" s="834"/>
      <c r="AO136" s="834"/>
      <c r="AW136" s="1056">
        <v>42138</v>
      </c>
      <c r="AX136" s="1053">
        <v>10305</v>
      </c>
    </row>
    <row r="137" spans="1:50" ht="15.5">
      <c r="A137" s="255" t="s">
        <v>657</v>
      </c>
      <c r="C137" s="378">
        <v>41539</v>
      </c>
      <c r="D137" s="255">
        <v>63.5</v>
      </c>
      <c r="F137" s="255">
        <v>345</v>
      </c>
      <c r="G137">
        <f t="shared" si="20"/>
        <v>386.4</v>
      </c>
      <c r="I137" s="255">
        <v>7.32</v>
      </c>
      <c r="L137" s="255">
        <v>146</v>
      </c>
      <c r="M137" s="255">
        <v>6.84</v>
      </c>
      <c r="AF137" s="868">
        <v>42158</v>
      </c>
      <c r="AG137" s="848">
        <v>275</v>
      </c>
      <c r="AH137" s="848">
        <v>452</v>
      </c>
      <c r="AI137" s="848">
        <v>285</v>
      </c>
      <c r="AJ137" s="848">
        <v>490</v>
      </c>
      <c r="AK137" s="848">
        <v>5597.92</v>
      </c>
      <c r="AL137" s="848">
        <v>10402</v>
      </c>
      <c r="AM137" s="848">
        <v>605</v>
      </c>
      <c r="AN137" s="834"/>
      <c r="AO137" s="834"/>
      <c r="AW137" s="1056">
        <v>42139</v>
      </c>
      <c r="AX137" s="1053">
        <v>10391</v>
      </c>
    </row>
    <row r="138" spans="1:50" ht="15.5">
      <c r="A138" s="255" t="s">
        <v>657</v>
      </c>
      <c r="C138" s="378">
        <v>41540</v>
      </c>
      <c r="D138" s="255">
        <v>56.1</v>
      </c>
      <c r="F138" s="255">
        <v>315</v>
      </c>
      <c r="G138">
        <f t="shared" si="20"/>
        <v>352.8</v>
      </c>
      <c r="I138" s="255">
        <v>7.27</v>
      </c>
      <c r="L138" s="255">
        <v>1000</v>
      </c>
      <c r="M138" s="255">
        <v>8</v>
      </c>
      <c r="AF138" s="868">
        <v>42159</v>
      </c>
      <c r="AG138" s="848">
        <v>285</v>
      </c>
      <c r="AH138" s="848">
        <v>468</v>
      </c>
      <c r="AI138" s="848">
        <v>292</v>
      </c>
      <c r="AJ138" s="848">
        <v>487</v>
      </c>
      <c r="AK138" s="848">
        <v>5597</v>
      </c>
      <c r="AL138" s="848">
        <v>10080</v>
      </c>
      <c r="AM138" s="848">
        <v>603</v>
      </c>
      <c r="AN138" s="834"/>
      <c r="AO138" s="834"/>
      <c r="AW138" s="1056">
        <v>42140</v>
      </c>
      <c r="AX138" s="1053">
        <v>10337</v>
      </c>
    </row>
    <row r="139" spans="1:50" ht="15.5">
      <c r="A139" s="255" t="s">
        <v>657</v>
      </c>
      <c r="C139" s="378">
        <v>41541</v>
      </c>
      <c r="D139" s="255">
        <v>58.4</v>
      </c>
      <c r="F139" s="255">
        <v>248</v>
      </c>
      <c r="G139">
        <f t="shared" si="20"/>
        <v>277.76</v>
      </c>
      <c r="I139" s="255">
        <v>7.15</v>
      </c>
      <c r="L139" s="255">
        <v>1800</v>
      </c>
      <c r="M139" s="255">
        <v>10</v>
      </c>
      <c r="P139" s="17" t="s">
        <v>658</v>
      </c>
      <c r="AF139" s="868">
        <v>42160</v>
      </c>
      <c r="AG139" s="848">
        <v>326</v>
      </c>
      <c r="AH139" s="848">
        <v>521</v>
      </c>
      <c r="AI139" s="848">
        <v>373</v>
      </c>
      <c r="AJ139" s="848">
        <v>491</v>
      </c>
      <c r="AK139" s="848">
        <v>5596.12</v>
      </c>
      <c r="AL139" s="848">
        <v>9775</v>
      </c>
      <c r="AM139" s="848">
        <v>688</v>
      </c>
      <c r="AN139" s="834"/>
      <c r="AO139" s="834"/>
      <c r="AW139" s="1056">
        <v>42141</v>
      </c>
      <c r="AX139" s="1053">
        <v>10175</v>
      </c>
    </row>
    <row r="140" spans="1:50" ht="15.5">
      <c r="A140" s="255" t="s">
        <v>657</v>
      </c>
      <c r="C140" s="378">
        <v>41542</v>
      </c>
      <c r="D140" s="255">
        <v>63.5</v>
      </c>
      <c r="F140" s="255">
        <v>216</v>
      </c>
      <c r="G140">
        <f t="shared" si="20"/>
        <v>241.92</v>
      </c>
      <c r="I140" s="255">
        <v>7.08</v>
      </c>
      <c r="AF140" s="868">
        <v>42161</v>
      </c>
      <c r="AG140" s="848">
        <v>356</v>
      </c>
      <c r="AH140" s="848">
        <v>610</v>
      </c>
      <c r="AI140" s="848">
        <v>458</v>
      </c>
      <c r="AJ140" s="848">
        <v>499</v>
      </c>
      <c r="AK140" s="848">
        <v>5595.72</v>
      </c>
      <c r="AL140" s="848">
        <v>9641</v>
      </c>
      <c r="AM140" s="848">
        <v>658</v>
      </c>
      <c r="AN140" s="834"/>
      <c r="AO140" s="834"/>
      <c r="AW140" s="1056">
        <v>42142</v>
      </c>
      <c r="AX140" s="1053">
        <v>9959</v>
      </c>
    </row>
    <row r="141" spans="1:50" ht="15.5">
      <c r="A141" s="255" t="s">
        <v>657</v>
      </c>
      <c r="C141" s="378">
        <v>41543</v>
      </c>
      <c r="D141" s="255">
        <v>55.3</v>
      </c>
      <c r="F141" s="255">
        <v>191</v>
      </c>
      <c r="G141">
        <f t="shared" si="20"/>
        <v>213.92</v>
      </c>
      <c r="I141" s="255">
        <v>7.02</v>
      </c>
      <c r="AF141" s="868">
        <v>42162</v>
      </c>
      <c r="AG141" s="848">
        <v>336</v>
      </c>
      <c r="AH141" s="848">
        <v>547</v>
      </c>
      <c r="AI141" s="848">
        <v>419</v>
      </c>
      <c r="AJ141" s="848">
        <v>497</v>
      </c>
      <c r="AK141" s="848">
        <v>5595.12</v>
      </c>
      <c r="AL141" s="848">
        <v>9441</v>
      </c>
      <c r="AM141" s="848">
        <v>616</v>
      </c>
      <c r="AN141" s="834"/>
      <c r="AO141" s="834"/>
      <c r="AW141" s="1056">
        <v>42143</v>
      </c>
      <c r="AX141" s="1053">
        <v>10121</v>
      </c>
    </row>
    <row r="142" spans="1:50" ht="15.5">
      <c r="A142" s="255" t="s">
        <v>657</v>
      </c>
      <c r="C142" s="378">
        <v>41544</v>
      </c>
      <c r="D142" s="255">
        <v>46.9</v>
      </c>
      <c r="F142" s="255">
        <v>188</v>
      </c>
      <c r="G142">
        <f t="shared" si="20"/>
        <v>210.56</v>
      </c>
      <c r="I142" s="255">
        <v>6.98</v>
      </c>
      <c r="AF142" s="868">
        <v>42163</v>
      </c>
      <c r="AG142" s="848">
        <v>311</v>
      </c>
      <c r="AH142" s="848">
        <v>509</v>
      </c>
      <c r="AI142" s="848">
        <v>364</v>
      </c>
      <c r="AJ142" s="848">
        <v>495</v>
      </c>
      <c r="AK142" s="848">
        <v>5594.31</v>
      </c>
      <c r="AL142" s="848">
        <v>9171</v>
      </c>
      <c r="AM142" s="848">
        <v>591</v>
      </c>
      <c r="AN142" s="834"/>
      <c r="AO142" s="834"/>
      <c r="AW142" s="1056">
        <v>42144</v>
      </c>
      <c r="AX142" s="1053">
        <v>10623</v>
      </c>
    </row>
    <row r="143" spans="1:50" ht="15.5">
      <c r="A143" s="255" t="s">
        <v>657</v>
      </c>
      <c r="C143" s="378">
        <v>41545</v>
      </c>
      <c r="D143" s="255">
        <v>48.8</v>
      </c>
      <c r="F143" s="255">
        <v>183</v>
      </c>
      <c r="G143">
        <f t="shared" si="20"/>
        <v>204.96</v>
      </c>
      <c r="I143" s="255">
        <v>6.95</v>
      </c>
      <c r="AF143" s="868">
        <v>42164</v>
      </c>
      <c r="AG143" s="848">
        <v>313</v>
      </c>
      <c r="AH143" s="848">
        <v>494</v>
      </c>
      <c r="AI143" s="848">
        <v>343</v>
      </c>
      <c r="AJ143" s="848">
        <v>492</v>
      </c>
      <c r="AK143" s="848">
        <v>5593.31</v>
      </c>
      <c r="AL143" s="848">
        <v>8847</v>
      </c>
      <c r="AM143" s="848">
        <v>583</v>
      </c>
      <c r="AN143" s="834"/>
      <c r="AO143" s="834"/>
      <c r="AW143" s="1056">
        <v>42145</v>
      </c>
      <c r="AX143" s="1053">
        <v>10921</v>
      </c>
    </row>
    <row r="144" spans="1:50" ht="15.5">
      <c r="A144" s="255" t="s">
        <v>657</v>
      </c>
      <c r="C144" s="378">
        <v>41546</v>
      </c>
      <c r="D144" s="255">
        <v>57.3</v>
      </c>
      <c r="F144" s="255">
        <v>160</v>
      </c>
      <c r="G144">
        <f t="shared" si="20"/>
        <v>179.2</v>
      </c>
      <c r="I144" s="255">
        <v>6.88</v>
      </c>
      <c r="AF144" s="868">
        <v>42165</v>
      </c>
      <c r="AG144" s="848">
        <v>364</v>
      </c>
      <c r="AH144" s="848">
        <v>528</v>
      </c>
      <c r="AI144" s="848">
        <v>418</v>
      </c>
      <c r="AJ144" s="848">
        <v>488</v>
      </c>
      <c r="AK144" s="848">
        <v>5592.42</v>
      </c>
      <c r="AL144" s="848">
        <v>8561</v>
      </c>
      <c r="AM144" s="848">
        <v>582</v>
      </c>
      <c r="AN144" s="834"/>
      <c r="AO144" s="834"/>
      <c r="AW144" s="1056">
        <v>42146</v>
      </c>
      <c r="AX144" s="1053">
        <v>11181</v>
      </c>
    </row>
    <row r="145" spans="1:50" ht="15.5">
      <c r="A145" s="255" t="s">
        <v>657</v>
      </c>
      <c r="C145" s="378">
        <v>41547</v>
      </c>
      <c r="D145" s="255">
        <v>64</v>
      </c>
      <c r="F145" s="255">
        <v>146</v>
      </c>
      <c r="G145">
        <f t="shared" si="20"/>
        <v>163.52000000000001</v>
      </c>
      <c r="I145" s="255">
        <v>6.84</v>
      </c>
      <c r="AF145" s="868">
        <v>42166</v>
      </c>
      <c r="AG145" s="848">
        <v>390</v>
      </c>
      <c r="AH145" s="848">
        <v>629</v>
      </c>
      <c r="AI145" s="848">
        <v>522</v>
      </c>
      <c r="AJ145" s="848">
        <v>336</v>
      </c>
      <c r="AK145" s="848">
        <v>5592.13</v>
      </c>
      <c r="AL145" s="848">
        <v>8470</v>
      </c>
      <c r="AM145" s="848">
        <v>452</v>
      </c>
      <c r="AN145" s="834"/>
      <c r="AO145" s="834"/>
      <c r="AW145" s="1056">
        <v>42147</v>
      </c>
      <c r="AX145" s="1053">
        <v>11554</v>
      </c>
    </row>
    <row r="146" spans="1:50" ht="14.5">
      <c r="F146" s="423">
        <f>AVERAGE(F113:F145)</f>
        <v>417.37575757575758</v>
      </c>
      <c r="G146" s="423">
        <f>AVERAGE(G113:G145)</f>
        <v>467.4608484848485</v>
      </c>
      <c r="AF146" s="868">
        <v>42167</v>
      </c>
      <c r="AG146" s="848">
        <v>417</v>
      </c>
      <c r="AH146" s="848">
        <v>697</v>
      </c>
      <c r="AI146" s="848">
        <v>656</v>
      </c>
      <c r="AJ146" s="848">
        <v>211</v>
      </c>
      <c r="AK146" s="848">
        <v>5594.38</v>
      </c>
      <c r="AL146" s="848">
        <v>9197</v>
      </c>
      <c r="AM146" s="848">
        <v>311</v>
      </c>
      <c r="AN146" s="834"/>
      <c r="AO146" s="834"/>
      <c r="AW146" s="1056">
        <v>42148</v>
      </c>
      <c r="AX146" s="1053">
        <v>11870</v>
      </c>
    </row>
    <row r="147" spans="1:50" ht="14.5">
      <c r="AF147" s="868">
        <v>42168</v>
      </c>
      <c r="AG147" s="848">
        <v>376</v>
      </c>
      <c r="AH147" s="848">
        <v>642</v>
      </c>
      <c r="AI147" s="848">
        <v>545</v>
      </c>
      <c r="AJ147" s="848">
        <v>395</v>
      </c>
      <c r="AK147" s="848">
        <v>5596.05</v>
      </c>
      <c r="AL147" s="848">
        <v>9753</v>
      </c>
      <c r="AM147" s="848">
        <v>427</v>
      </c>
      <c r="AN147" s="834"/>
      <c r="AO147" s="834"/>
      <c r="AW147" s="1056">
        <v>42149</v>
      </c>
      <c r="AX147" s="1053">
        <v>12107</v>
      </c>
    </row>
    <row r="148" spans="1:50" ht="14.5">
      <c r="AF148" s="868">
        <v>42169</v>
      </c>
      <c r="AG148" s="848">
        <v>401</v>
      </c>
      <c r="AH148" s="848">
        <v>653</v>
      </c>
      <c r="AI148" s="848">
        <v>570</v>
      </c>
      <c r="AJ148" s="848">
        <v>508</v>
      </c>
      <c r="AK148" s="848">
        <v>5595.88</v>
      </c>
      <c r="AL148" s="848">
        <v>9692</v>
      </c>
      <c r="AM148" s="848">
        <v>624</v>
      </c>
      <c r="AN148" s="834"/>
      <c r="AO148" s="834"/>
      <c r="AW148" s="1056">
        <v>42150</v>
      </c>
      <c r="AX148" s="1053">
        <v>12204</v>
      </c>
    </row>
    <row r="149" spans="1:50" ht="14.5">
      <c r="A149" s="17"/>
      <c r="AF149" s="868">
        <v>42170</v>
      </c>
      <c r="AG149" s="848">
        <v>368</v>
      </c>
      <c r="AH149" s="848">
        <v>611</v>
      </c>
      <c r="AI149" s="848">
        <v>473</v>
      </c>
      <c r="AJ149" s="848">
        <v>507</v>
      </c>
      <c r="AK149" s="848">
        <v>5583.46</v>
      </c>
      <c r="AL149" s="848">
        <v>8330</v>
      </c>
      <c r="AM149" s="848">
        <v>612</v>
      </c>
      <c r="AN149" s="834"/>
      <c r="AO149" s="834"/>
      <c r="AW149" s="1056">
        <v>42151</v>
      </c>
      <c r="AX149" s="1053">
        <v>12178</v>
      </c>
    </row>
    <row r="150" spans="1:50" ht="14.5">
      <c r="A150" s="1440" t="s">
        <v>659</v>
      </c>
      <c r="B150" s="380" t="s">
        <v>75</v>
      </c>
      <c r="C150" s="380" t="s">
        <v>76</v>
      </c>
      <c r="D150" s="380" t="s">
        <v>77</v>
      </c>
      <c r="H150" s="1448" t="s">
        <v>690</v>
      </c>
      <c r="I150" s="1448"/>
      <c r="J150" s="1448"/>
      <c r="K150" s="1448"/>
      <c r="L150" s="1448"/>
      <c r="M150" s="1448"/>
      <c r="N150" s="1448"/>
      <c r="O150" s="1448"/>
      <c r="P150" s="1448"/>
      <c r="Q150" s="1448"/>
      <c r="R150" s="1448"/>
      <c r="S150" s="1448"/>
      <c r="T150" s="1448"/>
      <c r="U150" s="1448"/>
      <c r="AF150" s="868">
        <v>42171</v>
      </c>
      <c r="AG150" s="848">
        <v>438</v>
      </c>
      <c r="AH150" s="848">
        <v>652</v>
      </c>
      <c r="AI150" s="848">
        <v>565</v>
      </c>
      <c r="AJ150" s="848">
        <v>505</v>
      </c>
      <c r="AK150" s="848">
        <v>5575.15</v>
      </c>
      <c r="AL150" s="848">
        <v>7411</v>
      </c>
      <c r="AM150" s="848">
        <v>602</v>
      </c>
      <c r="AN150" s="834"/>
      <c r="AO150" s="834"/>
      <c r="AW150" s="1056">
        <v>42152</v>
      </c>
      <c r="AX150" s="1053">
        <v>12090</v>
      </c>
    </row>
    <row r="151" spans="1:50" ht="14.5">
      <c r="A151" s="1441"/>
      <c r="B151" s="381">
        <v>2013</v>
      </c>
      <c r="C151" s="381">
        <v>2013</v>
      </c>
      <c r="D151" s="381">
        <v>2013</v>
      </c>
      <c r="H151" s="1445" t="s">
        <v>691</v>
      </c>
      <c r="I151" s="1446"/>
      <c r="J151" s="1446"/>
      <c r="K151" s="1446"/>
      <c r="L151" s="1446"/>
      <c r="M151" s="1446"/>
      <c r="N151" s="1446"/>
      <c r="O151" s="1446"/>
      <c r="P151" s="1446"/>
      <c r="Q151" s="1446"/>
      <c r="R151" s="1446"/>
      <c r="S151" s="1446"/>
      <c r="T151" s="1446"/>
      <c r="U151" s="1447"/>
      <c r="AF151" s="868">
        <v>42172</v>
      </c>
      <c r="AG151" s="848">
        <v>393</v>
      </c>
      <c r="AH151" s="848">
        <v>593</v>
      </c>
      <c r="AI151" s="848">
        <v>493</v>
      </c>
      <c r="AJ151" s="848">
        <v>504</v>
      </c>
      <c r="AK151" s="848">
        <v>5572.82</v>
      </c>
      <c r="AL151" s="848">
        <v>7096</v>
      </c>
      <c r="AM151" s="848">
        <v>597</v>
      </c>
      <c r="AN151" s="834"/>
      <c r="AO151" s="834"/>
      <c r="AW151" s="1056">
        <v>42153</v>
      </c>
      <c r="AX151" s="1053">
        <v>11949</v>
      </c>
    </row>
    <row r="152" spans="1:50" ht="14.5">
      <c r="A152" s="422">
        <v>1</v>
      </c>
      <c r="B152" s="383"/>
      <c r="C152" s="379">
        <v>48</v>
      </c>
      <c r="D152" s="379">
        <v>142</v>
      </c>
      <c r="H152" s="1440" t="s">
        <v>659</v>
      </c>
      <c r="I152" s="426" t="s">
        <v>78</v>
      </c>
      <c r="J152" s="426" t="s">
        <v>79</v>
      </c>
      <c r="K152" s="426" t="s">
        <v>68</v>
      </c>
      <c r="L152" s="426" t="s">
        <v>69</v>
      </c>
      <c r="M152" s="426" t="s">
        <v>70</v>
      </c>
      <c r="N152" s="426" t="s">
        <v>71</v>
      </c>
      <c r="O152" s="426" t="s">
        <v>72</v>
      </c>
      <c r="P152" s="426" t="s">
        <v>73</v>
      </c>
      <c r="Q152" s="426" t="s">
        <v>74</v>
      </c>
      <c r="R152" s="426" t="s">
        <v>75</v>
      </c>
      <c r="S152" s="426" t="s">
        <v>76</v>
      </c>
      <c r="T152" s="426" t="s">
        <v>77</v>
      </c>
      <c r="U152" s="426" t="s">
        <v>78</v>
      </c>
      <c r="AF152" s="868">
        <v>42173</v>
      </c>
      <c r="AG152" s="848">
        <v>370</v>
      </c>
      <c r="AH152" s="848">
        <v>564</v>
      </c>
      <c r="AI152" s="848">
        <v>454</v>
      </c>
      <c r="AJ152" s="848">
        <v>502</v>
      </c>
      <c r="AK152" s="848">
        <v>5580.09</v>
      </c>
      <c r="AL152" s="848">
        <v>7673</v>
      </c>
      <c r="AM152" s="848">
        <v>587</v>
      </c>
      <c r="AN152" s="834"/>
      <c r="AO152" s="834"/>
      <c r="AW152" s="1056">
        <v>42154</v>
      </c>
      <c r="AX152" s="1053">
        <v>11754</v>
      </c>
    </row>
    <row r="153" spans="1:50" ht="14.5">
      <c r="A153" s="422">
        <v>2</v>
      </c>
      <c r="B153" s="383"/>
      <c r="C153" s="379">
        <v>48</v>
      </c>
      <c r="D153" s="379">
        <v>133</v>
      </c>
      <c r="H153" s="1441"/>
      <c r="I153" s="427">
        <v>2012</v>
      </c>
      <c r="J153" s="427">
        <v>2012</v>
      </c>
      <c r="K153" s="427">
        <v>2013</v>
      </c>
      <c r="L153" s="427">
        <v>2013</v>
      </c>
      <c r="M153" s="427">
        <v>2013</v>
      </c>
      <c r="N153" s="427">
        <v>2013</v>
      </c>
      <c r="O153" s="427">
        <v>2013</v>
      </c>
      <c r="P153" s="427">
        <v>2013</v>
      </c>
      <c r="Q153" s="427">
        <v>2013</v>
      </c>
      <c r="R153" s="427">
        <v>2013</v>
      </c>
      <c r="S153" s="427">
        <v>2013</v>
      </c>
      <c r="T153" s="427">
        <v>2013</v>
      </c>
      <c r="U153" s="427">
        <v>2013</v>
      </c>
      <c r="AF153" s="868">
        <v>42174</v>
      </c>
      <c r="AG153" s="848">
        <v>349</v>
      </c>
      <c r="AH153" s="848">
        <v>527</v>
      </c>
      <c r="AI153" s="848">
        <v>406</v>
      </c>
      <c r="AJ153" s="848">
        <v>499</v>
      </c>
      <c r="AK153" s="848">
        <v>5567.73</v>
      </c>
      <c r="AL153" s="848">
        <v>6338</v>
      </c>
      <c r="AM153" s="848">
        <v>576</v>
      </c>
      <c r="AN153" s="834"/>
      <c r="AO153" s="834"/>
      <c r="AW153" s="1056">
        <v>42155</v>
      </c>
      <c r="AX153" s="1053">
        <v>11446</v>
      </c>
    </row>
    <row r="154" spans="1:50" ht="14.5">
      <c r="A154" s="422">
        <v>3</v>
      </c>
      <c r="B154" s="383"/>
      <c r="C154" s="379">
        <v>46</v>
      </c>
      <c r="D154" s="379">
        <v>124</v>
      </c>
      <c r="H154" s="382">
        <v>1</v>
      </c>
      <c r="I154" s="383"/>
      <c r="J154" s="379" t="s">
        <v>692</v>
      </c>
      <c r="K154" s="379" t="s">
        <v>693</v>
      </c>
      <c r="L154" s="379" t="s">
        <v>694</v>
      </c>
      <c r="M154" s="379" t="s">
        <v>695</v>
      </c>
      <c r="N154" s="379" t="s">
        <v>695</v>
      </c>
      <c r="O154" s="379" t="s">
        <v>696</v>
      </c>
      <c r="P154" s="379" t="s">
        <v>697</v>
      </c>
      <c r="Q154" s="379" t="s">
        <v>698</v>
      </c>
      <c r="R154" s="379" t="s">
        <v>699</v>
      </c>
      <c r="S154" s="379" t="s">
        <v>700</v>
      </c>
      <c r="T154" s="379" t="s">
        <v>701</v>
      </c>
      <c r="U154" s="379" t="s">
        <v>702</v>
      </c>
      <c r="AF154" s="868">
        <v>42175</v>
      </c>
      <c r="AG154" s="848">
        <v>319</v>
      </c>
      <c r="AH154" s="848">
        <v>487</v>
      </c>
      <c r="AI154" s="848">
        <v>360</v>
      </c>
      <c r="AJ154" s="848">
        <v>496</v>
      </c>
      <c r="AK154" s="848">
        <v>5576.45</v>
      </c>
      <c r="AL154" s="848">
        <v>6950</v>
      </c>
      <c r="AM154" s="848">
        <v>569</v>
      </c>
      <c r="AN154" s="834"/>
      <c r="AO154" s="834"/>
      <c r="AW154" s="1056">
        <v>42156</v>
      </c>
      <c r="AX154" s="1053">
        <v>11104</v>
      </c>
    </row>
    <row r="155" spans="1:50" ht="14.5">
      <c r="A155" s="422">
        <v>4</v>
      </c>
      <c r="B155" s="383"/>
      <c r="C155" s="379">
        <v>46</v>
      </c>
      <c r="D155" s="379">
        <v>133</v>
      </c>
      <c r="H155" s="382">
        <v>2</v>
      </c>
      <c r="I155" s="383"/>
      <c r="J155" s="379" t="s">
        <v>703</v>
      </c>
      <c r="K155" s="379" t="s">
        <v>704</v>
      </c>
      <c r="L155" s="379" t="s">
        <v>705</v>
      </c>
      <c r="M155" s="379" t="s">
        <v>695</v>
      </c>
      <c r="N155" s="379" t="s">
        <v>706</v>
      </c>
      <c r="O155" s="379" t="s">
        <v>698</v>
      </c>
      <c r="P155" s="379" t="s">
        <v>707</v>
      </c>
      <c r="Q155" s="379" t="s">
        <v>708</v>
      </c>
      <c r="R155" s="379" t="s">
        <v>699</v>
      </c>
      <c r="S155" s="379" t="s">
        <v>700</v>
      </c>
      <c r="T155" s="379" t="s">
        <v>709</v>
      </c>
      <c r="U155" s="379" t="s">
        <v>710</v>
      </c>
      <c r="AF155" s="868">
        <v>42176</v>
      </c>
      <c r="AG155" s="848">
        <v>287</v>
      </c>
      <c r="AH155" s="848">
        <v>449</v>
      </c>
      <c r="AI155" s="848">
        <v>327</v>
      </c>
      <c r="AJ155" s="848">
        <v>491</v>
      </c>
      <c r="AK155" s="848">
        <v>5571.59</v>
      </c>
      <c r="AL155" s="848">
        <v>6283</v>
      </c>
      <c r="AM155" s="848">
        <v>559</v>
      </c>
      <c r="AN155" s="834"/>
      <c r="AO155" s="834"/>
      <c r="AW155" s="1056">
        <v>42157</v>
      </c>
      <c r="AX155" s="1053">
        <v>10763</v>
      </c>
    </row>
    <row r="156" spans="1:50" ht="14.5">
      <c r="A156" s="422">
        <v>5</v>
      </c>
      <c r="B156" s="383"/>
      <c r="C156" s="379">
        <v>45</v>
      </c>
      <c r="D156" s="379">
        <v>118</v>
      </c>
      <c r="H156" s="382">
        <v>3</v>
      </c>
      <c r="I156" s="383"/>
      <c r="J156" s="379" t="s">
        <v>711</v>
      </c>
      <c r="K156" s="379" t="s">
        <v>693</v>
      </c>
      <c r="L156" s="379" t="s">
        <v>705</v>
      </c>
      <c r="M156" s="379" t="s">
        <v>695</v>
      </c>
      <c r="N156" s="379" t="s">
        <v>706</v>
      </c>
      <c r="O156" s="379" t="s">
        <v>698</v>
      </c>
      <c r="P156" s="379" t="s">
        <v>700</v>
      </c>
      <c r="Q156" s="379" t="s">
        <v>699</v>
      </c>
      <c r="R156" s="379" t="s">
        <v>712</v>
      </c>
      <c r="S156" s="379" t="s">
        <v>702</v>
      </c>
      <c r="T156" s="379" t="s">
        <v>713</v>
      </c>
      <c r="U156" s="379" t="s">
        <v>710</v>
      </c>
      <c r="AF156" s="868">
        <v>42177</v>
      </c>
      <c r="AG156" s="848">
        <v>258</v>
      </c>
      <c r="AH156" s="848">
        <v>427</v>
      </c>
      <c r="AI156" s="848">
        <v>287</v>
      </c>
      <c r="AJ156" s="848">
        <v>422</v>
      </c>
      <c r="AK156" s="848">
        <v>5564.91</v>
      </c>
      <c r="AL156" s="848">
        <v>5482</v>
      </c>
      <c r="AM156" s="848">
        <v>477</v>
      </c>
      <c r="AN156" s="834"/>
      <c r="AO156" s="834"/>
      <c r="AW156" s="1056">
        <v>42158</v>
      </c>
      <c r="AX156" s="1053">
        <v>10402</v>
      </c>
    </row>
    <row r="157" spans="1:50" ht="14.5">
      <c r="A157" s="422">
        <v>6</v>
      </c>
      <c r="B157" s="383"/>
      <c r="C157" s="379">
        <v>42</v>
      </c>
      <c r="D157" s="379">
        <v>112</v>
      </c>
      <c r="H157" s="382">
        <v>4</v>
      </c>
      <c r="I157" s="383"/>
      <c r="J157" s="379" t="s">
        <v>714</v>
      </c>
      <c r="K157" s="379" t="s">
        <v>715</v>
      </c>
      <c r="L157" s="379" t="s">
        <v>716</v>
      </c>
      <c r="M157" s="379" t="s">
        <v>695</v>
      </c>
      <c r="N157" s="379" t="s">
        <v>717</v>
      </c>
      <c r="O157" s="379" t="s">
        <v>718</v>
      </c>
      <c r="P157" s="379" t="s">
        <v>719</v>
      </c>
      <c r="Q157" s="379" t="s">
        <v>720</v>
      </c>
      <c r="R157" s="379" t="s">
        <v>699</v>
      </c>
      <c r="S157" s="379" t="s">
        <v>702</v>
      </c>
      <c r="T157" s="379" t="s">
        <v>709</v>
      </c>
      <c r="U157" s="379" t="s">
        <v>721</v>
      </c>
      <c r="AF157" s="868">
        <v>42178</v>
      </c>
      <c r="AG157" s="852">
        <v>239</v>
      </c>
      <c r="AH157" s="852">
        <v>396</v>
      </c>
      <c r="AI157" s="852">
        <v>241</v>
      </c>
      <c r="AJ157" s="852">
        <v>355</v>
      </c>
      <c r="AK157" s="852">
        <v>5562.49</v>
      </c>
      <c r="AL157" s="852">
        <v>5158</v>
      </c>
      <c r="AM157" s="848">
        <v>394</v>
      </c>
      <c r="AN157" s="834"/>
      <c r="AO157" s="834"/>
      <c r="AV157" s="54"/>
      <c r="AW157" s="1056">
        <v>42159</v>
      </c>
      <c r="AX157" s="1053">
        <v>10080</v>
      </c>
    </row>
    <row r="158" spans="1:50" ht="14.5">
      <c r="A158" s="422">
        <v>7</v>
      </c>
      <c r="B158" s="383"/>
      <c r="C158" s="379">
        <v>40</v>
      </c>
      <c r="D158" s="379">
        <v>106</v>
      </c>
      <c r="H158" s="382">
        <v>5</v>
      </c>
      <c r="I158" s="383"/>
      <c r="J158" s="379" t="s">
        <v>714</v>
      </c>
      <c r="K158" s="379" t="s">
        <v>693</v>
      </c>
      <c r="L158" s="379" t="s">
        <v>694</v>
      </c>
      <c r="M158" s="379" t="s">
        <v>695</v>
      </c>
      <c r="N158" s="379" t="s">
        <v>722</v>
      </c>
      <c r="O158" s="379" t="s">
        <v>698</v>
      </c>
      <c r="P158" s="379" t="s">
        <v>723</v>
      </c>
      <c r="Q158" s="379" t="s">
        <v>698</v>
      </c>
      <c r="R158" s="379" t="s">
        <v>724</v>
      </c>
      <c r="S158" s="379" t="s">
        <v>710</v>
      </c>
      <c r="T158" s="379" t="s">
        <v>725</v>
      </c>
      <c r="U158" s="379" t="s">
        <v>697</v>
      </c>
      <c r="AF158" s="854">
        <v>42179</v>
      </c>
      <c r="AG158" s="848">
        <v>230</v>
      </c>
      <c r="AH158" s="848">
        <v>386</v>
      </c>
      <c r="AI158" s="848">
        <v>227</v>
      </c>
      <c r="AJ158" s="848">
        <v>353</v>
      </c>
      <c r="AK158" s="848">
        <v>5587.32</v>
      </c>
      <c r="AL158" s="848">
        <v>7053</v>
      </c>
      <c r="AM158" s="848">
        <v>440</v>
      </c>
      <c r="AN158" s="834"/>
      <c r="AO158" s="834"/>
      <c r="AP158" s="834"/>
      <c r="AQ158" s="834"/>
      <c r="AR158" s="834"/>
      <c r="AS158" s="834"/>
      <c r="AT158" s="834"/>
      <c r="AU158" s="834"/>
      <c r="AV158" s="54"/>
      <c r="AW158" s="1056">
        <v>42160</v>
      </c>
      <c r="AX158" s="1053">
        <v>9775</v>
      </c>
    </row>
    <row r="159" spans="1:50" ht="14.5">
      <c r="A159" s="422">
        <v>8</v>
      </c>
      <c r="B159" s="383"/>
      <c r="C159" s="379">
        <v>39</v>
      </c>
      <c r="D159" s="383"/>
      <c r="H159" s="382">
        <v>6</v>
      </c>
      <c r="I159" s="383"/>
      <c r="J159" s="379" t="s">
        <v>726</v>
      </c>
      <c r="K159" s="379" t="s">
        <v>727</v>
      </c>
      <c r="L159" s="379" t="s">
        <v>728</v>
      </c>
      <c r="M159" s="379" t="s">
        <v>695</v>
      </c>
      <c r="N159" s="379" t="s">
        <v>717</v>
      </c>
      <c r="O159" s="379" t="s">
        <v>712</v>
      </c>
      <c r="P159" s="379" t="s">
        <v>719</v>
      </c>
      <c r="Q159" s="379" t="s">
        <v>699</v>
      </c>
      <c r="R159" s="379" t="s">
        <v>729</v>
      </c>
      <c r="S159" s="379" t="s">
        <v>707</v>
      </c>
      <c r="T159" s="379" t="s">
        <v>730</v>
      </c>
      <c r="U159" s="379" t="s">
        <v>697</v>
      </c>
      <c r="AF159" s="854">
        <v>42180</v>
      </c>
      <c r="AG159" s="848">
        <v>232</v>
      </c>
      <c r="AH159" s="848">
        <v>383</v>
      </c>
      <c r="AI159" s="848">
        <v>228</v>
      </c>
      <c r="AJ159" s="848">
        <v>350</v>
      </c>
      <c r="AK159" s="848">
        <v>5586.5</v>
      </c>
      <c r="AL159" s="848">
        <v>6828</v>
      </c>
      <c r="AM159" s="848">
        <v>400</v>
      </c>
      <c r="AN159" s="834"/>
      <c r="AO159" s="834"/>
      <c r="AP159" s="834"/>
      <c r="AQ159" s="834"/>
      <c r="AR159" s="834"/>
      <c r="AS159" s="834"/>
      <c r="AT159" s="834"/>
      <c r="AU159" s="834"/>
      <c r="AV159" s="54"/>
      <c r="AW159" s="1056">
        <v>42161</v>
      </c>
      <c r="AX159" s="1053">
        <v>9641</v>
      </c>
    </row>
    <row r="160" spans="1:50" ht="14.5">
      <c r="A160" s="422">
        <v>9</v>
      </c>
      <c r="B160" s="383"/>
      <c r="C160" s="379">
        <v>44</v>
      </c>
      <c r="D160" s="383"/>
      <c r="H160" s="382">
        <v>7</v>
      </c>
      <c r="I160" s="383"/>
      <c r="J160" s="379" t="s">
        <v>731</v>
      </c>
      <c r="K160" s="379" t="s">
        <v>732</v>
      </c>
      <c r="L160" s="379" t="s">
        <v>728</v>
      </c>
      <c r="M160" s="379" t="s">
        <v>695</v>
      </c>
      <c r="N160" s="379">
        <v>0.5</v>
      </c>
      <c r="O160" s="379" t="s">
        <v>698</v>
      </c>
      <c r="P160" s="379" t="s">
        <v>702</v>
      </c>
      <c r="Q160" s="379" t="s">
        <v>712</v>
      </c>
      <c r="R160" s="379" t="s">
        <v>718</v>
      </c>
      <c r="S160" s="379" t="s">
        <v>697</v>
      </c>
      <c r="T160" s="379" t="s">
        <v>733</v>
      </c>
      <c r="U160" s="379" t="s">
        <v>721</v>
      </c>
      <c r="AF160" s="854">
        <v>42181</v>
      </c>
      <c r="AG160" s="848">
        <v>205</v>
      </c>
      <c r="AH160" s="848">
        <v>303</v>
      </c>
      <c r="AI160" s="848">
        <v>205</v>
      </c>
      <c r="AJ160" s="848">
        <v>348</v>
      </c>
      <c r="AK160" s="848">
        <v>5585.55</v>
      </c>
      <c r="AL160" s="848">
        <v>6576</v>
      </c>
      <c r="AM160" s="848">
        <v>385</v>
      </c>
      <c r="AN160" s="834"/>
      <c r="AO160" s="834"/>
      <c r="AP160" s="834"/>
      <c r="AQ160" s="834"/>
      <c r="AR160" s="834"/>
      <c r="AS160" s="834"/>
      <c r="AT160" s="834"/>
      <c r="AU160" s="834"/>
      <c r="AV160" s="54"/>
      <c r="AW160" s="1056">
        <v>42162</v>
      </c>
      <c r="AX160" s="1053">
        <v>9441</v>
      </c>
    </row>
    <row r="161" spans="1:50" ht="14.5">
      <c r="A161" s="422">
        <v>10</v>
      </c>
      <c r="B161" s="383"/>
      <c r="C161" s="379">
        <v>155</v>
      </c>
      <c r="D161" s="383"/>
      <c r="H161" s="382">
        <v>8</v>
      </c>
      <c r="I161" s="383"/>
      <c r="J161" s="379" t="s">
        <v>734</v>
      </c>
      <c r="K161" s="379" t="s">
        <v>735</v>
      </c>
      <c r="L161" s="379" t="s">
        <v>716</v>
      </c>
      <c r="M161" s="379" t="s">
        <v>695</v>
      </c>
      <c r="N161" s="379">
        <v>0.5</v>
      </c>
      <c r="O161" s="379" t="s">
        <v>736</v>
      </c>
      <c r="P161" s="379" t="s">
        <v>737</v>
      </c>
      <c r="Q161" s="379" t="s">
        <v>718</v>
      </c>
      <c r="R161" s="379" t="s">
        <v>708</v>
      </c>
      <c r="S161" s="379" t="s">
        <v>738</v>
      </c>
      <c r="T161" s="379" t="s">
        <v>739</v>
      </c>
      <c r="U161" s="379" t="s">
        <v>737</v>
      </c>
      <c r="AF161" s="854">
        <v>42182</v>
      </c>
      <c r="AG161" s="848">
        <v>190</v>
      </c>
      <c r="AH161" s="848">
        <v>219</v>
      </c>
      <c r="AI161" s="848">
        <v>190</v>
      </c>
      <c r="AJ161" s="848">
        <v>346</v>
      </c>
      <c r="AK161" s="848">
        <v>5584.41</v>
      </c>
      <c r="AL161" s="848">
        <v>6285</v>
      </c>
      <c r="AM161" s="848">
        <v>377</v>
      </c>
      <c r="AN161" s="834"/>
      <c r="AO161" s="834"/>
      <c r="AP161" s="834"/>
      <c r="AQ161" s="834"/>
      <c r="AR161" s="834"/>
      <c r="AS161" s="834"/>
      <c r="AT161" s="834"/>
      <c r="AU161" s="834"/>
      <c r="AV161" s="54"/>
      <c r="AW161" s="1056">
        <v>42163</v>
      </c>
      <c r="AX161" s="1053">
        <v>9171</v>
      </c>
    </row>
    <row r="162" spans="1:50" ht="14.5">
      <c r="A162" s="422">
        <v>11</v>
      </c>
      <c r="B162" s="383"/>
      <c r="C162" s="379">
        <v>305</v>
      </c>
      <c r="D162" s="383"/>
      <c r="H162" s="382">
        <v>9</v>
      </c>
      <c r="I162" s="383"/>
      <c r="J162" s="379" t="s">
        <v>740</v>
      </c>
      <c r="K162" s="379" t="s">
        <v>727</v>
      </c>
      <c r="L162" s="379" t="s">
        <v>694</v>
      </c>
      <c r="M162" s="379" t="s">
        <v>695</v>
      </c>
      <c r="N162" s="379" t="s">
        <v>741</v>
      </c>
      <c r="O162" s="379" t="s">
        <v>742</v>
      </c>
      <c r="P162" s="379" t="s">
        <v>707</v>
      </c>
      <c r="Q162" s="379" t="s">
        <v>698</v>
      </c>
      <c r="R162" s="379" t="s">
        <v>718</v>
      </c>
      <c r="S162" s="379" t="s">
        <v>737</v>
      </c>
      <c r="T162" s="379" t="s">
        <v>743</v>
      </c>
      <c r="U162" s="379" t="s">
        <v>744</v>
      </c>
      <c r="AF162" s="854">
        <v>42183</v>
      </c>
      <c r="AG162" s="848">
        <v>178</v>
      </c>
      <c r="AH162" s="848">
        <v>187</v>
      </c>
      <c r="AI162" s="848">
        <v>174</v>
      </c>
      <c r="AJ162" s="848">
        <v>342</v>
      </c>
      <c r="AK162" s="848">
        <v>5583.09</v>
      </c>
      <c r="AL162" s="848">
        <v>5965</v>
      </c>
      <c r="AM162" s="848">
        <v>369</v>
      </c>
      <c r="AN162" s="834"/>
      <c r="AO162" s="834"/>
      <c r="AP162" s="834"/>
      <c r="AQ162" s="834"/>
      <c r="AR162" s="834"/>
      <c r="AS162" s="834"/>
      <c r="AT162" s="834"/>
      <c r="AU162" s="834"/>
      <c r="AV162" s="54"/>
      <c r="AW162" s="1056">
        <v>42164</v>
      </c>
      <c r="AX162" s="1053">
        <v>8847</v>
      </c>
    </row>
    <row r="163" spans="1:50" ht="14.5">
      <c r="A163" s="422">
        <v>12</v>
      </c>
      <c r="B163" s="383"/>
      <c r="C163" s="379">
        <v>423</v>
      </c>
      <c r="D163" s="383"/>
      <c r="H163" s="382">
        <v>10</v>
      </c>
      <c r="I163" s="383"/>
      <c r="J163" s="379" t="s">
        <v>745</v>
      </c>
      <c r="K163" s="379" t="s">
        <v>727</v>
      </c>
      <c r="L163" s="379" t="s">
        <v>705</v>
      </c>
      <c r="M163" s="379" t="s">
        <v>695</v>
      </c>
      <c r="N163" s="379" t="s">
        <v>741</v>
      </c>
      <c r="O163" s="379" t="s">
        <v>746</v>
      </c>
      <c r="P163" s="379" t="s">
        <v>744</v>
      </c>
      <c r="Q163" s="379" t="s">
        <v>698</v>
      </c>
      <c r="R163" s="379" t="s">
        <v>708</v>
      </c>
      <c r="S163" s="379" t="s">
        <v>747</v>
      </c>
      <c r="T163" s="379" t="s">
        <v>748</v>
      </c>
      <c r="U163" s="379" t="s">
        <v>738</v>
      </c>
      <c r="AF163" s="854">
        <v>42184</v>
      </c>
      <c r="AG163" s="848">
        <v>168</v>
      </c>
      <c r="AH163" s="848">
        <v>169</v>
      </c>
      <c r="AI163" s="848">
        <v>164</v>
      </c>
      <c r="AJ163" s="848">
        <v>339</v>
      </c>
      <c r="AK163" s="848">
        <v>5581.68</v>
      </c>
      <c r="AL163" s="848">
        <v>5636</v>
      </c>
      <c r="AM163" s="848">
        <v>362</v>
      </c>
      <c r="AN163" s="834"/>
      <c r="AO163" s="834"/>
      <c r="AP163" s="834"/>
      <c r="AQ163" s="834"/>
      <c r="AR163" s="834"/>
      <c r="AS163" s="834"/>
      <c r="AT163" s="834"/>
      <c r="AU163" s="834"/>
      <c r="AV163" s="54"/>
      <c r="AW163" s="1056">
        <v>42165</v>
      </c>
      <c r="AX163" s="1053">
        <v>8561</v>
      </c>
    </row>
    <row r="164" spans="1:50" ht="14.5">
      <c r="A164" s="422">
        <v>13</v>
      </c>
      <c r="B164" s="383"/>
      <c r="C164" s="379">
        <v>1140</v>
      </c>
      <c r="D164" s="383"/>
      <c r="H164" s="382">
        <v>11</v>
      </c>
      <c r="I164" s="383"/>
      <c r="J164" s="379" t="s">
        <v>749</v>
      </c>
      <c r="K164" s="379" t="s">
        <v>750</v>
      </c>
      <c r="L164" s="379" t="s">
        <v>694</v>
      </c>
      <c r="M164" s="379" t="s">
        <v>695</v>
      </c>
      <c r="N164" s="379" t="s">
        <v>751</v>
      </c>
      <c r="O164" s="379" t="s">
        <v>752</v>
      </c>
      <c r="P164" s="379" t="s">
        <v>738</v>
      </c>
      <c r="Q164" s="379" t="s">
        <v>699</v>
      </c>
      <c r="R164" s="379" t="s">
        <v>729</v>
      </c>
      <c r="S164" s="379" t="s">
        <v>753</v>
      </c>
      <c r="T164" s="379" t="s">
        <v>754</v>
      </c>
      <c r="U164" s="379" t="s">
        <v>755</v>
      </c>
      <c r="AF164" s="854">
        <v>42185</v>
      </c>
      <c r="AG164" s="848">
        <v>156</v>
      </c>
      <c r="AH164" s="848">
        <v>146</v>
      </c>
      <c r="AI164" s="848">
        <v>152</v>
      </c>
      <c r="AJ164" s="848">
        <v>335</v>
      </c>
      <c r="AK164" s="848">
        <v>5580.07</v>
      </c>
      <c r="AL164" s="848">
        <v>5280</v>
      </c>
      <c r="AM164" s="848">
        <v>354</v>
      </c>
      <c r="AN164" s="834"/>
      <c r="AO164" s="834"/>
      <c r="AP164" s="834"/>
      <c r="AQ164" s="834"/>
      <c r="AR164" s="834"/>
      <c r="AS164" s="834"/>
      <c r="AT164" s="834"/>
      <c r="AU164" s="834"/>
      <c r="AV164" s="54"/>
      <c r="AW164" s="1056">
        <v>42166</v>
      </c>
      <c r="AX164" s="1053">
        <v>8470</v>
      </c>
    </row>
    <row r="165" spans="1:50" ht="14.5">
      <c r="A165" s="422">
        <v>14</v>
      </c>
      <c r="B165" s="383"/>
      <c r="C165" s="379">
        <v>844</v>
      </c>
      <c r="D165" s="383"/>
      <c r="H165" s="382">
        <v>12</v>
      </c>
      <c r="I165" s="383"/>
      <c r="J165" s="379" t="s">
        <v>756</v>
      </c>
      <c r="K165" s="379" t="s">
        <v>732</v>
      </c>
      <c r="L165" s="379" t="s">
        <v>694</v>
      </c>
      <c r="M165" s="379" t="s">
        <v>695</v>
      </c>
      <c r="N165" s="379" t="s">
        <v>741</v>
      </c>
      <c r="O165" s="379" t="s">
        <v>757</v>
      </c>
      <c r="P165" s="379" t="s">
        <v>758</v>
      </c>
      <c r="Q165" s="379" t="s">
        <v>759</v>
      </c>
      <c r="R165" s="379" t="s">
        <v>760</v>
      </c>
      <c r="S165" s="379" t="s">
        <v>761</v>
      </c>
      <c r="T165" s="379" t="s">
        <v>762</v>
      </c>
      <c r="U165" s="379" t="s">
        <v>755</v>
      </c>
      <c r="AF165" s="854">
        <v>42186</v>
      </c>
      <c r="AG165" s="848">
        <v>166</v>
      </c>
      <c r="AH165" s="848">
        <v>145</v>
      </c>
      <c r="AI165" s="848">
        <v>153</v>
      </c>
      <c r="AJ165" s="848">
        <v>330</v>
      </c>
      <c r="AK165" s="848">
        <v>5578.33</v>
      </c>
      <c r="AL165" s="848">
        <v>4913</v>
      </c>
      <c r="AM165" s="848">
        <v>348</v>
      </c>
      <c r="AN165" s="834"/>
      <c r="AO165" s="834"/>
      <c r="AP165" s="834"/>
      <c r="AQ165" s="834"/>
      <c r="AR165" s="834"/>
      <c r="AS165" s="834"/>
      <c r="AT165" s="834"/>
      <c r="AU165" s="834"/>
      <c r="AV165" s="54"/>
      <c r="AW165" s="1056">
        <v>42167</v>
      </c>
      <c r="AX165" s="1053">
        <v>9197</v>
      </c>
    </row>
    <row r="166" spans="1:50" ht="14.5">
      <c r="A166" s="422">
        <v>15</v>
      </c>
      <c r="B166" s="383"/>
      <c r="C166" s="379">
        <v>968</v>
      </c>
      <c r="D166" s="383"/>
      <c r="H166" s="382">
        <v>13</v>
      </c>
      <c r="I166" s="383"/>
      <c r="J166" s="379" t="s">
        <v>763</v>
      </c>
      <c r="K166" s="379" t="s">
        <v>764</v>
      </c>
      <c r="L166" s="379" t="s">
        <v>695</v>
      </c>
      <c r="M166" s="379" t="s">
        <v>695</v>
      </c>
      <c r="N166" s="379" t="s">
        <v>741</v>
      </c>
      <c r="O166" s="379" t="s">
        <v>765</v>
      </c>
      <c r="P166" s="379" t="s">
        <v>766</v>
      </c>
      <c r="Q166" s="379" t="s">
        <v>758</v>
      </c>
      <c r="R166" s="379" t="s">
        <v>758</v>
      </c>
      <c r="S166" s="379" t="s">
        <v>767</v>
      </c>
      <c r="T166" s="379" t="s">
        <v>768</v>
      </c>
      <c r="U166" s="379" t="s">
        <v>766</v>
      </c>
      <c r="AF166" s="854">
        <v>42187</v>
      </c>
      <c r="AG166" s="848">
        <v>177</v>
      </c>
      <c r="AH166" s="848">
        <v>170</v>
      </c>
      <c r="AI166" s="848">
        <v>174</v>
      </c>
      <c r="AJ166" s="848">
        <v>268</v>
      </c>
      <c r="AK166" s="848">
        <v>5577.03</v>
      </c>
      <c r="AL166" s="848">
        <v>4656</v>
      </c>
      <c r="AM166" s="848">
        <v>277</v>
      </c>
      <c r="AN166" s="834"/>
      <c r="AO166" s="834"/>
      <c r="AP166" s="834"/>
      <c r="AQ166" s="834"/>
      <c r="AR166" s="834"/>
      <c r="AS166" s="834"/>
      <c r="AT166" s="834"/>
      <c r="AU166" s="834"/>
      <c r="AV166" s="54"/>
      <c r="AW166" s="1056">
        <v>42168</v>
      </c>
      <c r="AX166" s="1053">
        <v>9753</v>
      </c>
    </row>
    <row r="167" spans="1:50" ht="14.5">
      <c r="A167" s="422">
        <v>16</v>
      </c>
      <c r="B167" s="383"/>
      <c r="C167" s="379">
        <v>1020</v>
      </c>
      <c r="D167" s="383"/>
      <c r="H167" s="382">
        <v>14</v>
      </c>
      <c r="I167" s="379" t="s">
        <v>703</v>
      </c>
      <c r="J167" s="379" t="s">
        <v>769</v>
      </c>
      <c r="K167" s="379" t="s">
        <v>770</v>
      </c>
      <c r="L167" s="379" t="s">
        <v>695</v>
      </c>
      <c r="M167" s="379" t="s">
        <v>695</v>
      </c>
      <c r="N167" s="379" t="s">
        <v>771</v>
      </c>
      <c r="O167" s="379" t="s">
        <v>772</v>
      </c>
      <c r="P167" s="379" t="s">
        <v>773</v>
      </c>
      <c r="Q167" s="379" t="s">
        <v>774</v>
      </c>
      <c r="R167" s="379" t="s">
        <v>766</v>
      </c>
      <c r="S167" s="379" t="s">
        <v>775</v>
      </c>
      <c r="T167" s="379" t="s">
        <v>776</v>
      </c>
      <c r="U167" s="379" t="s">
        <v>755</v>
      </c>
      <c r="AF167" s="854">
        <v>42188</v>
      </c>
      <c r="AG167" s="848">
        <v>148</v>
      </c>
      <c r="AH167" s="848">
        <v>133</v>
      </c>
      <c r="AI167" s="848">
        <v>149</v>
      </c>
      <c r="AJ167" s="848">
        <v>221</v>
      </c>
      <c r="AK167" s="848">
        <v>5576.51</v>
      </c>
      <c r="AL167" s="848">
        <v>4553</v>
      </c>
      <c r="AM167" s="848">
        <v>200</v>
      </c>
      <c r="AN167" s="834"/>
      <c r="AO167" s="834"/>
      <c r="AP167" s="834"/>
      <c r="AQ167" s="834"/>
      <c r="AR167" s="834"/>
      <c r="AS167" s="834"/>
      <c r="AT167" s="834"/>
      <c r="AU167" s="834"/>
      <c r="AV167" s="54"/>
      <c r="AW167" s="1056">
        <v>42169</v>
      </c>
      <c r="AX167" s="1053">
        <v>9692</v>
      </c>
    </row>
    <row r="168" spans="1:50" ht="14.5">
      <c r="A168" s="422">
        <v>17</v>
      </c>
      <c r="B168" s="383"/>
      <c r="C168" s="379">
        <v>781</v>
      </c>
      <c r="D168" s="383"/>
      <c r="H168" s="382">
        <v>15</v>
      </c>
      <c r="I168" s="379" t="s">
        <v>777</v>
      </c>
      <c r="J168" s="379" t="s">
        <v>778</v>
      </c>
      <c r="K168" s="379" t="s">
        <v>716</v>
      </c>
      <c r="L168" s="379" t="s">
        <v>695</v>
      </c>
      <c r="M168" s="379" t="s">
        <v>695</v>
      </c>
      <c r="N168" s="379" t="s">
        <v>779</v>
      </c>
      <c r="O168" s="379" t="s">
        <v>780</v>
      </c>
      <c r="P168" s="379" t="s">
        <v>773</v>
      </c>
      <c r="Q168" s="379" t="s">
        <v>697</v>
      </c>
      <c r="R168" s="379" t="s">
        <v>724</v>
      </c>
      <c r="S168" s="379" t="s">
        <v>781</v>
      </c>
      <c r="T168" s="379" t="s">
        <v>782</v>
      </c>
      <c r="U168" s="383"/>
      <c r="AF168" s="854">
        <v>42189</v>
      </c>
      <c r="AG168" s="848">
        <v>139</v>
      </c>
      <c r="AH168" s="848">
        <v>116</v>
      </c>
      <c r="AI168" s="848">
        <v>138</v>
      </c>
      <c r="AJ168" s="848">
        <v>219</v>
      </c>
      <c r="AK168" s="848">
        <v>5575.85</v>
      </c>
      <c r="AL168" s="848">
        <v>4428</v>
      </c>
      <c r="AM168" s="848">
        <v>196</v>
      </c>
      <c r="AN168" s="834"/>
      <c r="AO168" s="834"/>
      <c r="AP168" s="834"/>
      <c r="AQ168" s="834"/>
      <c r="AR168" s="834"/>
      <c r="AS168" s="834"/>
      <c r="AT168" s="834"/>
      <c r="AU168" s="834"/>
      <c r="AV168" s="54"/>
      <c r="AW168" s="1056">
        <v>42170</v>
      </c>
      <c r="AX168" s="1053">
        <v>9510</v>
      </c>
    </row>
    <row r="169" spans="1:50" ht="14.5">
      <c r="A169" s="422">
        <v>18</v>
      </c>
      <c r="B169" s="383"/>
      <c r="C169" s="379">
        <v>618</v>
      </c>
      <c r="D169" s="383"/>
      <c r="H169" s="382">
        <v>16</v>
      </c>
      <c r="I169" s="379" t="s">
        <v>783</v>
      </c>
      <c r="J169" s="379" t="s">
        <v>784</v>
      </c>
      <c r="K169" s="379" t="s">
        <v>764</v>
      </c>
      <c r="L169" s="379" t="s">
        <v>695</v>
      </c>
      <c r="M169" s="379" t="s">
        <v>695</v>
      </c>
      <c r="N169" s="379" t="s">
        <v>785</v>
      </c>
      <c r="O169" s="379" t="s">
        <v>780</v>
      </c>
      <c r="P169" s="379" t="s">
        <v>786</v>
      </c>
      <c r="Q169" s="379" t="s">
        <v>766</v>
      </c>
      <c r="R169" s="379" t="s">
        <v>718</v>
      </c>
      <c r="S169" s="379" t="s">
        <v>787</v>
      </c>
      <c r="T169" s="379" t="s">
        <v>788</v>
      </c>
      <c r="U169" s="383"/>
      <c r="AF169" s="854">
        <v>42190</v>
      </c>
      <c r="AG169" s="848">
        <v>145</v>
      </c>
      <c r="AH169" s="848">
        <v>150</v>
      </c>
      <c r="AI169" s="848">
        <v>150</v>
      </c>
      <c r="AJ169" s="848">
        <v>217</v>
      </c>
      <c r="AK169" s="848">
        <v>5575.17</v>
      </c>
      <c r="AL169" s="848">
        <v>4301</v>
      </c>
      <c r="AM169" s="848">
        <v>195</v>
      </c>
      <c r="AN169" s="834"/>
      <c r="AO169" s="834"/>
      <c r="AP169" s="834"/>
      <c r="AQ169" s="834"/>
      <c r="AR169" s="834"/>
      <c r="AS169" s="834"/>
      <c r="AT169" s="834"/>
      <c r="AU169" s="834"/>
      <c r="AV169" s="54"/>
      <c r="AW169" s="1056">
        <v>42171</v>
      </c>
      <c r="AX169" s="1053">
        <v>9361</v>
      </c>
    </row>
    <row r="170" spans="1:50" ht="14.5">
      <c r="A170" s="422">
        <v>19</v>
      </c>
      <c r="B170" s="383"/>
      <c r="C170" s="379">
        <v>506</v>
      </c>
      <c r="D170" s="383"/>
      <c r="H170" s="382">
        <v>17</v>
      </c>
      <c r="I170" s="379" t="s">
        <v>703</v>
      </c>
      <c r="J170" s="379" t="s">
        <v>789</v>
      </c>
      <c r="K170" s="379" t="s">
        <v>716</v>
      </c>
      <c r="L170" s="379" t="s">
        <v>695</v>
      </c>
      <c r="M170" s="379" t="s">
        <v>695</v>
      </c>
      <c r="N170" s="379" t="s">
        <v>741</v>
      </c>
      <c r="O170" s="379" t="s">
        <v>790</v>
      </c>
      <c r="P170" s="379" t="s">
        <v>736</v>
      </c>
      <c r="Q170" s="379" t="s">
        <v>736</v>
      </c>
      <c r="R170" s="379" t="s">
        <v>699</v>
      </c>
      <c r="S170" s="379" t="s">
        <v>791</v>
      </c>
      <c r="T170" s="379" t="s">
        <v>792</v>
      </c>
      <c r="U170" s="383"/>
      <c r="AF170" s="854">
        <v>42191</v>
      </c>
      <c r="AG170" s="848">
        <v>144</v>
      </c>
      <c r="AH170" s="848">
        <v>148</v>
      </c>
      <c r="AI170" s="848">
        <v>143</v>
      </c>
      <c r="AJ170" s="848">
        <v>216</v>
      </c>
      <c r="AK170" s="848">
        <v>5574.67</v>
      </c>
      <c r="AL170" s="848">
        <v>4210</v>
      </c>
      <c r="AM170" s="848">
        <v>201</v>
      </c>
      <c r="AN170" s="834"/>
      <c r="AO170" s="834"/>
      <c r="AP170" s="834"/>
      <c r="AQ170" s="834"/>
      <c r="AR170" s="834"/>
      <c r="AS170" s="834"/>
      <c r="AT170" s="834"/>
      <c r="AU170" s="834"/>
      <c r="AV170" s="54"/>
      <c r="AW170" s="1056">
        <v>42172</v>
      </c>
      <c r="AX170" s="1053">
        <v>9207</v>
      </c>
    </row>
    <row r="171" spans="1:50" ht="14.5">
      <c r="A171" s="422">
        <v>20</v>
      </c>
      <c r="B171" s="383"/>
      <c r="C171" s="379">
        <v>438</v>
      </c>
      <c r="D171" s="383"/>
      <c r="H171" s="382">
        <v>18</v>
      </c>
      <c r="I171" s="379" t="s">
        <v>703</v>
      </c>
      <c r="J171" s="379" t="s">
        <v>793</v>
      </c>
      <c r="K171" s="379" t="s">
        <v>728</v>
      </c>
      <c r="L171" s="379" t="s">
        <v>695</v>
      </c>
      <c r="M171" s="379" t="s">
        <v>695</v>
      </c>
      <c r="N171" s="379" t="s">
        <v>741</v>
      </c>
      <c r="O171" s="379" t="s">
        <v>794</v>
      </c>
      <c r="P171" s="379" t="s">
        <v>696</v>
      </c>
      <c r="Q171" s="379" t="s">
        <v>708</v>
      </c>
      <c r="R171" s="379" t="s">
        <v>699</v>
      </c>
      <c r="S171" s="379" t="s">
        <v>795</v>
      </c>
      <c r="T171" s="379" t="s">
        <v>792</v>
      </c>
      <c r="U171" s="383"/>
      <c r="AF171" s="854">
        <v>42192</v>
      </c>
      <c r="AG171" s="848">
        <v>190</v>
      </c>
      <c r="AH171" s="848">
        <v>208</v>
      </c>
      <c r="AI171" s="848">
        <v>177</v>
      </c>
      <c r="AJ171" s="848">
        <v>215</v>
      </c>
      <c r="AK171" s="848">
        <v>5574.45</v>
      </c>
      <c r="AL171" s="848">
        <v>4170</v>
      </c>
      <c r="AM171" s="848">
        <v>212</v>
      </c>
      <c r="AN171" s="834"/>
      <c r="AO171" s="834"/>
      <c r="AP171" s="834"/>
      <c r="AQ171" s="834"/>
      <c r="AR171" s="834"/>
      <c r="AS171" s="834"/>
      <c r="AT171" s="834"/>
      <c r="AU171" s="834"/>
      <c r="AV171" s="54"/>
      <c r="AW171" s="1056">
        <v>42173</v>
      </c>
      <c r="AX171" s="1053">
        <v>8975</v>
      </c>
    </row>
    <row r="172" spans="1:50" ht="14.5">
      <c r="A172" s="422">
        <v>21</v>
      </c>
      <c r="B172" s="383"/>
      <c r="C172" s="379">
        <v>385</v>
      </c>
      <c r="D172" s="383"/>
      <c r="H172" s="382">
        <v>19</v>
      </c>
      <c r="I172" s="379" t="s">
        <v>796</v>
      </c>
      <c r="J172" s="379" t="s">
        <v>797</v>
      </c>
      <c r="K172" s="379" t="s">
        <v>716</v>
      </c>
      <c r="L172" s="379" t="s">
        <v>695</v>
      </c>
      <c r="M172" s="379" t="s">
        <v>695</v>
      </c>
      <c r="N172" s="379" t="s">
        <v>717</v>
      </c>
      <c r="O172" s="379" t="s">
        <v>798</v>
      </c>
      <c r="P172" s="379" t="s">
        <v>708</v>
      </c>
      <c r="Q172" s="379" t="s">
        <v>708</v>
      </c>
      <c r="R172" s="379" t="s">
        <v>699</v>
      </c>
      <c r="S172" s="379" t="s">
        <v>799</v>
      </c>
      <c r="T172" s="379" t="s">
        <v>757</v>
      </c>
      <c r="U172" s="383"/>
      <c r="AF172" s="854">
        <v>42193</v>
      </c>
      <c r="AG172" s="848">
        <v>210</v>
      </c>
      <c r="AH172" s="848">
        <v>238</v>
      </c>
      <c r="AI172" s="848">
        <v>195</v>
      </c>
      <c r="AJ172" s="848">
        <v>218</v>
      </c>
      <c r="AK172" s="848">
        <v>5574.52</v>
      </c>
      <c r="AL172" s="848">
        <v>4183</v>
      </c>
      <c r="AM172" s="848">
        <v>222</v>
      </c>
      <c r="AN172" s="834"/>
      <c r="AO172" s="834"/>
      <c r="AP172" s="834"/>
      <c r="AQ172" s="834"/>
      <c r="AR172" s="834"/>
      <c r="AS172" s="834"/>
      <c r="AT172" s="834"/>
      <c r="AU172" s="834"/>
      <c r="AV172" s="54"/>
      <c r="AW172" s="1056">
        <v>42174</v>
      </c>
      <c r="AX172" s="1053">
        <v>8694</v>
      </c>
    </row>
    <row r="173" spans="1:50" ht="14.5">
      <c r="A173" s="422">
        <v>22</v>
      </c>
      <c r="B173" s="383"/>
      <c r="C173" s="379">
        <v>342</v>
      </c>
      <c r="D173" s="383"/>
      <c r="H173" s="382">
        <v>20</v>
      </c>
      <c r="I173" s="379" t="s">
        <v>703</v>
      </c>
      <c r="J173" s="379" t="s">
        <v>800</v>
      </c>
      <c r="K173" s="379" t="s">
        <v>716</v>
      </c>
      <c r="L173" s="379" t="s">
        <v>695</v>
      </c>
      <c r="M173" s="379" t="s">
        <v>695</v>
      </c>
      <c r="N173" s="379" t="s">
        <v>751</v>
      </c>
      <c r="O173" s="379" t="s">
        <v>801</v>
      </c>
      <c r="P173" s="379" t="s">
        <v>729</v>
      </c>
      <c r="Q173" s="379" t="s">
        <v>729</v>
      </c>
      <c r="R173" s="379" t="s">
        <v>698</v>
      </c>
      <c r="S173" s="379" t="s">
        <v>802</v>
      </c>
      <c r="T173" s="379" t="s">
        <v>757</v>
      </c>
      <c r="U173" s="383"/>
      <c r="AF173" s="854">
        <v>42194</v>
      </c>
      <c r="AG173" s="848">
        <v>234</v>
      </c>
      <c r="AH173" s="848">
        <v>255</v>
      </c>
      <c r="AI173" s="848">
        <v>244</v>
      </c>
      <c r="AJ173" s="848">
        <v>222</v>
      </c>
      <c r="AK173" s="848">
        <v>5575.25</v>
      </c>
      <c r="AL173" s="848">
        <v>4317</v>
      </c>
      <c r="AM173" s="848">
        <v>223</v>
      </c>
      <c r="AN173" s="834"/>
      <c r="AO173" s="834"/>
      <c r="AP173" s="834"/>
      <c r="AQ173" s="834"/>
      <c r="AR173" s="834"/>
      <c r="AS173" s="834"/>
      <c r="AT173" s="834"/>
      <c r="AU173" s="834"/>
      <c r="AV173" s="54"/>
      <c r="AW173" s="1056">
        <v>42175</v>
      </c>
      <c r="AX173" s="1053">
        <v>8347</v>
      </c>
    </row>
    <row r="174" spans="1:50" ht="14.5">
      <c r="A174" s="422">
        <v>23</v>
      </c>
      <c r="B174" s="383"/>
      <c r="C174" s="379">
        <v>313</v>
      </c>
      <c r="D174" s="383"/>
      <c r="H174" s="382">
        <v>21</v>
      </c>
      <c r="I174" s="379" t="s">
        <v>714</v>
      </c>
      <c r="J174" s="379" t="s">
        <v>803</v>
      </c>
      <c r="K174" s="379" t="s">
        <v>705</v>
      </c>
      <c r="L174" s="379" t="s">
        <v>695</v>
      </c>
      <c r="M174" s="379" t="s">
        <v>695</v>
      </c>
      <c r="N174" s="379" t="s">
        <v>722</v>
      </c>
      <c r="O174" s="379" t="s">
        <v>804</v>
      </c>
      <c r="P174" s="379" t="s">
        <v>718</v>
      </c>
      <c r="Q174" s="379" t="s">
        <v>720</v>
      </c>
      <c r="R174" s="379" t="s">
        <v>698</v>
      </c>
      <c r="S174" s="379" t="s">
        <v>805</v>
      </c>
      <c r="T174" s="379" t="s">
        <v>806</v>
      </c>
      <c r="U174" s="383"/>
      <c r="AF174" s="854">
        <v>42195</v>
      </c>
      <c r="AG174" s="848">
        <v>208</v>
      </c>
      <c r="AH174" s="848">
        <v>231</v>
      </c>
      <c r="AI174" s="848">
        <v>215</v>
      </c>
      <c r="AJ174" s="848">
        <v>222</v>
      </c>
      <c r="AK174" s="848">
        <v>5575.66</v>
      </c>
      <c r="AL174" s="848">
        <v>4392</v>
      </c>
      <c r="AM174" s="848">
        <v>220</v>
      </c>
      <c r="AN174" s="834"/>
      <c r="AO174" s="834"/>
      <c r="AP174" s="834"/>
      <c r="AQ174" s="834"/>
      <c r="AR174" s="834"/>
      <c r="AS174" s="834"/>
      <c r="AT174" s="834"/>
      <c r="AU174" s="834"/>
      <c r="AV174" s="54"/>
      <c r="AW174" s="1056">
        <v>42176</v>
      </c>
      <c r="AX174" s="1053">
        <v>7942</v>
      </c>
    </row>
    <row r="175" spans="1:50" ht="14.5">
      <c r="A175" s="422">
        <v>24</v>
      </c>
      <c r="B175" s="383"/>
      <c r="C175" s="379">
        <v>264</v>
      </c>
      <c r="D175" s="383"/>
      <c r="H175" s="382">
        <v>22</v>
      </c>
      <c r="I175" s="379" t="s">
        <v>714</v>
      </c>
      <c r="J175" s="379" t="s">
        <v>807</v>
      </c>
      <c r="K175" s="379" t="s">
        <v>808</v>
      </c>
      <c r="L175" s="379" t="s">
        <v>695</v>
      </c>
      <c r="M175" s="379" t="s">
        <v>695</v>
      </c>
      <c r="N175" s="379" t="s">
        <v>809</v>
      </c>
      <c r="O175" s="379" t="s">
        <v>810</v>
      </c>
      <c r="P175" s="379" t="s">
        <v>718</v>
      </c>
      <c r="Q175" s="379" t="s">
        <v>712</v>
      </c>
      <c r="R175" s="379" t="s">
        <v>729</v>
      </c>
      <c r="S175" s="379" t="s">
        <v>811</v>
      </c>
      <c r="T175" s="379" t="s">
        <v>812</v>
      </c>
      <c r="U175" s="383"/>
      <c r="AF175" s="854">
        <v>42196</v>
      </c>
      <c r="AG175" s="848">
        <v>180</v>
      </c>
      <c r="AH175" s="848">
        <v>189</v>
      </c>
      <c r="AI175" s="848">
        <v>183</v>
      </c>
      <c r="AJ175" s="848">
        <v>222</v>
      </c>
      <c r="AK175" s="848">
        <v>5575.75</v>
      </c>
      <c r="AL175" s="848">
        <v>4409</v>
      </c>
      <c r="AM175" s="848">
        <v>214</v>
      </c>
      <c r="AN175" s="834"/>
      <c r="AO175" s="834"/>
      <c r="AP175" s="834"/>
      <c r="AQ175" s="834"/>
      <c r="AR175" s="834"/>
      <c r="AS175" s="834"/>
      <c r="AT175" s="834"/>
      <c r="AU175" s="834"/>
      <c r="AV175" s="54"/>
      <c r="AW175" s="1056">
        <v>42177</v>
      </c>
      <c r="AX175" s="1053">
        <v>7518</v>
      </c>
    </row>
    <row r="176" spans="1:50" ht="14.5">
      <c r="A176" s="422">
        <v>25</v>
      </c>
      <c r="B176" s="383"/>
      <c r="C176" s="379">
        <v>238</v>
      </c>
      <c r="D176" s="383"/>
      <c r="H176" s="382">
        <v>23</v>
      </c>
      <c r="I176" s="379" t="s">
        <v>813</v>
      </c>
      <c r="J176" s="379" t="s">
        <v>814</v>
      </c>
      <c r="K176" s="379" t="s">
        <v>728</v>
      </c>
      <c r="L176" s="379" t="s">
        <v>695</v>
      </c>
      <c r="M176" s="379" t="s">
        <v>695</v>
      </c>
      <c r="N176" s="379" t="s">
        <v>815</v>
      </c>
      <c r="O176" s="379" t="s">
        <v>801</v>
      </c>
      <c r="P176" s="379" t="s">
        <v>720</v>
      </c>
      <c r="Q176" s="379" t="s">
        <v>816</v>
      </c>
      <c r="R176" s="379" t="s">
        <v>737</v>
      </c>
      <c r="S176" s="379" t="s">
        <v>817</v>
      </c>
      <c r="T176" s="379" t="s">
        <v>752</v>
      </c>
      <c r="U176" s="383"/>
      <c r="AF176" s="854">
        <v>42197</v>
      </c>
      <c r="AG176" s="848">
        <v>166</v>
      </c>
      <c r="AH176" s="848">
        <v>168</v>
      </c>
      <c r="AI176" s="848">
        <v>165</v>
      </c>
      <c r="AJ176" s="848">
        <v>222</v>
      </c>
      <c r="AK176" s="848">
        <v>5575.49</v>
      </c>
      <c r="AL176" s="848">
        <v>4361</v>
      </c>
      <c r="AM176" s="848">
        <v>210</v>
      </c>
      <c r="AN176" s="834"/>
      <c r="AO176" s="834"/>
      <c r="AP176" s="834"/>
      <c r="AQ176" s="834"/>
      <c r="AR176" s="834"/>
      <c r="AS176" s="834"/>
      <c r="AT176" s="834"/>
      <c r="AU176" s="834"/>
      <c r="AV176" s="54"/>
      <c r="AW176" s="1056">
        <v>42178</v>
      </c>
      <c r="AX176" s="1053">
        <v>7285</v>
      </c>
    </row>
    <row r="177" spans="1:50" ht="14.5">
      <c r="A177" s="422">
        <v>26</v>
      </c>
      <c r="B177" s="383"/>
      <c r="C177" s="379">
        <v>214</v>
      </c>
      <c r="D177" s="383"/>
      <c r="H177" s="382">
        <v>24</v>
      </c>
      <c r="I177" s="379" t="s">
        <v>813</v>
      </c>
      <c r="J177" s="379" t="s">
        <v>693</v>
      </c>
      <c r="K177" s="379" t="s">
        <v>693</v>
      </c>
      <c r="L177" s="379" t="s">
        <v>695</v>
      </c>
      <c r="M177" s="379" t="s">
        <v>695</v>
      </c>
      <c r="N177" s="379" t="s">
        <v>818</v>
      </c>
      <c r="O177" s="379" t="s">
        <v>819</v>
      </c>
      <c r="P177" s="379" t="s">
        <v>718</v>
      </c>
      <c r="Q177" s="379" t="s">
        <v>816</v>
      </c>
      <c r="R177" s="379" t="s">
        <v>702</v>
      </c>
      <c r="S177" s="379" t="s">
        <v>820</v>
      </c>
      <c r="T177" s="379" t="s">
        <v>723</v>
      </c>
      <c r="U177" s="383"/>
      <c r="AF177" s="854">
        <v>42198</v>
      </c>
      <c r="AG177" s="848">
        <v>177</v>
      </c>
      <c r="AH177" s="848">
        <v>185</v>
      </c>
      <c r="AI177" s="848">
        <v>177</v>
      </c>
      <c r="AJ177" s="848">
        <v>221</v>
      </c>
      <c r="AK177" s="848">
        <v>5575.08</v>
      </c>
      <c r="AL177" s="848">
        <v>4285</v>
      </c>
      <c r="AM177" s="848">
        <v>206</v>
      </c>
      <c r="AN177" s="834"/>
      <c r="AO177" s="834"/>
      <c r="AP177" s="834"/>
      <c r="AQ177" s="834"/>
      <c r="AR177" s="834"/>
      <c r="AS177" s="834"/>
      <c r="AT177" s="834"/>
      <c r="AU177" s="834"/>
      <c r="AV177" s="54"/>
      <c r="AW177" s="1056">
        <v>42179</v>
      </c>
      <c r="AX177" s="1053">
        <v>7053</v>
      </c>
    </row>
    <row r="178" spans="1:50" ht="14.5">
      <c r="A178" s="422">
        <v>27</v>
      </c>
      <c r="B178" s="383"/>
      <c r="C178" s="379">
        <v>203</v>
      </c>
      <c r="D178" s="383"/>
      <c r="H178" s="382">
        <v>25</v>
      </c>
      <c r="I178" s="379" t="s">
        <v>796</v>
      </c>
      <c r="J178" s="379" t="s">
        <v>694</v>
      </c>
      <c r="K178" s="379" t="s">
        <v>821</v>
      </c>
      <c r="L178" s="379" t="s">
        <v>695</v>
      </c>
      <c r="M178" s="379" t="s">
        <v>695</v>
      </c>
      <c r="N178" s="379" t="s">
        <v>706</v>
      </c>
      <c r="O178" s="379" t="s">
        <v>762</v>
      </c>
      <c r="P178" s="379" t="s">
        <v>699</v>
      </c>
      <c r="Q178" s="379" t="s">
        <v>699</v>
      </c>
      <c r="R178" s="379" t="s">
        <v>758</v>
      </c>
      <c r="S178" s="379" t="s">
        <v>822</v>
      </c>
      <c r="T178" s="379" t="s">
        <v>719</v>
      </c>
      <c r="U178" s="383"/>
      <c r="AF178" s="854">
        <v>42199</v>
      </c>
      <c r="AG178" s="848">
        <v>179</v>
      </c>
      <c r="AH178" s="848">
        <v>189</v>
      </c>
      <c r="AI178" s="848">
        <v>177</v>
      </c>
      <c r="AJ178" s="848">
        <v>220</v>
      </c>
      <c r="AK178" s="848">
        <v>5575.01</v>
      </c>
      <c r="AL178" s="848">
        <v>4272</v>
      </c>
      <c r="AM178" s="848">
        <v>204</v>
      </c>
      <c r="AN178" s="834"/>
      <c r="AO178" s="834"/>
      <c r="AP178" s="834"/>
      <c r="AQ178" s="834"/>
      <c r="AR178" s="834"/>
      <c r="AS178" s="834"/>
      <c r="AT178" s="834"/>
      <c r="AU178" s="834"/>
      <c r="AV178" s="54"/>
      <c r="AW178" s="1056">
        <v>42180</v>
      </c>
      <c r="AX178" s="1053">
        <v>6828</v>
      </c>
    </row>
    <row r="179" spans="1:50" ht="14.5">
      <c r="A179" s="422">
        <v>28</v>
      </c>
      <c r="B179" s="383"/>
      <c r="C179" s="379">
        <v>186</v>
      </c>
      <c r="D179" s="383"/>
      <c r="H179" s="382">
        <v>26</v>
      </c>
      <c r="I179" s="379" t="s">
        <v>703</v>
      </c>
      <c r="J179" s="379" t="s">
        <v>716</v>
      </c>
      <c r="K179" s="379" t="s">
        <v>728</v>
      </c>
      <c r="L179" s="379" t="s">
        <v>695</v>
      </c>
      <c r="M179" s="379" t="s">
        <v>695</v>
      </c>
      <c r="N179" s="379" t="s">
        <v>823</v>
      </c>
      <c r="O179" s="379" t="s">
        <v>776</v>
      </c>
      <c r="P179" s="379" t="s">
        <v>712</v>
      </c>
      <c r="Q179" s="379" t="s">
        <v>729</v>
      </c>
      <c r="R179" s="379" t="s">
        <v>755</v>
      </c>
      <c r="S179" s="379" t="s">
        <v>824</v>
      </c>
      <c r="T179" s="379" t="s">
        <v>742</v>
      </c>
      <c r="U179" s="383"/>
      <c r="AF179" s="854">
        <v>42200</v>
      </c>
      <c r="AG179" s="848">
        <v>169</v>
      </c>
      <c r="AH179" s="848">
        <v>166</v>
      </c>
      <c r="AI179" s="848">
        <v>161</v>
      </c>
      <c r="AJ179" s="848">
        <v>219</v>
      </c>
      <c r="AK179" s="848">
        <v>5574.68</v>
      </c>
      <c r="AL179" s="848">
        <v>4212</v>
      </c>
      <c r="AM179" s="848">
        <v>204</v>
      </c>
      <c r="AN179" s="834"/>
      <c r="AO179" s="834"/>
      <c r="AP179" s="834"/>
      <c r="AQ179" s="834"/>
      <c r="AR179" s="834"/>
      <c r="AS179" s="834"/>
      <c r="AT179" s="834"/>
      <c r="AU179" s="834"/>
      <c r="AV179" s="54"/>
      <c r="AW179" s="1056">
        <v>42181</v>
      </c>
      <c r="AX179" s="1053">
        <v>6576</v>
      </c>
    </row>
    <row r="180" spans="1:50" ht="14.5">
      <c r="A180" s="422">
        <v>29</v>
      </c>
      <c r="B180" s="379">
        <v>40</v>
      </c>
      <c r="C180" s="379">
        <v>169</v>
      </c>
      <c r="D180" s="383"/>
      <c r="H180" s="382">
        <v>27</v>
      </c>
      <c r="I180" s="379" t="s">
        <v>825</v>
      </c>
      <c r="J180" s="379" t="s">
        <v>821</v>
      </c>
      <c r="K180" s="379" t="s">
        <v>728</v>
      </c>
      <c r="L180" s="379" t="s">
        <v>695</v>
      </c>
      <c r="M180" s="379" t="s">
        <v>695</v>
      </c>
      <c r="N180" s="379" t="s">
        <v>818</v>
      </c>
      <c r="O180" s="379" t="s">
        <v>826</v>
      </c>
      <c r="P180" s="379" t="s">
        <v>712</v>
      </c>
      <c r="Q180" s="379" t="s">
        <v>699</v>
      </c>
      <c r="R180" s="379" t="s">
        <v>827</v>
      </c>
      <c r="S180" s="379" t="s">
        <v>828</v>
      </c>
      <c r="T180" s="379" t="s">
        <v>827</v>
      </c>
      <c r="U180" s="383"/>
      <c r="AF180" s="854">
        <v>42201</v>
      </c>
      <c r="AG180" s="848">
        <v>153</v>
      </c>
      <c r="AH180" s="848">
        <v>149</v>
      </c>
      <c r="AI180" s="848">
        <v>152</v>
      </c>
      <c r="AJ180" s="848">
        <v>218</v>
      </c>
      <c r="AK180" s="848">
        <v>5574.26</v>
      </c>
      <c r="AL180" s="848">
        <v>4136</v>
      </c>
      <c r="AM180" s="848">
        <v>203</v>
      </c>
      <c r="AN180" s="834"/>
      <c r="AO180" s="834"/>
      <c r="AP180" s="834"/>
      <c r="AQ180" s="834"/>
      <c r="AR180" s="834"/>
      <c r="AS180" s="834"/>
      <c r="AT180" s="834"/>
      <c r="AU180" s="834"/>
      <c r="AV180" s="54"/>
      <c r="AW180" s="1056">
        <v>42182</v>
      </c>
      <c r="AX180" s="1053">
        <v>6285</v>
      </c>
    </row>
    <row r="181" spans="1:50" ht="14.5">
      <c r="A181" s="422">
        <v>30</v>
      </c>
      <c r="B181" s="379">
        <v>48</v>
      </c>
      <c r="C181" s="379">
        <v>155</v>
      </c>
      <c r="D181" s="383"/>
      <c r="H181" s="382">
        <v>28</v>
      </c>
      <c r="I181" s="379" t="s">
        <v>692</v>
      </c>
      <c r="J181" s="379" t="s">
        <v>829</v>
      </c>
      <c r="K181" s="379" t="s">
        <v>728</v>
      </c>
      <c r="L181" s="379" t="s">
        <v>695</v>
      </c>
      <c r="M181" s="379" t="s">
        <v>695</v>
      </c>
      <c r="N181" s="379" t="s">
        <v>712</v>
      </c>
      <c r="O181" s="379" t="s">
        <v>759</v>
      </c>
      <c r="P181" s="379" t="s">
        <v>816</v>
      </c>
      <c r="Q181" s="379" t="s">
        <v>718</v>
      </c>
      <c r="R181" s="379" t="s">
        <v>744</v>
      </c>
      <c r="S181" s="379" t="s">
        <v>830</v>
      </c>
      <c r="T181" s="379" t="s">
        <v>831</v>
      </c>
      <c r="U181" s="383"/>
      <c r="AF181" s="854">
        <v>42202</v>
      </c>
      <c r="AG181" s="848">
        <v>141</v>
      </c>
      <c r="AH181" s="848">
        <v>131</v>
      </c>
      <c r="AI181" s="848">
        <v>139</v>
      </c>
      <c r="AJ181" s="848">
        <v>218</v>
      </c>
      <c r="AK181" s="848">
        <v>5573.61</v>
      </c>
      <c r="AL181" s="848">
        <v>4021</v>
      </c>
      <c r="AM181" s="848">
        <v>200</v>
      </c>
      <c r="AN181" s="834"/>
      <c r="AO181" s="834"/>
      <c r="AP181" s="834"/>
      <c r="AQ181" s="834"/>
      <c r="AR181" s="834"/>
      <c r="AS181" s="834"/>
      <c r="AT181" s="834"/>
      <c r="AU181" s="834"/>
      <c r="AV181" s="54"/>
      <c r="AW181" s="1056">
        <v>42183</v>
      </c>
      <c r="AX181" s="1053">
        <v>5965</v>
      </c>
    </row>
    <row r="182" spans="1:50" ht="14.5">
      <c r="A182" s="422">
        <v>31</v>
      </c>
      <c r="B182" s="379">
        <v>51</v>
      </c>
      <c r="C182" s="383"/>
      <c r="D182" s="383"/>
      <c r="H182" s="382">
        <v>29</v>
      </c>
      <c r="I182" s="379" t="s">
        <v>692</v>
      </c>
      <c r="J182" s="379" t="s">
        <v>716</v>
      </c>
      <c r="K182" s="379" t="s">
        <v>705</v>
      </c>
      <c r="L182" s="383"/>
      <c r="M182" s="379" t="s">
        <v>695</v>
      </c>
      <c r="N182" s="379" t="s">
        <v>729</v>
      </c>
      <c r="O182" s="379" t="s">
        <v>752</v>
      </c>
      <c r="P182" s="379" t="s">
        <v>712</v>
      </c>
      <c r="Q182" s="379" t="s">
        <v>736</v>
      </c>
      <c r="R182" s="379" t="s">
        <v>697</v>
      </c>
      <c r="S182" s="379" t="s">
        <v>832</v>
      </c>
      <c r="T182" s="379" t="s">
        <v>774</v>
      </c>
      <c r="U182" s="383"/>
      <c r="AF182" s="854">
        <v>42203</v>
      </c>
      <c r="AG182" s="848">
        <v>135</v>
      </c>
      <c r="AH182" s="848">
        <v>122</v>
      </c>
      <c r="AI182" s="848">
        <v>130</v>
      </c>
      <c r="AJ182" s="848">
        <v>217</v>
      </c>
      <c r="AK182" s="848">
        <v>5572.76</v>
      </c>
      <c r="AL182" s="848">
        <v>3877</v>
      </c>
      <c r="AM182" s="848">
        <v>200</v>
      </c>
      <c r="AN182" s="834"/>
      <c r="AO182" s="834"/>
      <c r="AP182" s="834"/>
      <c r="AQ182" s="834"/>
      <c r="AR182" s="834"/>
      <c r="AS182" s="834"/>
      <c r="AT182" s="834"/>
      <c r="AU182" s="834"/>
      <c r="AV182" s="54"/>
      <c r="AW182" s="1056">
        <v>42184</v>
      </c>
      <c r="AX182" s="1053">
        <v>5636</v>
      </c>
    </row>
    <row r="183" spans="1:50" ht="14.5">
      <c r="A183" s="382"/>
      <c r="B183" s="383"/>
      <c r="D183" s="384"/>
      <c r="H183" s="382">
        <v>30</v>
      </c>
      <c r="I183" s="379" t="s">
        <v>692</v>
      </c>
      <c r="J183" s="379" t="s">
        <v>716</v>
      </c>
      <c r="K183" s="379" t="s">
        <v>716</v>
      </c>
      <c r="L183" s="383"/>
      <c r="M183" s="379" t="s">
        <v>695</v>
      </c>
      <c r="N183" s="379" t="s">
        <v>696</v>
      </c>
      <c r="O183" s="379" t="s">
        <v>827</v>
      </c>
      <c r="P183" s="379" t="s">
        <v>712</v>
      </c>
      <c r="Q183" s="379" t="s">
        <v>760</v>
      </c>
      <c r="R183" s="379" t="s">
        <v>700</v>
      </c>
      <c r="S183" s="379" t="s">
        <v>747</v>
      </c>
      <c r="T183" s="379" t="s">
        <v>831</v>
      </c>
      <c r="U183" s="383"/>
      <c r="AF183" s="854">
        <v>42204</v>
      </c>
      <c r="AG183" s="848">
        <v>134</v>
      </c>
      <c r="AH183" s="848">
        <v>120</v>
      </c>
      <c r="AI183" s="848">
        <v>130</v>
      </c>
      <c r="AJ183" s="848">
        <v>214</v>
      </c>
      <c r="AK183" s="848">
        <v>5571.87</v>
      </c>
      <c r="AL183" s="848">
        <v>3726</v>
      </c>
      <c r="AM183" s="848">
        <v>198</v>
      </c>
      <c r="AN183" s="834"/>
      <c r="AO183" s="834"/>
      <c r="AP183" s="834"/>
      <c r="AQ183" s="834"/>
      <c r="AR183" s="834"/>
      <c r="AS183" s="834"/>
      <c r="AT183" s="834"/>
      <c r="AU183" s="834"/>
      <c r="AV183" s="54"/>
      <c r="AW183" s="1056">
        <v>42185</v>
      </c>
      <c r="AX183" s="1053">
        <v>5280</v>
      </c>
    </row>
    <row r="184" spans="1:50" ht="14.5">
      <c r="A184" s="382" t="s">
        <v>660</v>
      </c>
      <c r="B184" s="382">
        <v>3</v>
      </c>
      <c r="C184" s="382">
        <v>30</v>
      </c>
      <c r="D184" s="382">
        <v>7</v>
      </c>
      <c r="H184" s="382">
        <v>31</v>
      </c>
      <c r="I184" s="383"/>
      <c r="J184" s="379" t="s">
        <v>808</v>
      </c>
      <c r="K184" s="379" t="s">
        <v>705</v>
      </c>
      <c r="L184" s="383"/>
      <c r="M184" s="379" t="s">
        <v>695</v>
      </c>
      <c r="N184" s="383"/>
      <c r="O184" s="379" t="s">
        <v>737</v>
      </c>
      <c r="P184" s="383"/>
      <c r="Q184" s="379" t="s">
        <v>718</v>
      </c>
      <c r="R184" s="379" t="s">
        <v>827</v>
      </c>
      <c r="S184" s="383"/>
      <c r="T184" s="379" t="s">
        <v>833</v>
      </c>
      <c r="U184" s="383"/>
      <c r="AF184" s="854">
        <v>42205</v>
      </c>
      <c r="AG184" s="848">
        <v>133</v>
      </c>
      <c r="AH184" s="848">
        <v>117</v>
      </c>
      <c r="AI184" s="848">
        <v>133</v>
      </c>
      <c r="AJ184" s="848">
        <v>220</v>
      </c>
      <c r="AK184" s="848">
        <v>5570.92</v>
      </c>
      <c r="AL184" s="848">
        <v>3575</v>
      </c>
      <c r="AM184" s="848">
        <v>204</v>
      </c>
      <c r="AN184" s="834"/>
      <c r="AO184" s="834"/>
      <c r="AP184" s="834"/>
      <c r="AQ184" s="834"/>
      <c r="AR184" s="834"/>
      <c r="AS184" s="834"/>
      <c r="AT184" s="834"/>
      <c r="AU184" s="834"/>
      <c r="AV184" s="54"/>
      <c r="AW184" s="1056">
        <v>42186</v>
      </c>
      <c r="AX184" s="1053">
        <v>4913</v>
      </c>
    </row>
    <row r="185" spans="1:50" ht="14.5">
      <c r="A185" s="382" t="s">
        <v>306</v>
      </c>
      <c r="B185" s="382">
        <v>51</v>
      </c>
      <c r="C185" s="382">
        <v>1140</v>
      </c>
      <c r="D185" s="382">
        <v>142</v>
      </c>
      <c r="H185" s="382"/>
      <c r="I185" s="383"/>
      <c r="U185" s="384"/>
      <c r="AF185" s="854">
        <v>42206</v>
      </c>
      <c r="AG185" s="848">
        <v>161</v>
      </c>
      <c r="AH185" s="848">
        <v>144</v>
      </c>
      <c r="AI185" s="848">
        <v>154</v>
      </c>
      <c r="AJ185" s="848">
        <v>229</v>
      </c>
      <c r="AK185" s="848">
        <v>5569.9</v>
      </c>
      <c r="AL185" s="848">
        <v>3412</v>
      </c>
      <c r="AM185" s="848">
        <v>218</v>
      </c>
      <c r="AN185" s="834"/>
      <c r="AO185" s="834"/>
      <c r="AP185" s="834"/>
      <c r="AQ185" s="834"/>
      <c r="AR185" s="834"/>
      <c r="AS185" s="834"/>
      <c r="AT185" s="834"/>
      <c r="AU185" s="834"/>
      <c r="AV185" s="54"/>
      <c r="AW185" s="1056">
        <v>42187</v>
      </c>
      <c r="AX185" s="1053">
        <v>4656</v>
      </c>
    </row>
    <row r="186" spans="1:50" ht="14.5">
      <c r="A186" s="382" t="s">
        <v>307</v>
      </c>
      <c r="B186" s="382">
        <v>40</v>
      </c>
      <c r="C186" s="382">
        <v>39</v>
      </c>
      <c r="D186" s="382">
        <v>106</v>
      </c>
      <c r="H186" s="382" t="s">
        <v>660</v>
      </c>
      <c r="I186" s="382">
        <v>17</v>
      </c>
      <c r="J186" s="382">
        <v>31</v>
      </c>
      <c r="K186" s="382">
        <v>31</v>
      </c>
      <c r="L186" s="382">
        <v>28</v>
      </c>
      <c r="M186" s="382"/>
      <c r="N186" s="382">
        <v>30</v>
      </c>
      <c r="O186" s="382">
        <v>31</v>
      </c>
      <c r="P186" s="382">
        <v>30</v>
      </c>
      <c r="Q186" s="382">
        <v>31</v>
      </c>
      <c r="R186" s="382">
        <v>31</v>
      </c>
      <c r="S186" s="382">
        <v>30</v>
      </c>
      <c r="T186" s="382">
        <v>31</v>
      </c>
      <c r="U186" s="382">
        <v>14</v>
      </c>
      <c r="AF186" s="854">
        <v>42207</v>
      </c>
      <c r="AG186" s="848">
        <v>134</v>
      </c>
      <c r="AH186" s="848">
        <v>138</v>
      </c>
      <c r="AI186" s="848">
        <v>145</v>
      </c>
      <c r="AJ186" s="848">
        <v>227</v>
      </c>
      <c r="AK186" s="848">
        <v>5568.96</v>
      </c>
      <c r="AL186" s="848">
        <v>3270</v>
      </c>
      <c r="AM186" s="848">
        <v>213</v>
      </c>
      <c r="AN186" s="834"/>
      <c r="AO186" s="834"/>
      <c r="AP186" s="834"/>
      <c r="AQ186" s="834"/>
      <c r="AR186" s="834"/>
      <c r="AS186" s="834"/>
      <c r="AT186" s="834"/>
      <c r="AU186" s="834"/>
      <c r="AV186" s="54"/>
      <c r="AW186" s="1056">
        <v>42188</v>
      </c>
      <c r="AX186" s="1053">
        <v>4553</v>
      </c>
    </row>
    <row r="187" spans="1:50" ht="15.5">
      <c r="A187" s="1" t="s">
        <v>308</v>
      </c>
      <c r="C187" s="67">
        <f>AVERAGE(C152:C181)</f>
        <v>335.5</v>
      </c>
      <c r="H187" s="382" t="s">
        <v>306</v>
      </c>
      <c r="I187" s="382">
        <v>23</v>
      </c>
      <c r="J187" s="382">
        <v>20</v>
      </c>
      <c r="K187" s="382">
        <v>6.7</v>
      </c>
      <c r="L187" s="382">
        <v>6</v>
      </c>
      <c r="M187" s="382"/>
      <c r="N187" s="382">
        <v>30</v>
      </c>
      <c r="O187" s="382">
        <v>108</v>
      </c>
      <c r="P187" s="382">
        <v>56</v>
      </c>
      <c r="Q187" s="382">
        <v>66</v>
      </c>
      <c r="R187" s="382">
        <v>51</v>
      </c>
      <c r="S187" s="382">
        <v>1140</v>
      </c>
      <c r="T187" s="382">
        <v>142</v>
      </c>
      <c r="U187" s="382">
        <v>46</v>
      </c>
      <c r="AF187" s="854">
        <v>42208</v>
      </c>
      <c r="AG187" s="848">
        <v>110</v>
      </c>
      <c r="AH187" s="848">
        <v>112</v>
      </c>
      <c r="AI187" s="848">
        <v>124</v>
      </c>
      <c r="AJ187" s="848">
        <v>224</v>
      </c>
      <c r="AK187" s="848">
        <v>5567.66</v>
      </c>
      <c r="AL187" s="848">
        <v>3079</v>
      </c>
      <c r="AM187" s="848">
        <v>208</v>
      </c>
      <c r="AN187" s="834"/>
      <c r="AO187" s="834"/>
      <c r="AP187" s="834"/>
      <c r="AQ187" s="834"/>
      <c r="AR187" s="834"/>
      <c r="AS187" s="834"/>
      <c r="AT187" s="834"/>
      <c r="AU187" s="834"/>
      <c r="AV187" s="54"/>
      <c r="AW187" s="1056">
        <v>42189</v>
      </c>
      <c r="AX187" s="1053">
        <v>4428</v>
      </c>
    </row>
    <row r="188" spans="1:50" ht="14.5">
      <c r="H188" s="382" t="s">
        <v>307</v>
      </c>
      <c r="I188" s="382">
        <v>13</v>
      </c>
      <c r="J188" s="382">
        <v>5</v>
      </c>
      <c r="K188" s="382">
        <v>4.9000000000000004</v>
      </c>
      <c r="L188" s="382" t="s">
        <v>834</v>
      </c>
      <c r="M188" s="382"/>
      <c r="N188" s="382" t="s">
        <v>834</v>
      </c>
      <c r="O188" s="382">
        <v>22</v>
      </c>
      <c r="P188" s="382">
        <v>21</v>
      </c>
      <c r="Q188" s="382">
        <v>21</v>
      </c>
      <c r="R188" s="382">
        <v>22</v>
      </c>
      <c r="S188" s="382">
        <v>39</v>
      </c>
      <c r="T188" s="382">
        <v>47</v>
      </c>
      <c r="U188" s="382">
        <v>36</v>
      </c>
      <c r="AF188" s="854">
        <v>42209</v>
      </c>
      <c r="AG188" s="848">
        <v>106</v>
      </c>
      <c r="AH188" s="848">
        <v>106</v>
      </c>
      <c r="AI188" s="848">
        <v>115</v>
      </c>
      <c r="AJ188" s="848">
        <v>205</v>
      </c>
      <c r="AK188" s="848">
        <v>5566.17</v>
      </c>
      <c r="AL188" s="848">
        <v>2869</v>
      </c>
      <c r="AM188" s="848">
        <v>189</v>
      </c>
      <c r="AN188" s="834"/>
      <c r="AO188" s="834"/>
      <c r="AP188" s="834"/>
      <c r="AQ188" s="834"/>
      <c r="AR188" s="834"/>
      <c r="AS188" s="834"/>
      <c r="AT188" s="834"/>
      <c r="AU188" s="834"/>
      <c r="AV188" s="54"/>
      <c r="AW188" s="1056">
        <v>42190</v>
      </c>
      <c r="AX188" s="1053">
        <v>4301</v>
      </c>
    </row>
    <row r="189" spans="1:50" ht="14.5">
      <c r="AF189" s="854">
        <v>42210</v>
      </c>
      <c r="AG189" s="848">
        <v>110</v>
      </c>
      <c r="AH189" s="848">
        <v>112</v>
      </c>
      <c r="AI189" s="848">
        <v>120</v>
      </c>
      <c r="AJ189" s="848">
        <v>177</v>
      </c>
      <c r="AK189" s="848">
        <v>5565.2</v>
      </c>
      <c r="AL189" s="848">
        <v>2737</v>
      </c>
      <c r="AM189" s="848">
        <v>148</v>
      </c>
      <c r="AN189" s="834"/>
      <c r="AO189" s="834"/>
      <c r="AP189" s="834"/>
      <c r="AQ189" s="834"/>
      <c r="AR189" s="834"/>
      <c r="AS189" s="834"/>
      <c r="AT189" s="834"/>
      <c r="AU189" s="834"/>
      <c r="AV189" s="54"/>
      <c r="AW189" s="1056">
        <v>42191</v>
      </c>
      <c r="AX189" s="1053">
        <v>4210</v>
      </c>
    </row>
    <row r="190" spans="1:50" ht="14.5">
      <c r="AF190" s="854">
        <v>42211</v>
      </c>
      <c r="AG190" s="852">
        <v>98.9</v>
      </c>
      <c r="AH190" s="852">
        <v>101</v>
      </c>
      <c r="AI190" s="852">
        <v>107</v>
      </c>
      <c r="AJ190" s="852">
        <v>175</v>
      </c>
      <c r="AK190" s="852">
        <v>5564.2</v>
      </c>
      <c r="AL190" s="852">
        <v>2606</v>
      </c>
      <c r="AM190" s="852">
        <v>145</v>
      </c>
      <c r="AN190" s="834"/>
      <c r="AO190" s="834"/>
      <c r="AP190" s="834"/>
      <c r="AQ190" s="834"/>
      <c r="AR190" s="834"/>
      <c r="AS190" s="834"/>
      <c r="AT190" s="834"/>
      <c r="AU190" s="834"/>
      <c r="AV190" s="54"/>
      <c r="AW190" s="1056">
        <v>42192</v>
      </c>
      <c r="AX190" s="1053">
        <v>4170</v>
      </c>
    </row>
    <row r="191" spans="1:50" ht="14.5">
      <c r="A191" s="1">
        <v>41275</v>
      </c>
      <c r="B191">
        <v>2.4700000000000002</v>
      </c>
      <c r="AF191" s="854">
        <v>42212</v>
      </c>
      <c r="AG191" s="848">
        <v>93.6</v>
      </c>
      <c r="AH191" s="848">
        <v>95.1</v>
      </c>
      <c r="AI191" s="848">
        <v>106</v>
      </c>
      <c r="AJ191" s="848">
        <v>174</v>
      </c>
      <c r="AK191" s="848">
        <v>5563.07</v>
      </c>
      <c r="AL191" s="848">
        <v>2465</v>
      </c>
      <c r="AM191" s="848">
        <v>142</v>
      </c>
      <c r="AN191" s="834"/>
      <c r="AO191" s="834"/>
      <c r="AW191" s="1056">
        <v>42193</v>
      </c>
      <c r="AX191" s="1053">
        <v>4183</v>
      </c>
    </row>
    <row r="192" spans="1:50" ht="14.5">
      <c r="A192" s="1" t="s">
        <v>688</v>
      </c>
      <c r="B192" s="75">
        <v>41276</v>
      </c>
      <c r="C192">
        <v>2.7</v>
      </c>
      <c r="F192" s="421"/>
      <c r="AF192" s="854">
        <v>42213</v>
      </c>
      <c r="AG192" s="848">
        <v>86.5</v>
      </c>
      <c r="AH192" s="848">
        <v>76.599999999999994</v>
      </c>
      <c r="AI192" s="848">
        <v>93.1</v>
      </c>
      <c r="AJ192" s="848">
        <v>172</v>
      </c>
      <c r="AK192" s="848">
        <v>5561.75</v>
      </c>
      <c r="AL192" s="848">
        <v>2304</v>
      </c>
      <c r="AM192" s="848">
        <v>138</v>
      </c>
      <c r="AN192" s="834"/>
      <c r="AO192" s="834"/>
      <c r="AW192" s="1056">
        <v>42194</v>
      </c>
      <c r="AX192" s="1053">
        <v>4317</v>
      </c>
    </row>
    <row r="193" spans="1:50" ht="14.5">
      <c r="A193" s="1" t="s">
        <v>688</v>
      </c>
      <c r="B193" s="75">
        <v>41277</v>
      </c>
      <c r="C193">
        <v>2.97</v>
      </c>
      <c r="F193" s="421"/>
      <c r="AF193" s="854">
        <v>42214</v>
      </c>
      <c r="AG193" s="848">
        <v>78.7</v>
      </c>
      <c r="AH193" s="848">
        <v>76.599999999999994</v>
      </c>
      <c r="AI193" s="848">
        <v>89.4</v>
      </c>
      <c r="AJ193" s="848">
        <v>173</v>
      </c>
      <c r="AK193" s="848">
        <v>5560.2</v>
      </c>
      <c r="AL193" s="848">
        <v>2125</v>
      </c>
      <c r="AM193" s="848">
        <v>142</v>
      </c>
      <c r="AN193" s="834"/>
      <c r="AO193" s="834"/>
      <c r="AW193" s="1056">
        <v>42195</v>
      </c>
      <c r="AX193" s="1053">
        <v>4392</v>
      </c>
    </row>
    <row r="194" spans="1:50" ht="14.5">
      <c r="A194" s="1" t="s">
        <v>688</v>
      </c>
      <c r="B194" s="75">
        <v>41278</v>
      </c>
      <c r="C194">
        <v>3</v>
      </c>
      <c r="F194" s="421"/>
      <c r="AF194" s="854">
        <v>42215</v>
      </c>
      <c r="AG194" s="848">
        <v>84.3</v>
      </c>
      <c r="AH194" s="848">
        <v>81.3</v>
      </c>
      <c r="AI194" s="848">
        <v>91.3</v>
      </c>
      <c r="AJ194" s="848">
        <v>104</v>
      </c>
      <c r="AK194" s="848">
        <v>5559.19</v>
      </c>
      <c r="AL194" s="848">
        <v>2012</v>
      </c>
      <c r="AM194" s="848">
        <v>70.8</v>
      </c>
      <c r="AN194" s="834"/>
      <c r="AO194" s="834"/>
      <c r="AW194" s="1056">
        <v>42196</v>
      </c>
      <c r="AX194" s="1053">
        <v>4409</v>
      </c>
    </row>
    <row r="195" spans="1:50" ht="14.5">
      <c r="A195" s="1" t="s">
        <v>688</v>
      </c>
      <c r="B195" s="75">
        <v>41279</v>
      </c>
      <c r="C195">
        <v>3</v>
      </c>
      <c r="AF195" s="854">
        <v>42216</v>
      </c>
      <c r="AG195" s="848">
        <v>78.7</v>
      </c>
      <c r="AH195" s="848">
        <v>73.7</v>
      </c>
      <c r="AI195" s="848">
        <v>85.1</v>
      </c>
      <c r="AJ195" s="848">
        <v>90.2</v>
      </c>
      <c r="AK195" s="848">
        <v>5559.07</v>
      </c>
      <c r="AL195" s="848">
        <v>1999</v>
      </c>
      <c r="AM195" s="848">
        <v>63.8</v>
      </c>
      <c r="AN195" s="834"/>
      <c r="AO195" s="834"/>
      <c r="AW195" s="1056">
        <v>42197</v>
      </c>
      <c r="AX195" s="1053">
        <v>4361</v>
      </c>
    </row>
    <row r="196" spans="1:50" ht="14.5">
      <c r="A196" s="1" t="s">
        <v>688</v>
      </c>
      <c r="B196" s="75">
        <v>41280</v>
      </c>
      <c r="C196">
        <v>3.21</v>
      </c>
      <c r="AF196" s="854">
        <v>42217</v>
      </c>
      <c r="AG196" s="848">
        <v>76.8</v>
      </c>
      <c r="AH196" s="848">
        <v>79.8</v>
      </c>
      <c r="AI196" s="848">
        <v>89.3</v>
      </c>
      <c r="AJ196" s="848">
        <v>90.5</v>
      </c>
      <c r="AK196" s="848">
        <v>5559.07</v>
      </c>
      <c r="AL196" s="848">
        <v>1999</v>
      </c>
      <c r="AM196" s="848">
        <v>92</v>
      </c>
      <c r="AN196" s="834"/>
      <c r="AO196" s="834"/>
      <c r="AW196" s="1056">
        <v>42198</v>
      </c>
      <c r="AX196" s="1053">
        <v>4285</v>
      </c>
    </row>
    <row r="197" spans="1:50" ht="14.5">
      <c r="A197" s="1" t="s">
        <v>688</v>
      </c>
      <c r="B197" s="75">
        <v>41281</v>
      </c>
      <c r="C197">
        <v>3.51</v>
      </c>
      <c r="AF197" s="854">
        <v>42218</v>
      </c>
      <c r="AG197" s="848">
        <v>71.400000000000006</v>
      </c>
      <c r="AH197" s="848">
        <v>71.2</v>
      </c>
      <c r="AI197" s="848">
        <v>79.400000000000006</v>
      </c>
      <c r="AJ197" s="848">
        <v>85.6</v>
      </c>
      <c r="AK197" s="848">
        <v>5559</v>
      </c>
      <c r="AL197" s="848">
        <v>1992</v>
      </c>
      <c r="AM197" s="848">
        <v>83.7</v>
      </c>
      <c r="AN197" s="834"/>
      <c r="AO197" s="834"/>
      <c r="AW197" s="1056">
        <v>42199</v>
      </c>
      <c r="AX197" s="1053">
        <v>4272</v>
      </c>
    </row>
    <row r="198" spans="1:50" ht="14.5">
      <c r="A198" s="1" t="s">
        <v>688</v>
      </c>
      <c r="B198" s="75">
        <v>41282</v>
      </c>
      <c r="C198">
        <v>3.59</v>
      </c>
      <c r="AF198" s="854">
        <v>42219</v>
      </c>
      <c r="AG198" s="848">
        <v>69.599999999999994</v>
      </c>
      <c r="AH198" s="848">
        <v>73</v>
      </c>
      <c r="AI198" s="848">
        <v>82.1</v>
      </c>
      <c r="AJ198" s="848">
        <v>85.5</v>
      </c>
      <c r="AK198" s="848">
        <v>5559</v>
      </c>
      <c r="AL198" s="848">
        <v>1992</v>
      </c>
      <c r="AM198" s="848">
        <v>84.6</v>
      </c>
      <c r="AN198" s="834"/>
      <c r="AO198" s="834"/>
      <c r="AW198" s="1056">
        <v>42200</v>
      </c>
      <c r="AX198" s="1053">
        <v>4212</v>
      </c>
    </row>
    <row r="199" spans="1:50" ht="14.5">
      <c r="A199" s="1" t="s">
        <v>688</v>
      </c>
      <c r="B199" s="75">
        <v>41283</v>
      </c>
      <c r="C199">
        <v>3.6</v>
      </c>
      <c r="AF199" s="854">
        <v>42220</v>
      </c>
      <c r="AG199" s="848">
        <v>65</v>
      </c>
      <c r="AH199" s="848">
        <v>63.3</v>
      </c>
      <c r="AI199" s="848">
        <v>75.8</v>
      </c>
      <c r="AJ199" s="848">
        <v>80</v>
      </c>
      <c r="AK199" s="848">
        <v>5558.96</v>
      </c>
      <c r="AL199" s="848">
        <v>1987</v>
      </c>
      <c r="AM199" s="848">
        <v>79.400000000000006</v>
      </c>
      <c r="AN199" s="834"/>
      <c r="AO199" s="834"/>
      <c r="AW199" s="1056">
        <v>42201</v>
      </c>
      <c r="AX199" s="1053">
        <v>4136</v>
      </c>
    </row>
    <row r="200" spans="1:50" ht="14.5">
      <c r="A200" s="1" t="s">
        <v>688</v>
      </c>
      <c r="B200" s="75">
        <v>41284</v>
      </c>
      <c r="C200">
        <v>3.6</v>
      </c>
      <c r="AF200" s="854">
        <v>42221</v>
      </c>
      <c r="AG200" s="848">
        <v>60.4</v>
      </c>
      <c r="AH200" s="848">
        <v>56.7</v>
      </c>
      <c r="AI200" s="848">
        <v>71.2</v>
      </c>
      <c r="AJ200" s="848">
        <v>69.3</v>
      </c>
      <c r="AK200" s="848">
        <v>5558.89</v>
      </c>
      <c r="AL200" s="848">
        <v>1979</v>
      </c>
      <c r="AM200" s="848">
        <v>68.3</v>
      </c>
      <c r="AN200" s="834"/>
      <c r="AO200" s="834"/>
      <c r="AW200" s="1056">
        <v>42202</v>
      </c>
      <c r="AX200" s="1053">
        <v>4021</v>
      </c>
    </row>
    <row r="201" spans="1:50" ht="14.5">
      <c r="A201" s="1" t="s">
        <v>688</v>
      </c>
      <c r="B201" s="75">
        <v>41285</v>
      </c>
      <c r="C201">
        <v>3.61</v>
      </c>
      <c r="AF201" s="854">
        <v>42222</v>
      </c>
      <c r="AG201" s="848">
        <v>56.9</v>
      </c>
      <c r="AH201" s="848">
        <v>52.6</v>
      </c>
      <c r="AI201" s="848">
        <v>67.8</v>
      </c>
      <c r="AJ201" s="848">
        <v>61.1</v>
      </c>
      <c r="AK201" s="848">
        <v>5558.84</v>
      </c>
      <c r="AL201" s="848">
        <v>1974</v>
      </c>
      <c r="AM201" s="848">
        <v>62.4</v>
      </c>
      <c r="AN201" s="834"/>
      <c r="AO201" s="834"/>
      <c r="AW201" s="1056">
        <v>42203</v>
      </c>
      <c r="AX201" s="1053">
        <v>3877</v>
      </c>
    </row>
    <row r="202" spans="1:50" ht="14.5">
      <c r="A202" s="1" t="s">
        <v>688</v>
      </c>
      <c r="B202" s="75">
        <v>41286</v>
      </c>
      <c r="C202">
        <v>4.17</v>
      </c>
      <c r="AF202" s="854">
        <v>42223</v>
      </c>
      <c r="AG202" s="848">
        <v>54.2</v>
      </c>
      <c r="AH202" s="848">
        <v>42.7</v>
      </c>
      <c r="AI202" s="848">
        <v>66.5</v>
      </c>
      <c r="AJ202" s="848">
        <v>54.6</v>
      </c>
      <c r="AK202" s="848">
        <v>5558.8</v>
      </c>
      <c r="AL202" s="848">
        <v>1970</v>
      </c>
      <c r="AM202" s="848">
        <v>57.5</v>
      </c>
      <c r="AN202" s="834"/>
      <c r="AO202" s="834"/>
      <c r="AW202" s="1056">
        <v>42204</v>
      </c>
      <c r="AX202" s="1053">
        <v>3726</v>
      </c>
    </row>
    <row r="203" spans="1:50" ht="14.5">
      <c r="A203" s="1" t="s">
        <v>688</v>
      </c>
      <c r="B203" s="75">
        <v>41287</v>
      </c>
      <c r="C203">
        <v>4.8600000000000003</v>
      </c>
      <c r="AF203" s="854">
        <v>42224</v>
      </c>
      <c r="AG203" s="848">
        <v>53.4</v>
      </c>
      <c r="AH203" s="848">
        <v>38</v>
      </c>
      <c r="AI203" s="848">
        <v>64.099999999999994</v>
      </c>
      <c r="AJ203" s="848">
        <v>48.3</v>
      </c>
      <c r="AK203" s="848">
        <v>5558.76</v>
      </c>
      <c r="AL203" s="848">
        <v>1965</v>
      </c>
      <c r="AM203" s="848">
        <v>52.8</v>
      </c>
      <c r="AN203" s="834"/>
      <c r="AO203" s="834"/>
      <c r="AW203" s="1056">
        <v>42205</v>
      </c>
      <c r="AX203" s="1053">
        <v>3575</v>
      </c>
    </row>
    <row r="204" spans="1:50" ht="14.5">
      <c r="A204" s="1" t="s">
        <v>688</v>
      </c>
      <c r="B204" s="75">
        <v>41288</v>
      </c>
      <c r="C204">
        <v>5.13</v>
      </c>
      <c r="AF204" s="854">
        <v>42225</v>
      </c>
      <c r="AG204" s="848">
        <v>51.8</v>
      </c>
      <c r="AH204" s="848">
        <v>38.4</v>
      </c>
      <c r="AI204" s="848">
        <v>64.2</v>
      </c>
      <c r="AJ204" s="848">
        <v>47.3</v>
      </c>
      <c r="AK204" s="848">
        <v>5558.76</v>
      </c>
      <c r="AL204" s="848">
        <v>1965</v>
      </c>
      <c r="AM204" s="848">
        <v>54.8</v>
      </c>
      <c r="AN204" s="834"/>
      <c r="AO204" s="834"/>
      <c r="AW204" s="1056">
        <v>42206</v>
      </c>
      <c r="AX204" s="1053">
        <v>3412</v>
      </c>
    </row>
    <row r="205" spans="1:50" ht="14.5">
      <c r="A205" s="1" t="s">
        <v>688</v>
      </c>
      <c r="B205" s="75">
        <v>41289</v>
      </c>
      <c r="C205">
        <v>5.46</v>
      </c>
      <c r="AF205" s="854">
        <v>42226</v>
      </c>
      <c r="AG205" s="848">
        <v>55.7</v>
      </c>
      <c r="AH205" s="848">
        <v>39.799999999999997</v>
      </c>
      <c r="AI205" s="848">
        <v>65.2</v>
      </c>
      <c r="AJ205" s="848">
        <v>44.3</v>
      </c>
      <c r="AK205" s="848">
        <v>5558.75</v>
      </c>
      <c r="AL205" s="848">
        <v>1964</v>
      </c>
      <c r="AM205" s="848">
        <v>52.2</v>
      </c>
      <c r="AN205" s="834"/>
      <c r="AO205" s="834"/>
      <c r="AW205" s="1056">
        <v>42207</v>
      </c>
      <c r="AX205" s="1053">
        <v>3270</v>
      </c>
    </row>
    <row r="206" spans="1:50" ht="14.5">
      <c r="A206" s="1" t="s">
        <v>688</v>
      </c>
      <c r="B206" s="75">
        <v>41290</v>
      </c>
      <c r="C206">
        <v>7.77</v>
      </c>
      <c r="AF206" s="854">
        <v>42227</v>
      </c>
      <c r="AG206" s="848">
        <v>57.7</v>
      </c>
      <c r="AH206" s="848">
        <v>47</v>
      </c>
      <c r="AI206" s="848">
        <v>72.8</v>
      </c>
      <c r="AJ206" s="848">
        <v>61.5</v>
      </c>
      <c r="AK206" s="848">
        <v>5558.89</v>
      </c>
      <c r="AL206" s="848">
        <v>1979</v>
      </c>
      <c r="AM206" s="848">
        <v>71.900000000000006</v>
      </c>
      <c r="AN206" s="834"/>
      <c r="AO206" s="834"/>
      <c r="AW206" s="1056">
        <v>42208</v>
      </c>
      <c r="AX206" s="1053">
        <v>3079</v>
      </c>
    </row>
    <row r="207" spans="1:50" ht="14.5">
      <c r="A207" s="1" t="s">
        <v>688</v>
      </c>
      <c r="B207" s="75">
        <v>41291</v>
      </c>
      <c r="C207">
        <v>11.6</v>
      </c>
      <c r="AF207" s="854">
        <v>42228</v>
      </c>
      <c r="AG207" s="848">
        <v>53.6</v>
      </c>
      <c r="AH207" s="848">
        <v>41.9</v>
      </c>
      <c r="AI207" s="848">
        <v>69.2</v>
      </c>
      <c r="AJ207" s="848">
        <v>55</v>
      </c>
      <c r="AK207" s="848">
        <v>5558.84</v>
      </c>
      <c r="AL207" s="848">
        <v>1974</v>
      </c>
      <c r="AM207" s="848">
        <v>66.900000000000006</v>
      </c>
      <c r="AN207" s="834"/>
      <c r="AO207" s="834"/>
      <c r="AW207" s="1056">
        <v>42209</v>
      </c>
      <c r="AX207" s="1053">
        <v>2869</v>
      </c>
    </row>
    <row r="208" spans="1:50" ht="14.5">
      <c r="A208" s="1" t="s">
        <v>688</v>
      </c>
      <c r="B208" s="75">
        <v>41292</v>
      </c>
      <c r="C208">
        <v>18.7</v>
      </c>
      <c r="AF208" s="854">
        <v>42229</v>
      </c>
      <c r="AG208" s="848">
        <v>51.8</v>
      </c>
      <c r="AH208" s="848">
        <v>41.1</v>
      </c>
      <c r="AI208" s="848">
        <v>63.2</v>
      </c>
      <c r="AJ208" s="848">
        <v>48.6</v>
      </c>
      <c r="AK208" s="848">
        <v>5558.8</v>
      </c>
      <c r="AL208" s="848">
        <v>1969</v>
      </c>
      <c r="AM208" s="848">
        <v>60.2</v>
      </c>
      <c r="AN208" s="834"/>
      <c r="AO208" s="834"/>
      <c r="AW208" s="1056">
        <v>42210</v>
      </c>
      <c r="AX208" s="1053">
        <v>2737</v>
      </c>
    </row>
    <row r="209" spans="1:50" ht="14.5">
      <c r="A209" s="1" t="s">
        <v>688</v>
      </c>
      <c r="B209" s="75">
        <v>41293</v>
      </c>
      <c r="C209">
        <v>31.8</v>
      </c>
      <c r="AF209" s="854">
        <v>42230</v>
      </c>
      <c r="AG209" s="848">
        <v>53.2</v>
      </c>
      <c r="AH209" s="848">
        <v>47.8</v>
      </c>
      <c r="AI209" s="848">
        <v>70.599999999999994</v>
      </c>
      <c r="AJ209" s="848">
        <v>67.099999999999994</v>
      </c>
      <c r="AK209" s="848">
        <v>5558.93</v>
      </c>
      <c r="AL209" s="848">
        <v>1984</v>
      </c>
      <c r="AM209" s="848">
        <v>78.5</v>
      </c>
      <c r="AN209" s="834"/>
      <c r="AO209" s="834"/>
      <c r="AW209" s="1056">
        <v>42211</v>
      </c>
      <c r="AX209" s="1053">
        <v>2606</v>
      </c>
    </row>
    <row r="210" spans="1:50" ht="14.5">
      <c r="A210" s="1" t="s">
        <v>688</v>
      </c>
      <c r="B210" s="75">
        <v>41294</v>
      </c>
      <c r="C210">
        <v>59.7</v>
      </c>
      <c r="AF210" s="854">
        <v>42231</v>
      </c>
      <c r="AG210" s="848">
        <v>52</v>
      </c>
      <c r="AH210" s="848">
        <v>40.200000000000003</v>
      </c>
      <c r="AI210" s="848">
        <v>61.3</v>
      </c>
      <c r="AJ210" s="848">
        <v>52.6</v>
      </c>
      <c r="AK210" s="848">
        <v>5558.84</v>
      </c>
      <c r="AL210" s="848">
        <v>1974</v>
      </c>
      <c r="AM210" s="848">
        <v>66.5</v>
      </c>
      <c r="AN210" s="834"/>
      <c r="AO210" s="834"/>
      <c r="AW210" s="1056">
        <v>42212</v>
      </c>
      <c r="AX210" s="1053">
        <v>2465</v>
      </c>
    </row>
    <row r="211" spans="1:50" ht="14.5">
      <c r="A211" s="1" t="s">
        <v>688</v>
      </c>
      <c r="B211" s="75">
        <v>41295</v>
      </c>
      <c r="C211">
        <v>86.6</v>
      </c>
      <c r="AF211" s="854">
        <v>42232</v>
      </c>
      <c r="AG211" s="848">
        <v>55.5</v>
      </c>
      <c r="AH211" s="848">
        <v>50.2</v>
      </c>
      <c r="AI211" s="848">
        <v>67.900000000000006</v>
      </c>
      <c r="AJ211" s="848">
        <v>78.400000000000006</v>
      </c>
      <c r="AK211" s="848">
        <v>5559.01</v>
      </c>
      <c r="AL211" s="848">
        <v>1993</v>
      </c>
      <c r="AM211" s="848">
        <v>104</v>
      </c>
      <c r="AN211" s="834"/>
      <c r="AO211" s="834"/>
      <c r="AW211" s="1056">
        <v>42213</v>
      </c>
      <c r="AX211" s="1053">
        <v>2304</v>
      </c>
    </row>
    <row r="212" spans="1:50" ht="14.5">
      <c r="A212" s="1" t="s">
        <v>688</v>
      </c>
      <c r="B212" s="75">
        <v>41296</v>
      </c>
      <c r="AF212" s="854">
        <v>42233</v>
      </c>
      <c r="AG212" s="848">
        <v>62.6</v>
      </c>
      <c r="AH212" s="848">
        <v>60.7</v>
      </c>
      <c r="AI212" s="848">
        <v>75</v>
      </c>
      <c r="AJ212" s="848">
        <v>78.8</v>
      </c>
      <c r="AK212" s="848">
        <v>5559.01</v>
      </c>
      <c r="AL212" s="848">
        <v>1993</v>
      </c>
      <c r="AM212" s="848">
        <v>103</v>
      </c>
      <c r="AN212" s="834"/>
      <c r="AO212" s="834"/>
      <c r="AW212" s="1056">
        <v>42214</v>
      </c>
      <c r="AX212" s="1053">
        <v>2125</v>
      </c>
    </row>
    <row r="213" spans="1:50" ht="14.5">
      <c r="A213" s="1" t="s">
        <v>688</v>
      </c>
      <c r="B213" s="75">
        <v>41297</v>
      </c>
      <c r="AF213" s="854">
        <v>42234</v>
      </c>
      <c r="AG213" s="848">
        <v>49.1</v>
      </c>
      <c r="AH213" s="848">
        <v>45.7</v>
      </c>
      <c r="AI213" s="848">
        <v>66.400000000000006</v>
      </c>
      <c r="AJ213" s="848">
        <v>70.400000000000006</v>
      </c>
      <c r="AK213" s="848">
        <v>5558.96</v>
      </c>
      <c r="AL213" s="848">
        <v>1987</v>
      </c>
      <c r="AM213" s="848">
        <v>93.9</v>
      </c>
      <c r="AN213" s="834"/>
      <c r="AO213" s="834"/>
      <c r="AW213" s="1056">
        <v>42215</v>
      </c>
      <c r="AX213" s="1053">
        <v>2012</v>
      </c>
    </row>
    <row r="214" spans="1:50" ht="14.5">
      <c r="A214" s="1" t="s">
        <v>688</v>
      </c>
      <c r="B214" s="75">
        <v>41298</v>
      </c>
      <c r="C214">
        <v>2.08</v>
      </c>
      <c r="AF214" s="854">
        <v>42235</v>
      </c>
      <c r="AG214" s="848">
        <v>45.6</v>
      </c>
      <c r="AH214" s="848">
        <v>38.4</v>
      </c>
      <c r="AI214" s="848">
        <v>59</v>
      </c>
      <c r="AJ214" s="848">
        <v>52.9</v>
      </c>
      <c r="AK214" s="848">
        <v>5558.84</v>
      </c>
      <c r="AL214" s="848">
        <v>1974</v>
      </c>
      <c r="AM214" s="848">
        <v>75.900000000000006</v>
      </c>
      <c r="AN214" s="834"/>
      <c r="AO214" s="834"/>
      <c r="AW214" s="1056">
        <v>42216</v>
      </c>
      <c r="AX214" s="1053">
        <v>1999</v>
      </c>
    </row>
    <row r="215" spans="1:50" ht="14.5">
      <c r="A215" s="1" t="s">
        <v>688</v>
      </c>
      <c r="B215" s="75">
        <v>41299</v>
      </c>
      <c r="C215">
        <v>3.08</v>
      </c>
      <c r="AF215" s="854">
        <v>42236</v>
      </c>
      <c r="AG215" s="848">
        <v>43.4</v>
      </c>
      <c r="AH215" s="848">
        <v>36.799999999999997</v>
      </c>
      <c r="AI215" s="848">
        <v>57.9</v>
      </c>
      <c r="AJ215" s="848">
        <v>45.7</v>
      </c>
      <c r="AK215" s="848">
        <v>5558.81</v>
      </c>
      <c r="AL215" s="848">
        <v>1971</v>
      </c>
      <c r="AM215" s="848">
        <v>63.1</v>
      </c>
      <c r="AN215" s="834"/>
      <c r="AO215" s="834"/>
      <c r="AW215" s="1056">
        <v>42217</v>
      </c>
      <c r="AX215" s="1053">
        <v>1999</v>
      </c>
    </row>
    <row r="216" spans="1:50" ht="14.5">
      <c r="A216" s="1" t="s">
        <v>688</v>
      </c>
      <c r="B216" s="75">
        <v>41300</v>
      </c>
      <c r="C216">
        <v>4.12</v>
      </c>
      <c r="AF216" s="854">
        <v>42237</v>
      </c>
      <c r="AG216" s="848">
        <v>39.4</v>
      </c>
      <c r="AH216" s="848">
        <v>29.9</v>
      </c>
      <c r="AI216" s="848">
        <v>54.3</v>
      </c>
      <c r="AJ216" s="848">
        <v>41.3</v>
      </c>
      <c r="AK216" s="848">
        <v>5558.74</v>
      </c>
      <c r="AL216" s="848">
        <v>1964</v>
      </c>
      <c r="AM216" s="848">
        <v>55.2</v>
      </c>
      <c r="AN216" s="834"/>
      <c r="AO216" s="834"/>
      <c r="AW216" s="1056">
        <v>42218</v>
      </c>
      <c r="AX216" s="1053">
        <v>1992</v>
      </c>
    </row>
    <row r="217" spans="1:50" ht="14.5">
      <c r="A217" s="1" t="s">
        <v>688</v>
      </c>
      <c r="B217" s="75">
        <v>41301</v>
      </c>
      <c r="C217">
        <v>4.79</v>
      </c>
      <c r="AF217" s="854">
        <v>42238</v>
      </c>
      <c r="AG217" s="848">
        <v>37</v>
      </c>
      <c r="AH217" s="848">
        <v>26</v>
      </c>
      <c r="AI217" s="848">
        <v>53</v>
      </c>
      <c r="AJ217" s="848">
        <v>33.299999999999997</v>
      </c>
      <c r="AK217" s="848">
        <v>5558.68</v>
      </c>
      <c r="AL217" s="848">
        <v>1956</v>
      </c>
      <c r="AM217" s="848">
        <v>45.3</v>
      </c>
      <c r="AN217" s="834"/>
      <c r="AO217" s="834"/>
      <c r="AW217" s="1056">
        <v>42219</v>
      </c>
      <c r="AX217" s="1053">
        <v>1992</v>
      </c>
    </row>
    <row r="218" spans="1:50" ht="14.5">
      <c r="A218" s="1" t="s">
        <v>688</v>
      </c>
      <c r="B218" s="75">
        <v>41302</v>
      </c>
      <c r="C218">
        <v>5.33</v>
      </c>
      <c r="AF218" s="854">
        <v>42239</v>
      </c>
      <c r="AG218" s="852">
        <v>36.6</v>
      </c>
      <c r="AH218" s="852">
        <v>25.3</v>
      </c>
      <c r="AI218" s="852">
        <v>50.7</v>
      </c>
      <c r="AJ218" s="852">
        <v>29.9</v>
      </c>
      <c r="AK218" s="852">
        <v>5558.64</v>
      </c>
      <c r="AL218" s="852">
        <v>1952</v>
      </c>
      <c r="AM218" s="852">
        <v>43.3</v>
      </c>
      <c r="AN218" s="834"/>
      <c r="AO218" s="834"/>
      <c r="AW218" s="1056">
        <v>42220</v>
      </c>
      <c r="AX218" s="1053">
        <v>1987</v>
      </c>
    </row>
    <row r="219" spans="1:50" ht="14.5">
      <c r="A219" s="1" t="s">
        <v>688</v>
      </c>
      <c r="B219" s="75">
        <v>41303</v>
      </c>
      <c r="C219">
        <v>5.57</v>
      </c>
      <c r="AF219" s="854">
        <v>42240</v>
      </c>
      <c r="AG219" s="848">
        <v>35.799999999999997</v>
      </c>
      <c r="AH219" s="848">
        <v>21.9</v>
      </c>
      <c r="AI219" s="848">
        <v>49.5</v>
      </c>
      <c r="AJ219" s="848">
        <v>28</v>
      </c>
      <c r="AK219" s="848">
        <v>5558.63</v>
      </c>
      <c r="AL219" s="848">
        <v>1951</v>
      </c>
      <c r="AM219" s="848">
        <v>41.3</v>
      </c>
      <c r="AW219" s="1056">
        <v>42221</v>
      </c>
      <c r="AX219" s="1053">
        <v>1979</v>
      </c>
    </row>
    <row r="220" spans="1:50" ht="14.5">
      <c r="A220" s="1" t="s">
        <v>688</v>
      </c>
      <c r="B220" s="75">
        <v>41304</v>
      </c>
      <c r="C220">
        <v>5.87</v>
      </c>
      <c r="AF220" s="854">
        <v>42241</v>
      </c>
      <c r="AG220" s="848">
        <v>33.9</v>
      </c>
      <c r="AH220" s="848">
        <v>19.600000000000001</v>
      </c>
      <c r="AI220" s="848">
        <v>47.9</v>
      </c>
      <c r="AJ220" s="848">
        <v>23.6</v>
      </c>
      <c r="AK220" s="848">
        <v>5558.58</v>
      </c>
      <c r="AL220" s="848">
        <v>1945</v>
      </c>
      <c r="AM220" s="848">
        <v>35.9</v>
      </c>
      <c r="AW220" s="1056">
        <v>42222</v>
      </c>
      <c r="AX220" s="1053">
        <v>1974</v>
      </c>
    </row>
    <row r="221" spans="1:50" ht="14.5">
      <c r="A221" s="1" t="s">
        <v>688</v>
      </c>
      <c r="B221" s="75">
        <v>41305</v>
      </c>
      <c r="C221">
        <v>7.24</v>
      </c>
      <c r="AF221" s="854">
        <v>42242</v>
      </c>
      <c r="AG221" s="848">
        <v>32.9</v>
      </c>
      <c r="AH221" s="848">
        <v>17.899999999999999</v>
      </c>
      <c r="AI221" s="848">
        <v>45.6</v>
      </c>
      <c r="AJ221" s="848">
        <v>21.4</v>
      </c>
      <c r="AK221" s="848">
        <v>5558.55</v>
      </c>
      <c r="AL221" s="848">
        <v>1942</v>
      </c>
      <c r="AM221" s="848">
        <v>29.9</v>
      </c>
      <c r="AW221" s="1056">
        <v>42223</v>
      </c>
      <c r="AX221" s="1053">
        <v>1970</v>
      </c>
    </row>
    <row r="222" spans="1:50" ht="14.5">
      <c r="A222" s="1" t="s">
        <v>688</v>
      </c>
      <c r="B222" s="75">
        <v>41306</v>
      </c>
      <c r="C222">
        <v>9.75</v>
      </c>
      <c r="D222">
        <f>AVERAGE(C222:C249)</f>
        <v>61.264499999999998</v>
      </c>
      <c r="AF222" s="854">
        <v>42243</v>
      </c>
      <c r="AG222" s="848">
        <v>31.2</v>
      </c>
      <c r="AH222" s="848">
        <v>17</v>
      </c>
      <c r="AI222" s="848">
        <v>44.1</v>
      </c>
      <c r="AJ222" s="848">
        <v>20.9</v>
      </c>
      <c r="AK222" s="848">
        <v>5558.54</v>
      </c>
      <c r="AL222" s="848">
        <v>1941</v>
      </c>
      <c r="AM222" s="848">
        <v>28.9</v>
      </c>
      <c r="AW222" s="1056">
        <v>42224</v>
      </c>
      <c r="AX222" s="1053">
        <v>1965</v>
      </c>
    </row>
    <row r="223" spans="1:50" ht="14.5">
      <c r="A223" s="1" t="s">
        <v>688</v>
      </c>
      <c r="B223" s="75">
        <v>41307</v>
      </c>
      <c r="C223">
        <v>11.3</v>
      </c>
      <c r="AF223" s="854">
        <v>42244</v>
      </c>
      <c r="AG223" s="848">
        <v>30.9</v>
      </c>
      <c r="AH223" s="848">
        <v>17.899999999999999</v>
      </c>
      <c r="AI223" s="848">
        <v>43.9</v>
      </c>
      <c r="AJ223" s="848">
        <v>19.5</v>
      </c>
      <c r="AK223" s="848">
        <v>5558.53</v>
      </c>
      <c r="AL223" s="848">
        <v>1940</v>
      </c>
      <c r="AM223" s="848">
        <v>28.5</v>
      </c>
      <c r="AW223" s="1056">
        <v>42225</v>
      </c>
      <c r="AX223" s="1053">
        <v>1965</v>
      </c>
    </row>
    <row r="224" spans="1:50" ht="14.5">
      <c r="A224" s="1" t="s">
        <v>688</v>
      </c>
      <c r="B224" s="75">
        <v>41308</v>
      </c>
      <c r="C224">
        <v>14</v>
      </c>
      <c r="AF224" s="854">
        <v>42245</v>
      </c>
      <c r="AG224" s="848">
        <v>30.3</v>
      </c>
      <c r="AH224" s="848">
        <v>15.2</v>
      </c>
      <c r="AI224" s="848">
        <v>38.4</v>
      </c>
      <c r="AJ224" s="848">
        <v>18.399999999999999</v>
      </c>
      <c r="AK224" s="848">
        <v>5558.52</v>
      </c>
      <c r="AL224" s="848">
        <v>1939</v>
      </c>
      <c r="AM224" s="848">
        <v>28.2</v>
      </c>
      <c r="AW224" s="1056">
        <v>42226</v>
      </c>
      <c r="AX224" s="1053">
        <v>1964</v>
      </c>
    </row>
    <row r="225" spans="1:50" ht="14.5">
      <c r="A225" s="1" t="s">
        <v>688</v>
      </c>
      <c r="B225" s="75">
        <v>41309</v>
      </c>
      <c r="C225">
        <v>18.600000000000001</v>
      </c>
      <c r="AF225" s="854">
        <v>42246</v>
      </c>
      <c r="AG225" s="848">
        <v>28.8</v>
      </c>
      <c r="AH225" s="848">
        <v>15.3</v>
      </c>
      <c r="AI225" s="848">
        <v>38.1</v>
      </c>
      <c r="AJ225" s="848">
        <v>17.5</v>
      </c>
      <c r="AK225" s="848">
        <v>5558.5</v>
      </c>
      <c r="AL225" s="848">
        <v>1937</v>
      </c>
      <c r="AM225" s="848">
        <v>28</v>
      </c>
      <c r="AW225" s="1056">
        <v>42227</v>
      </c>
      <c r="AX225" s="1053">
        <v>1979</v>
      </c>
    </row>
    <row r="226" spans="1:50" ht="14.5">
      <c r="A226" s="1" t="s">
        <v>688</v>
      </c>
      <c r="B226" s="75">
        <v>41310</v>
      </c>
      <c r="C226">
        <v>23.9</v>
      </c>
      <c r="AF226" s="854">
        <v>42247</v>
      </c>
      <c r="AG226" s="848">
        <v>28.6</v>
      </c>
      <c r="AH226" s="848">
        <v>12.3</v>
      </c>
      <c r="AI226" s="848">
        <v>38.1</v>
      </c>
      <c r="AJ226" s="848">
        <v>15.1</v>
      </c>
      <c r="AK226" s="848">
        <v>5558.47</v>
      </c>
      <c r="AL226" s="848">
        <v>1934</v>
      </c>
      <c r="AM226" s="848">
        <v>24.6</v>
      </c>
      <c r="AW226" s="1056">
        <v>42228</v>
      </c>
      <c r="AX226" s="1053">
        <v>1974</v>
      </c>
    </row>
    <row r="227" spans="1:50" ht="14.5">
      <c r="A227" s="1" t="s">
        <v>688</v>
      </c>
      <c r="B227" s="75">
        <v>41311</v>
      </c>
      <c r="C227">
        <v>33.1</v>
      </c>
      <c r="AF227" s="854">
        <v>42248</v>
      </c>
      <c r="AG227" s="848">
        <v>35.200000000000003</v>
      </c>
      <c r="AH227" s="848">
        <v>22.1</v>
      </c>
      <c r="AI227" s="848">
        <v>41.3</v>
      </c>
      <c r="AJ227" s="848">
        <v>18.5</v>
      </c>
      <c r="AK227" s="848">
        <v>5558.52</v>
      </c>
      <c r="AL227" s="848">
        <v>1939</v>
      </c>
      <c r="AM227" s="848">
        <v>26.7</v>
      </c>
      <c r="AW227" s="1056">
        <v>42229</v>
      </c>
      <c r="AX227" s="1053">
        <v>1969</v>
      </c>
    </row>
    <row r="228" spans="1:50" ht="14.5">
      <c r="A228" s="1" t="s">
        <v>688</v>
      </c>
      <c r="B228" s="75">
        <v>41312</v>
      </c>
      <c r="C228">
        <v>38.799999999999997</v>
      </c>
      <c r="AF228" s="854">
        <v>42249</v>
      </c>
      <c r="AG228" s="848">
        <v>29.8</v>
      </c>
      <c r="AH228" s="848">
        <v>14.8</v>
      </c>
      <c r="AI228" s="848">
        <v>40.299999999999997</v>
      </c>
      <c r="AJ228" s="848">
        <v>19.5</v>
      </c>
      <c r="AK228" s="848">
        <v>5558.53</v>
      </c>
      <c r="AL228" s="848">
        <v>1940</v>
      </c>
      <c r="AM228" s="848">
        <v>29.8</v>
      </c>
      <c r="AW228" s="1056">
        <v>42230</v>
      </c>
      <c r="AX228" s="1053">
        <v>1984</v>
      </c>
    </row>
    <row r="229" spans="1:50" ht="14.5">
      <c r="A229" s="1" t="s">
        <v>688</v>
      </c>
      <c r="B229" s="75">
        <v>41313</v>
      </c>
      <c r="C229">
        <v>23.3</v>
      </c>
      <c r="AF229" s="854">
        <v>42250</v>
      </c>
      <c r="AG229" s="848">
        <v>28.7</v>
      </c>
      <c r="AH229" s="848">
        <v>13.1</v>
      </c>
      <c r="AI229" s="848">
        <v>38.1</v>
      </c>
      <c r="AJ229" s="848">
        <v>14.8</v>
      </c>
      <c r="AK229" s="848">
        <v>5558.48</v>
      </c>
      <c r="AL229" s="848">
        <v>1935</v>
      </c>
      <c r="AM229" s="848">
        <v>26.9</v>
      </c>
      <c r="AW229" s="1056">
        <v>42231</v>
      </c>
      <c r="AX229" s="1053">
        <v>1974</v>
      </c>
    </row>
    <row r="230" spans="1:50" ht="14.5">
      <c r="A230" s="1" t="s">
        <v>688</v>
      </c>
      <c r="B230" s="75">
        <v>41314</v>
      </c>
      <c r="C230">
        <v>3.44</v>
      </c>
      <c r="AF230" s="854">
        <v>42251</v>
      </c>
      <c r="AG230" s="848">
        <v>30.7</v>
      </c>
      <c r="AH230" s="848">
        <v>18.399999999999999</v>
      </c>
      <c r="AI230" s="848">
        <v>38.1</v>
      </c>
      <c r="AJ230" s="848">
        <v>14.1</v>
      </c>
      <c r="AK230" s="848">
        <v>5558.48</v>
      </c>
      <c r="AL230" s="848">
        <v>1934</v>
      </c>
      <c r="AM230" s="848">
        <v>26.8</v>
      </c>
      <c r="AW230" s="1056">
        <v>42232</v>
      </c>
      <c r="AX230" s="1053">
        <v>1993</v>
      </c>
    </row>
    <row r="231" spans="1:50" ht="14.5">
      <c r="A231" s="1" t="s">
        <v>688</v>
      </c>
      <c r="B231" s="75">
        <v>41315</v>
      </c>
      <c r="C231">
        <v>12.6</v>
      </c>
      <c r="AF231" s="854">
        <v>42252</v>
      </c>
      <c r="AG231" s="848">
        <v>30.8</v>
      </c>
      <c r="AH231" s="848">
        <v>16.5</v>
      </c>
      <c r="AI231" s="848">
        <v>37.5</v>
      </c>
      <c r="AJ231" s="848">
        <v>13.3</v>
      </c>
      <c r="AK231" s="848">
        <v>5558.47</v>
      </c>
      <c r="AL231" s="848">
        <v>1933</v>
      </c>
      <c r="AM231" s="848">
        <v>24.1</v>
      </c>
      <c r="AW231" s="1056">
        <v>42233</v>
      </c>
      <c r="AX231" s="1053">
        <v>1993</v>
      </c>
    </row>
    <row r="232" spans="1:50" ht="14.5">
      <c r="A232" s="1" t="s">
        <v>688</v>
      </c>
      <c r="B232" s="75">
        <v>41316</v>
      </c>
      <c r="C232">
        <v>25.9</v>
      </c>
      <c r="AF232" s="854">
        <v>42253</v>
      </c>
      <c r="AG232" s="848">
        <v>30</v>
      </c>
      <c r="AH232" s="848">
        <v>14.7</v>
      </c>
      <c r="AI232" s="848">
        <v>36.6</v>
      </c>
      <c r="AJ232" s="848">
        <v>11.8</v>
      </c>
      <c r="AK232" s="848">
        <v>5558.44</v>
      </c>
      <c r="AL232" s="848">
        <v>1930</v>
      </c>
      <c r="AM232" s="848">
        <v>22.9</v>
      </c>
      <c r="AW232" s="1056">
        <v>42234</v>
      </c>
      <c r="AX232" s="1053">
        <v>1987</v>
      </c>
    </row>
    <row r="233" spans="1:50" ht="14.5">
      <c r="A233" s="1" t="s">
        <v>688</v>
      </c>
      <c r="B233" s="75">
        <v>41317</v>
      </c>
      <c r="C233">
        <v>32.200000000000003</v>
      </c>
      <c r="AF233" s="854">
        <v>42254</v>
      </c>
      <c r="AG233" s="848">
        <v>28.9</v>
      </c>
      <c r="AH233" s="848">
        <v>13.3</v>
      </c>
      <c r="AI233" s="848">
        <v>35</v>
      </c>
      <c r="AJ233" s="848">
        <v>10</v>
      </c>
      <c r="AK233" s="848">
        <v>5558.42</v>
      </c>
      <c r="AL233" s="848">
        <v>1928</v>
      </c>
      <c r="AM233" s="848">
        <v>21.1</v>
      </c>
      <c r="AW233" s="1056">
        <v>42235</v>
      </c>
      <c r="AX233" s="1053">
        <v>1974</v>
      </c>
    </row>
    <row r="234" spans="1:50" ht="14.5">
      <c r="A234" s="1" t="s">
        <v>688</v>
      </c>
      <c r="B234" s="75">
        <v>41318</v>
      </c>
      <c r="C234">
        <v>48.2</v>
      </c>
      <c r="AF234" s="854">
        <v>42255</v>
      </c>
      <c r="AG234" s="848">
        <v>28.7</v>
      </c>
      <c r="AH234" s="848">
        <v>11.9</v>
      </c>
      <c r="AI234" s="848">
        <v>32.200000000000003</v>
      </c>
      <c r="AJ234" s="848">
        <v>9.36</v>
      </c>
      <c r="AK234" s="848">
        <v>5558.41</v>
      </c>
      <c r="AL234" s="848">
        <v>1927</v>
      </c>
      <c r="AM234" s="848">
        <v>20.6</v>
      </c>
      <c r="AW234" s="1056">
        <v>42236</v>
      </c>
      <c r="AX234" s="1053">
        <v>1971</v>
      </c>
    </row>
    <row r="235" spans="1:50" ht="14.5">
      <c r="A235" s="1" t="s">
        <v>688</v>
      </c>
      <c r="B235" s="75">
        <v>41319</v>
      </c>
      <c r="C235">
        <v>80</v>
      </c>
      <c r="AF235" s="854">
        <v>42256</v>
      </c>
      <c r="AG235" s="848">
        <v>28.6</v>
      </c>
      <c r="AH235" s="848">
        <v>11.1</v>
      </c>
      <c r="AI235" s="848">
        <v>29.8</v>
      </c>
      <c r="AJ235" s="848">
        <v>8.0500000000000007</v>
      </c>
      <c r="AK235" s="848">
        <v>5558.38</v>
      </c>
      <c r="AL235" s="848">
        <v>1924</v>
      </c>
      <c r="AM235" s="848">
        <v>18.600000000000001</v>
      </c>
      <c r="AW235" s="1056">
        <v>42237</v>
      </c>
      <c r="AX235" s="1053">
        <v>1964</v>
      </c>
    </row>
    <row r="236" spans="1:50" ht="14.5">
      <c r="A236" s="1" t="s">
        <v>688</v>
      </c>
      <c r="B236" s="75">
        <v>41320</v>
      </c>
      <c r="C236">
        <v>80.400000000000006</v>
      </c>
      <c r="AF236" s="854">
        <v>42257</v>
      </c>
      <c r="AG236" s="848">
        <v>27.4</v>
      </c>
      <c r="AH236" s="848">
        <v>10.4</v>
      </c>
      <c r="AI236" s="848">
        <v>26.9</v>
      </c>
      <c r="AJ236" s="848">
        <v>6.75</v>
      </c>
      <c r="AK236" s="848">
        <v>5558.36</v>
      </c>
      <c r="AL236" s="848">
        <v>1922</v>
      </c>
      <c r="AM236" s="848">
        <v>15.3</v>
      </c>
      <c r="AW236" s="1056">
        <v>42238</v>
      </c>
      <c r="AX236" s="1053">
        <v>1956</v>
      </c>
    </row>
    <row r="237" spans="1:50" ht="14.5">
      <c r="A237" s="1" t="s">
        <v>688</v>
      </c>
      <c r="B237" s="75">
        <v>41321</v>
      </c>
      <c r="C237">
        <v>83.5</v>
      </c>
      <c r="AF237" s="854">
        <v>42258</v>
      </c>
      <c r="AG237" s="848">
        <v>26.9</v>
      </c>
      <c r="AH237" s="848">
        <v>10.4</v>
      </c>
      <c r="AI237" s="848">
        <v>25</v>
      </c>
      <c r="AJ237" s="848">
        <v>5.96</v>
      </c>
      <c r="AK237" s="848">
        <v>5558.35</v>
      </c>
      <c r="AL237" s="848">
        <v>1920</v>
      </c>
      <c r="AM237" s="848">
        <v>13.9</v>
      </c>
      <c r="AW237" s="1056">
        <v>42239</v>
      </c>
      <c r="AX237" s="1053">
        <v>1952</v>
      </c>
    </row>
    <row r="238" spans="1:50" ht="14.5">
      <c r="A238" s="1" t="s">
        <v>688</v>
      </c>
      <c r="B238" s="75">
        <v>41322</v>
      </c>
      <c r="C238">
        <v>88.1</v>
      </c>
      <c r="AF238" s="854">
        <v>42259</v>
      </c>
      <c r="AG238" s="848">
        <v>26.2</v>
      </c>
      <c r="AH238" s="848">
        <v>11.2</v>
      </c>
      <c r="AI238" s="848">
        <v>25</v>
      </c>
      <c r="AJ238" s="848">
        <v>6</v>
      </c>
      <c r="AK238" s="848">
        <v>5558.36</v>
      </c>
      <c r="AL238" s="848">
        <v>1921</v>
      </c>
      <c r="AM238" s="848">
        <v>13.2</v>
      </c>
      <c r="AW238" s="1056">
        <v>42240</v>
      </c>
      <c r="AX238" s="1053">
        <v>1951</v>
      </c>
    </row>
    <row r="239" spans="1:50" ht="15" thickBot="1">
      <c r="A239" s="1" t="s">
        <v>688</v>
      </c>
      <c r="B239" s="75">
        <v>41323</v>
      </c>
      <c r="C239">
        <v>98.2</v>
      </c>
      <c r="AF239" s="867">
        <v>42260</v>
      </c>
      <c r="AG239" s="852">
        <v>26.1</v>
      </c>
      <c r="AH239" s="852">
        <v>10.6</v>
      </c>
      <c r="AI239" s="852">
        <v>24.7</v>
      </c>
      <c r="AJ239" s="852">
        <v>5.82</v>
      </c>
      <c r="AK239" s="852">
        <v>5558.36</v>
      </c>
      <c r="AL239" s="852">
        <v>1921</v>
      </c>
      <c r="AM239" s="852">
        <v>14.8</v>
      </c>
      <c r="AW239" s="1056">
        <v>42241</v>
      </c>
      <c r="AX239" s="1053">
        <v>1945</v>
      </c>
    </row>
    <row r="240" spans="1:50" ht="14.5">
      <c r="A240" s="1" t="s">
        <v>688</v>
      </c>
      <c r="B240" s="75">
        <v>41324</v>
      </c>
      <c r="C240">
        <v>227</v>
      </c>
      <c r="AF240" s="868">
        <v>42261</v>
      </c>
      <c r="AG240" s="848">
        <v>25.7</v>
      </c>
      <c r="AH240" s="848">
        <v>9.69</v>
      </c>
      <c r="AI240" s="848">
        <v>22.7</v>
      </c>
      <c r="AJ240" s="848">
        <v>5.36</v>
      </c>
      <c r="AK240" s="848">
        <v>5558.34</v>
      </c>
      <c r="AL240" s="848">
        <v>1919</v>
      </c>
      <c r="AM240" s="848">
        <v>12.3</v>
      </c>
      <c r="AN240" s="905"/>
      <c r="AW240" s="1056">
        <v>42242</v>
      </c>
      <c r="AX240" s="1053">
        <v>1942</v>
      </c>
    </row>
    <row r="241" spans="1:50" ht="14.5">
      <c r="A241" s="1" t="s">
        <v>688</v>
      </c>
      <c r="B241" s="75">
        <v>41325</v>
      </c>
      <c r="C241">
        <v>273</v>
      </c>
      <c r="AF241" s="868">
        <v>42262</v>
      </c>
      <c r="AG241" s="848">
        <v>24.9</v>
      </c>
      <c r="AH241" s="848">
        <v>9.2200000000000006</v>
      </c>
      <c r="AI241" s="848">
        <v>21.5</v>
      </c>
      <c r="AJ241" s="848">
        <v>5.18</v>
      </c>
      <c r="AK241" s="848">
        <v>5558.34</v>
      </c>
      <c r="AL241" s="848">
        <v>1919</v>
      </c>
      <c r="AM241" s="848">
        <v>12.2</v>
      </c>
      <c r="AN241" s="834"/>
      <c r="AW241" s="1056">
        <v>42243</v>
      </c>
      <c r="AX241" s="1053">
        <v>1941</v>
      </c>
    </row>
    <row r="242" spans="1:50" ht="14.5">
      <c r="A242" s="1" t="s">
        <v>688</v>
      </c>
      <c r="B242" s="75">
        <v>41326</v>
      </c>
      <c r="AF242" s="868">
        <v>42263</v>
      </c>
      <c r="AG242" s="848">
        <v>24.7</v>
      </c>
      <c r="AH242" s="848">
        <v>7.86</v>
      </c>
      <c r="AI242" s="848">
        <v>21</v>
      </c>
      <c r="AJ242" s="848">
        <v>4.34</v>
      </c>
      <c r="AK242" s="848">
        <v>5558.32</v>
      </c>
      <c r="AL242" s="848">
        <v>1917</v>
      </c>
      <c r="AM242" s="848">
        <v>11.3</v>
      </c>
      <c r="AN242" s="834"/>
      <c r="AW242" s="1056">
        <v>42244</v>
      </c>
      <c r="AX242" s="1053">
        <v>1940</v>
      </c>
    </row>
    <row r="243" spans="1:50" ht="14.5">
      <c r="A243" s="1" t="s">
        <v>688</v>
      </c>
      <c r="B243" s="75">
        <v>41327</v>
      </c>
      <c r="AF243" s="868">
        <v>42264</v>
      </c>
      <c r="AG243" s="848">
        <v>24.2</v>
      </c>
      <c r="AH243" s="848">
        <v>9.4600000000000009</v>
      </c>
      <c r="AI243" s="848">
        <v>20.399999999999999</v>
      </c>
      <c r="AJ243" s="848">
        <v>4.2699999999999996</v>
      </c>
      <c r="AK243" s="848">
        <v>5558.32</v>
      </c>
      <c r="AL243" s="848">
        <v>1917</v>
      </c>
      <c r="AM243" s="848">
        <v>10.1</v>
      </c>
      <c r="AN243" s="834"/>
      <c r="AW243" s="1056">
        <v>42245</v>
      </c>
      <c r="AX243" s="1053">
        <v>1939</v>
      </c>
    </row>
    <row r="244" spans="1:50" ht="14.5">
      <c r="A244" s="1" t="s">
        <v>688</v>
      </c>
      <c r="B244" s="75">
        <v>41328</v>
      </c>
      <c r="AF244" s="868">
        <v>42265</v>
      </c>
      <c r="AG244" s="848">
        <v>24.5</v>
      </c>
      <c r="AH244" s="848">
        <v>9.89</v>
      </c>
      <c r="AI244" s="848">
        <v>19.600000000000001</v>
      </c>
      <c r="AJ244" s="848">
        <v>4.84</v>
      </c>
      <c r="AK244" s="848">
        <v>5558.33</v>
      </c>
      <c r="AL244" s="848">
        <v>1918</v>
      </c>
      <c r="AM244" s="848">
        <v>12.5</v>
      </c>
      <c r="AN244" s="834"/>
      <c r="AW244" s="1056">
        <v>42246</v>
      </c>
      <c r="AX244" s="1053">
        <v>1937</v>
      </c>
    </row>
    <row r="245" spans="1:50" ht="14.5">
      <c r="A245" s="1" t="s">
        <v>688</v>
      </c>
      <c r="B245" s="75">
        <v>41329</v>
      </c>
      <c r="AF245" s="868">
        <v>42266</v>
      </c>
      <c r="AG245" s="848">
        <v>24.1</v>
      </c>
      <c r="AH245" s="848">
        <v>9.9499999999999993</v>
      </c>
      <c r="AI245" s="848">
        <v>19.8</v>
      </c>
      <c r="AJ245" s="848">
        <v>5.24</v>
      </c>
      <c r="AK245" s="848">
        <v>5558.34</v>
      </c>
      <c r="AL245" s="848">
        <v>1919</v>
      </c>
      <c r="AM245" s="848">
        <v>12.5</v>
      </c>
      <c r="AN245" s="834"/>
      <c r="AW245" s="1056">
        <v>42247</v>
      </c>
      <c r="AX245" s="1053">
        <v>1934</v>
      </c>
    </row>
    <row r="246" spans="1:50" ht="14.5">
      <c r="A246" s="1" t="s">
        <v>688</v>
      </c>
      <c r="B246" s="75">
        <v>41330</v>
      </c>
      <c r="AF246" s="868">
        <v>42267</v>
      </c>
      <c r="AG246" s="848">
        <v>23.1</v>
      </c>
      <c r="AH246" s="848">
        <v>9.07</v>
      </c>
      <c r="AI246" s="848">
        <v>19.8</v>
      </c>
      <c r="AJ246" s="848">
        <v>4.8099999999999996</v>
      </c>
      <c r="AK246" s="848">
        <v>5558.33</v>
      </c>
      <c r="AL246" s="848">
        <v>1918</v>
      </c>
      <c r="AM246" s="848">
        <v>13.2</v>
      </c>
      <c r="AN246" s="834"/>
      <c r="AW246" s="1056">
        <v>42248</v>
      </c>
      <c r="AX246" s="1053">
        <v>1939</v>
      </c>
    </row>
    <row r="247" spans="1:50" ht="14.5">
      <c r="A247" s="1" t="s">
        <v>688</v>
      </c>
      <c r="B247" s="75">
        <v>41331</v>
      </c>
      <c r="AF247" s="868">
        <v>42268</v>
      </c>
      <c r="AG247" s="848">
        <v>22.5</v>
      </c>
      <c r="AH247" s="848">
        <v>9.5</v>
      </c>
      <c r="AI247" s="848">
        <v>19.8</v>
      </c>
      <c r="AJ247" s="848">
        <v>4.8</v>
      </c>
      <c r="AK247" s="848">
        <v>5558.34</v>
      </c>
      <c r="AL247" s="848">
        <v>1919</v>
      </c>
      <c r="AM247" s="848">
        <v>12.3</v>
      </c>
      <c r="AN247" s="834"/>
      <c r="AW247" s="1056">
        <v>42249</v>
      </c>
      <c r="AX247" s="1053">
        <v>1940</v>
      </c>
    </row>
    <row r="248" spans="1:50" ht="14.5">
      <c r="A248" s="1" t="s">
        <v>688</v>
      </c>
      <c r="B248" s="75">
        <v>41332</v>
      </c>
      <c r="AF248" s="868">
        <v>42269</v>
      </c>
      <c r="AG248" s="848">
        <v>21.5</v>
      </c>
      <c r="AH248" s="848">
        <v>8.2799999999999994</v>
      </c>
      <c r="AI248" s="848">
        <v>19.8</v>
      </c>
      <c r="AJ248" s="848">
        <v>4.63</v>
      </c>
      <c r="AK248" s="848">
        <v>5558.33</v>
      </c>
      <c r="AL248" s="848">
        <v>1918</v>
      </c>
      <c r="AM248" s="848">
        <v>11</v>
      </c>
      <c r="AN248" s="834"/>
      <c r="AW248" s="1056">
        <v>42250</v>
      </c>
      <c r="AX248" s="1053">
        <v>1935</v>
      </c>
    </row>
    <row r="249" spans="1:50" ht="14.5">
      <c r="A249" s="1" t="s">
        <v>688</v>
      </c>
      <c r="B249" s="75">
        <v>41333</v>
      </c>
      <c r="AF249" s="906">
        <v>42270</v>
      </c>
      <c r="AG249" s="848">
        <v>21.8</v>
      </c>
      <c r="AH249" s="848">
        <v>8.2799999999999994</v>
      </c>
      <c r="AI249" s="848">
        <v>19.600000000000001</v>
      </c>
      <c r="AJ249" s="848">
        <v>5.36</v>
      </c>
      <c r="AK249" s="848">
        <v>5558.35</v>
      </c>
      <c r="AL249" s="848">
        <v>1920</v>
      </c>
      <c r="AM249" s="848">
        <v>15</v>
      </c>
      <c r="AN249" s="834"/>
      <c r="AW249" s="1056">
        <v>42251</v>
      </c>
      <c r="AX249" s="1053">
        <v>1934</v>
      </c>
    </row>
    <row r="250" spans="1:50" ht="14.5">
      <c r="A250" s="1" t="s">
        <v>688</v>
      </c>
      <c r="B250" s="75">
        <v>41334</v>
      </c>
      <c r="AF250" s="906">
        <v>42271</v>
      </c>
      <c r="AG250" s="848">
        <v>21.5</v>
      </c>
      <c r="AH250" s="848">
        <v>6.8</v>
      </c>
      <c r="AI250" s="848">
        <v>18.899999999999999</v>
      </c>
      <c r="AJ250" s="848">
        <v>4.47</v>
      </c>
      <c r="AK250" s="848">
        <v>5558.32</v>
      </c>
      <c r="AL250" s="848">
        <v>1917</v>
      </c>
      <c r="AM250" s="848">
        <v>12.4</v>
      </c>
      <c r="AN250" s="834"/>
      <c r="AW250" s="1056">
        <v>42252</v>
      </c>
      <c r="AX250" s="1053">
        <v>1933</v>
      </c>
    </row>
    <row r="251" spans="1:50" ht="14.5">
      <c r="A251" s="1" t="s">
        <v>688</v>
      </c>
      <c r="B251" s="75">
        <v>41335</v>
      </c>
      <c r="AF251" s="906">
        <v>42272</v>
      </c>
      <c r="AG251" s="848">
        <v>21.4</v>
      </c>
      <c r="AH251" s="848">
        <v>7.49</v>
      </c>
      <c r="AI251" s="848">
        <v>19.5</v>
      </c>
      <c r="AJ251" s="848">
        <v>3.84</v>
      </c>
      <c r="AK251" s="848">
        <v>5558.31</v>
      </c>
      <c r="AL251" s="848">
        <v>1916</v>
      </c>
      <c r="AM251" s="848">
        <v>9.19</v>
      </c>
      <c r="AO251" s="834"/>
      <c r="AW251" s="1056">
        <v>42253</v>
      </c>
      <c r="AX251" s="1053">
        <v>1930</v>
      </c>
    </row>
    <row r="252" spans="1:50" ht="14.5">
      <c r="A252" s="1" t="s">
        <v>688</v>
      </c>
      <c r="B252" s="75">
        <v>41336</v>
      </c>
      <c r="AF252" s="906">
        <v>42273</v>
      </c>
      <c r="AG252" s="848">
        <v>21.5</v>
      </c>
      <c r="AH252" s="848">
        <v>6.87</v>
      </c>
      <c r="AI252" s="848">
        <v>19.2</v>
      </c>
      <c r="AJ252" s="848">
        <v>3.6</v>
      </c>
      <c r="AK252" s="848">
        <v>5558.31</v>
      </c>
      <c r="AL252" s="848">
        <v>1916</v>
      </c>
      <c r="AM252" s="848">
        <v>8.82</v>
      </c>
      <c r="AO252" s="834"/>
      <c r="AW252" s="1056">
        <v>42254</v>
      </c>
      <c r="AX252" s="1053">
        <v>1928</v>
      </c>
    </row>
    <row r="253" spans="1:50" ht="14.5">
      <c r="A253" s="1" t="s">
        <v>688</v>
      </c>
      <c r="B253" s="75">
        <v>41337</v>
      </c>
      <c r="AF253" s="906">
        <v>42274</v>
      </c>
      <c r="AG253" s="848">
        <v>20.399999999999999</v>
      </c>
      <c r="AH253" s="848">
        <v>6.41</v>
      </c>
      <c r="AI253" s="848">
        <v>20</v>
      </c>
      <c r="AJ253" s="848">
        <v>3.36</v>
      </c>
      <c r="AK253" s="848">
        <v>5558.3</v>
      </c>
      <c r="AL253" s="848">
        <v>1915</v>
      </c>
      <c r="AM253" s="848">
        <v>9.0299999999999994</v>
      </c>
      <c r="AO253" s="834"/>
      <c r="AW253" s="1056">
        <v>42255</v>
      </c>
      <c r="AX253" s="1053">
        <v>1927</v>
      </c>
    </row>
    <row r="254" spans="1:50" ht="14.5">
      <c r="A254" s="1" t="s">
        <v>688</v>
      </c>
      <c r="B254" s="75">
        <v>41338</v>
      </c>
      <c r="AF254" s="906">
        <v>42275</v>
      </c>
      <c r="AG254" s="848">
        <v>19.399999999999999</v>
      </c>
      <c r="AH254" s="848">
        <v>4.82</v>
      </c>
      <c r="AI254" s="848">
        <v>18.3</v>
      </c>
      <c r="AJ254" s="848">
        <v>2.74</v>
      </c>
      <c r="AK254" s="848">
        <v>5558.28</v>
      </c>
      <c r="AL254" s="848">
        <v>1913</v>
      </c>
      <c r="AM254" s="848">
        <v>8.5500000000000007</v>
      </c>
      <c r="AO254" s="834"/>
      <c r="AW254" s="1056">
        <v>42256</v>
      </c>
      <c r="AX254" s="1053">
        <v>1924</v>
      </c>
    </row>
    <row r="255" spans="1:50" ht="14.5">
      <c r="A255" s="1" t="s">
        <v>688</v>
      </c>
      <c r="B255" s="75">
        <v>41339</v>
      </c>
      <c r="AF255" s="906">
        <v>42276</v>
      </c>
      <c r="AG255" s="848">
        <v>21.3</v>
      </c>
      <c r="AH255" s="848">
        <v>5.03</v>
      </c>
      <c r="AI255" s="848">
        <v>19.399999999999999</v>
      </c>
      <c r="AJ255" s="848">
        <v>2.36</v>
      </c>
      <c r="AK255" s="848">
        <v>5558.27</v>
      </c>
      <c r="AL255" s="848">
        <v>1912</v>
      </c>
      <c r="AM255" s="848">
        <v>7.36</v>
      </c>
      <c r="AO255" s="834"/>
      <c r="AW255" s="1056">
        <v>42257</v>
      </c>
      <c r="AX255" s="1053">
        <v>1922</v>
      </c>
    </row>
    <row r="256" spans="1:50" ht="14.5">
      <c r="A256" s="1" t="s">
        <v>688</v>
      </c>
      <c r="B256" s="75">
        <v>41340</v>
      </c>
      <c r="AF256" s="868">
        <v>42277</v>
      </c>
      <c r="AG256" s="848">
        <v>21.9</v>
      </c>
      <c r="AH256" s="848">
        <v>7.34</v>
      </c>
      <c r="AI256" s="848">
        <v>22.6</v>
      </c>
      <c r="AJ256" s="848">
        <v>2.89</v>
      </c>
      <c r="AK256" s="848">
        <v>5558.28</v>
      </c>
      <c r="AL256" s="848">
        <v>1913</v>
      </c>
      <c r="AM256" s="848">
        <v>7.51</v>
      </c>
      <c r="AO256" s="834"/>
      <c r="AP256" s="834"/>
      <c r="AQ256" s="834"/>
      <c r="AW256" s="1056">
        <v>42258</v>
      </c>
      <c r="AX256" s="1053">
        <v>1920</v>
      </c>
    </row>
    <row r="257" spans="1:50" ht="14.5">
      <c r="A257" s="1" t="s">
        <v>688</v>
      </c>
      <c r="B257" s="75">
        <v>41341</v>
      </c>
      <c r="AF257" s="868">
        <v>42278</v>
      </c>
      <c r="AG257" s="848">
        <v>21.1</v>
      </c>
      <c r="AH257" s="848">
        <v>5.68</v>
      </c>
      <c r="AI257" s="848">
        <v>20.3</v>
      </c>
      <c r="AJ257" s="848">
        <v>3.34</v>
      </c>
      <c r="AK257" s="848">
        <v>5558.29</v>
      </c>
      <c r="AL257" s="848">
        <v>1914</v>
      </c>
      <c r="AM257" s="848">
        <v>11.8</v>
      </c>
      <c r="AO257" s="834"/>
      <c r="AP257" s="834"/>
      <c r="AQ257" s="834"/>
      <c r="AW257" s="1056">
        <v>42259</v>
      </c>
      <c r="AX257" s="1053">
        <v>1921</v>
      </c>
    </row>
    <row r="258" spans="1:50" ht="14.5">
      <c r="A258" s="1" t="s">
        <v>688</v>
      </c>
      <c r="B258" s="75">
        <v>41342</v>
      </c>
      <c r="AF258" s="868">
        <v>42279</v>
      </c>
      <c r="AG258" s="848">
        <v>20.6</v>
      </c>
      <c r="AH258" s="848">
        <v>6.7</v>
      </c>
      <c r="AI258" s="848">
        <v>21.3</v>
      </c>
      <c r="AJ258" s="848">
        <v>3.38</v>
      </c>
      <c r="AK258" s="848">
        <v>5558.29</v>
      </c>
      <c r="AL258" s="848">
        <v>1914</v>
      </c>
      <c r="AM258" s="848">
        <v>9.16</v>
      </c>
      <c r="AO258" s="834"/>
      <c r="AP258" s="834"/>
      <c r="AQ258" s="834"/>
      <c r="AW258" s="1056">
        <v>42260</v>
      </c>
      <c r="AX258" s="1053">
        <v>1921</v>
      </c>
    </row>
    <row r="259" spans="1:50" ht="14.5">
      <c r="A259" s="1" t="s">
        <v>688</v>
      </c>
      <c r="B259" s="75">
        <v>41343</v>
      </c>
      <c r="AF259" s="868">
        <v>42280</v>
      </c>
      <c r="AG259" s="848">
        <v>20.5</v>
      </c>
      <c r="AH259" s="848">
        <v>5.14</v>
      </c>
      <c r="AI259" s="848">
        <v>19.7</v>
      </c>
      <c r="AJ259" s="848">
        <v>3.22</v>
      </c>
      <c r="AK259" s="848">
        <v>5558.28</v>
      </c>
      <c r="AL259" s="848">
        <v>1913</v>
      </c>
      <c r="AM259" s="848">
        <v>11.9</v>
      </c>
      <c r="AO259" s="834"/>
      <c r="AP259" s="834"/>
      <c r="AQ259" s="834"/>
      <c r="AW259" s="1056">
        <v>42261</v>
      </c>
      <c r="AX259" s="1053">
        <v>1919</v>
      </c>
    </row>
    <row r="260" spans="1:50" ht="14.5">
      <c r="A260" s="1" t="s">
        <v>688</v>
      </c>
      <c r="B260" s="75">
        <v>41344</v>
      </c>
      <c r="AF260" s="868">
        <v>42281</v>
      </c>
      <c r="AG260" s="848">
        <v>22.6</v>
      </c>
      <c r="AH260" s="848">
        <v>8.25</v>
      </c>
      <c r="AI260" s="848">
        <v>22.7</v>
      </c>
      <c r="AJ260" s="848">
        <v>3.52</v>
      </c>
      <c r="AK260" s="848">
        <v>5558.29</v>
      </c>
      <c r="AL260" s="848">
        <v>1914</v>
      </c>
      <c r="AM260" s="848">
        <v>11.6</v>
      </c>
      <c r="AO260" s="834"/>
      <c r="AP260" s="834"/>
      <c r="AQ260" s="834"/>
      <c r="AW260" s="1056">
        <v>42262</v>
      </c>
      <c r="AX260" s="1053">
        <v>1919</v>
      </c>
    </row>
    <row r="261" spans="1:50" ht="14.5">
      <c r="A261" s="1" t="s">
        <v>688</v>
      </c>
      <c r="B261" s="75">
        <v>41345</v>
      </c>
      <c r="AF261" s="868">
        <v>42282</v>
      </c>
      <c r="AG261" s="848">
        <v>22.2</v>
      </c>
      <c r="AH261" s="848">
        <v>8.18</v>
      </c>
      <c r="AI261" s="848">
        <v>22.6</v>
      </c>
      <c r="AJ261" s="848">
        <v>4.3099999999999996</v>
      </c>
      <c r="AK261" s="848">
        <v>5558.31</v>
      </c>
      <c r="AL261" s="848">
        <v>1916</v>
      </c>
      <c r="AM261" s="848">
        <v>11.6</v>
      </c>
      <c r="AO261" s="834"/>
      <c r="AP261" s="834"/>
      <c r="AQ261" s="834"/>
      <c r="AW261" s="1056">
        <v>42263</v>
      </c>
      <c r="AX261" s="1053">
        <v>1917</v>
      </c>
    </row>
    <row r="262" spans="1:50" ht="14.5">
      <c r="A262" s="1" t="s">
        <v>688</v>
      </c>
      <c r="B262" s="75">
        <v>41346</v>
      </c>
      <c r="AF262" s="868">
        <v>42283</v>
      </c>
      <c r="AG262" s="848">
        <v>26</v>
      </c>
      <c r="AH262" s="848">
        <v>10.7</v>
      </c>
      <c r="AI262" s="848">
        <v>25.2</v>
      </c>
      <c r="AJ262" s="848">
        <v>5.22</v>
      </c>
      <c r="AK262" s="848">
        <v>5558.49</v>
      </c>
      <c r="AL262" s="848">
        <v>1941</v>
      </c>
      <c r="AM262" s="848">
        <v>12.2</v>
      </c>
      <c r="AO262" s="834"/>
      <c r="AP262" s="834"/>
      <c r="AQ262" s="834"/>
      <c r="AW262" s="1056">
        <v>42264</v>
      </c>
      <c r="AX262" s="1053">
        <v>1917</v>
      </c>
    </row>
    <row r="263" spans="1:50" ht="14.5">
      <c r="A263" s="1" t="s">
        <v>688</v>
      </c>
      <c r="B263" s="75">
        <v>41347</v>
      </c>
      <c r="AF263" s="868">
        <v>42284</v>
      </c>
      <c r="AG263" s="848">
        <v>41.4</v>
      </c>
      <c r="AH263" s="848">
        <v>21.9</v>
      </c>
      <c r="AI263" s="848">
        <v>45.8</v>
      </c>
      <c r="AJ263" s="848">
        <v>14.5</v>
      </c>
      <c r="AK263" s="848">
        <v>5558.48</v>
      </c>
      <c r="AL263" s="848">
        <v>1935</v>
      </c>
      <c r="AM263" s="848">
        <v>25.1</v>
      </c>
      <c r="AO263" s="834"/>
      <c r="AP263" s="834"/>
      <c r="AQ263" s="834"/>
      <c r="AW263" s="1056">
        <v>42265</v>
      </c>
      <c r="AX263" s="1053">
        <v>1918</v>
      </c>
    </row>
    <row r="264" spans="1:50" ht="14.5">
      <c r="A264" s="1" t="s">
        <v>688</v>
      </c>
      <c r="B264" s="75">
        <v>41348</v>
      </c>
      <c r="AF264" s="868">
        <v>42285</v>
      </c>
      <c r="AG264" s="848">
        <v>27.9</v>
      </c>
      <c r="AH264" s="1046">
        <v>11</v>
      </c>
      <c r="AI264" s="848">
        <v>35</v>
      </c>
      <c r="AJ264" s="848">
        <v>19.100000000000001</v>
      </c>
      <c r="AK264" s="848">
        <v>5558.54</v>
      </c>
      <c r="AL264" s="848">
        <v>1941</v>
      </c>
      <c r="AM264" s="848">
        <v>31.3</v>
      </c>
      <c r="AO264" s="834"/>
      <c r="AP264" s="834"/>
      <c r="AQ264" s="834"/>
      <c r="AW264" s="1056">
        <v>42266</v>
      </c>
      <c r="AX264" s="1053">
        <v>1919</v>
      </c>
    </row>
    <row r="265" spans="1:50" ht="14.5">
      <c r="A265" s="1" t="s">
        <v>688</v>
      </c>
      <c r="B265" s="75">
        <v>41349</v>
      </c>
      <c r="AF265" s="868">
        <v>42286</v>
      </c>
      <c r="AG265" s="848">
        <v>25.2</v>
      </c>
      <c r="AH265" s="848" t="s">
        <v>1138</v>
      </c>
      <c r="AI265" s="848">
        <v>25.2</v>
      </c>
      <c r="AJ265" s="848">
        <v>11.4</v>
      </c>
      <c r="AK265" s="848">
        <v>5558.44</v>
      </c>
      <c r="AL265" s="848">
        <v>1930</v>
      </c>
      <c r="AM265" s="848">
        <v>22.6</v>
      </c>
      <c r="AO265" s="834"/>
      <c r="AP265" s="834"/>
      <c r="AQ265" s="834"/>
      <c r="AR265" s="834"/>
      <c r="AS265" s="834"/>
      <c r="AT265" s="834"/>
      <c r="AU265" s="834"/>
      <c r="AV265" s="834"/>
      <c r="AW265" s="1056">
        <v>42267</v>
      </c>
      <c r="AX265" s="1053">
        <v>1918</v>
      </c>
    </row>
    <row r="266" spans="1:50" ht="14.5">
      <c r="A266" s="1" t="s">
        <v>688</v>
      </c>
      <c r="B266" s="75">
        <v>41350</v>
      </c>
      <c r="AF266" s="868">
        <v>42287</v>
      </c>
      <c r="AG266" s="848">
        <v>23.7</v>
      </c>
      <c r="AH266" s="848" t="s">
        <v>1138</v>
      </c>
      <c r="AI266" s="848">
        <v>25.2</v>
      </c>
      <c r="AJ266" s="848">
        <v>7.92</v>
      </c>
      <c r="AK266" s="848">
        <v>5558.39</v>
      </c>
      <c r="AL266" s="848">
        <v>1925</v>
      </c>
      <c r="AM266" s="848">
        <v>17.600000000000001</v>
      </c>
      <c r="AO266" s="834"/>
      <c r="AP266" s="834"/>
      <c r="AQ266" s="834"/>
      <c r="AR266" s="834"/>
      <c r="AS266" s="834"/>
      <c r="AT266" s="834"/>
      <c r="AU266" s="834"/>
      <c r="AV266" s="834"/>
      <c r="AW266" s="1056">
        <v>42268</v>
      </c>
      <c r="AX266" s="1053">
        <v>1919</v>
      </c>
    </row>
    <row r="267" spans="1:50" ht="14.5">
      <c r="A267" s="1" t="s">
        <v>688</v>
      </c>
      <c r="B267" s="75">
        <v>41351</v>
      </c>
      <c r="AF267" s="868">
        <v>42288</v>
      </c>
      <c r="AG267" s="848">
        <v>21.4</v>
      </c>
      <c r="AH267" s="848" t="s">
        <v>1138</v>
      </c>
      <c r="AI267" s="848">
        <v>22.7</v>
      </c>
      <c r="AJ267" s="848">
        <v>5.85</v>
      </c>
      <c r="AK267" s="848">
        <v>5558.35</v>
      </c>
      <c r="AL267" s="848">
        <v>1921</v>
      </c>
      <c r="AM267" s="848">
        <v>16.7</v>
      </c>
      <c r="AO267" s="834"/>
      <c r="AP267" s="834"/>
      <c r="AQ267" s="834"/>
      <c r="AR267" s="834"/>
      <c r="AS267" s="834"/>
      <c r="AT267" s="834"/>
      <c r="AU267" s="834"/>
      <c r="AV267" s="834"/>
      <c r="AW267" s="1056">
        <v>42269</v>
      </c>
      <c r="AX267" s="1053">
        <v>1918</v>
      </c>
    </row>
    <row r="268" spans="1:50" ht="14.5">
      <c r="A268" s="1" t="s">
        <v>688</v>
      </c>
      <c r="B268" s="75">
        <v>41352</v>
      </c>
      <c r="AF268" s="868">
        <v>42289</v>
      </c>
      <c r="AG268" s="848">
        <v>20.100000000000001</v>
      </c>
      <c r="AH268" s="848" t="s">
        <v>1138</v>
      </c>
      <c r="AI268" s="848">
        <v>20.5</v>
      </c>
      <c r="AJ268" s="848">
        <v>6.57</v>
      </c>
      <c r="AK268" s="848">
        <v>5558.36</v>
      </c>
      <c r="AL268" s="848">
        <v>1922</v>
      </c>
      <c r="AM268" s="848">
        <v>13.5</v>
      </c>
      <c r="AO268" s="834"/>
      <c r="AP268" s="834"/>
      <c r="AQ268" s="834"/>
      <c r="AR268" s="834"/>
      <c r="AS268" s="834"/>
      <c r="AT268" s="834"/>
      <c r="AU268" s="834"/>
      <c r="AV268" s="834"/>
      <c r="AW268" s="1056">
        <v>42270</v>
      </c>
      <c r="AX268" s="1053">
        <v>1920</v>
      </c>
    </row>
    <row r="269" spans="1:50" ht="14.5">
      <c r="A269" s="1" t="s">
        <v>688</v>
      </c>
      <c r="B269" s="75">
        <v>41353</v>
      </c>
      <c r="AF269" s="868">
        <v>42290</v>
      </c>
      <c r="AG269" s="848">
        <v>19.399999999999999</v>
      </c>
      <c r="AH269" s="848" t="s">
        <v>1138</v>
      </c>
      <c r="AI269" s="848">
        <v>19.600000000000001</v>
      </c>
      <c r="AJ269" s="848">
        <v>11.6</v>
      </c>
      <c r="AK269" s="848">
        <v>5558.45</v>
      </c>
      <c r="AL269" s="848">
        <v>1931</v>
      </c>
      <c r="AM269" s="848">
        <v>16.7</v>
      </c>
      <c r="AO269" s="834"/>
      <c r="AP269" s="834"/>
      <c r="AQ269" s="834"/>
      <c r="AR269" s="834"/>
      <c r="AS269" s="834"/>
      <c r="AT269" s="834"/>
      <c r="AU269" s="834"/>
      <c r="AV269" s="834"/>
      <c r="AW269" s="1056">
        <v>42271</v>
      </c>
      <c r="AX269" s="1053">
        <v>1917</v>
      </c>
    </row>
    <row r="270" spans="1:50" ht="14.5">
      <c r="A270" s="1" t="s">
        <v>688</v>
      </c>
      <c r="B270" s="75">
        <v>41354</v>
      </c>
      <c r="C270">
        <v>13</v>
      </c>
      <c r="D270">
        <f>AVERAGE(C270:C280)</f>
        <v>9.5609090909090906</v>
      </c>
      <c r="AF270" s="868">
        <v>42291</v>
      </c>
      <c r="AG270" s="848">
        <v>19.100000000000001</v>
      </c>
      <c r="AH270" s="848" t="s">
        <v>1138</v>
      </c>
      <c r="AI270" s="848">
        <v>20.100000000000001</v>
      </c>
      <c r="AJ270" s="848">
        <v>10.199999999999999</v>
      </c>
      <c r="AK270" s="848">
        <v>5558.42</v>
      </c>
      <c r="AL270" s="848">
        <v>1928</v>
      </c>
      <c r="AM270" s="848">
        <v>17.2</v>
      </c>
      <c r="AO270" s="834"/>
      <c r="AP270" s="834"/>
      <c r="AQ270" s="834"/>
      <c r="AR270" s="834"/>
      <c r="AS270" s="834"/>
      <c r="AT270" s="834"/>
      <c r="AU270" s="834"/>
      <c r="AV270" s="834"/>
      <c r="AW270" s="1056">
        <v>42272</v>
      </c>
      <c r="AX270" s="1053">
        <v>1916</v>
      </c>
    </row>
    <row r="271" spans="1:50" ht="14.5">
      <c r="A271" s="1" t="s">
        <v>688</v>
      </c>
      <c r="B271" s="75">
        <v>41355</v>
      </c>
      <c r="C271">
        <v>12.4</v>
      </c>
      <c r="AF271" s="868">
        <v>42292</v>
      </c>
      <c r="AG271" s="848">
        <v>19</v>
      </c>
      <c r="AH271" s="848" t="s">
        <v>1138</v>
      </c>
      <c r="AI271" s="848">
        <v>19.600000000000001</v>
      </c>
      <c r="AJ271" s="848">
        <v>5.76</v>
      </c>
      <c r="AK271" s="848">
        <v>5558.34</v>
      </c>
      <c r="AL271" s="848">
        <v>1919</v>
      </c>
      <c r="AM271" s="848">
        <v>12.8</v>
      </c>
      <c r="AO271" s="834"/>
      <c r="AP271" s="834"/>
      <c r="AQ271" s="834"/>
      <c r="AR271" s="834"/>
      <c r="AS271" s="834"/>
      <c r="AT271" s="834"/>
      <c r="AU271" s="834"/>
      <c r="AV271" s="834"/>
      <c r="AW271" s="1056">
        <v>42273</v>
      </c>
      <c r="AX271" s="1053">
        <v>1916</v>
      </c>
    </row>
    <row r="272" spans="1:50" ht="14.5">
      <c r="A272" s="1" t="s">
        <v>688</v>
      </c>
      <c r="B272" s="75">
        <v>41356</v>
      </c>
      <c r="C272">
        <v>14.8</v>
      </c>
      <c r="AF272" s="868">
        <v>42293</v>
      </c>
      <c r="AG272" s="848">
        <v>19.5</v>
      </c>
      <c r="AH272" s="848" t="s">
        <v>1138</v>
      </c>
      <c r="AI272" s="848">
        <v>20.2</v>
      </c>
      <c r="AJ272" s="848">
        <v>3.32</v>
      </c>
      <c r="AK272" s="848">
        <v>5558.29</v>
      </c>
      <c r="AL272" s="848">
        <v>1914</v>
      </c>
      <c r="AM272" s="848">
        <v>9.92</v>
      </c>
      <c r="AO272" s="834"/>
      <c r="AP272" s="834"/>
      <c r="AQ272" s="834"/>
      <c r="AR272" s="834"/>
      <c r="AS272" s="834"/>
      <c r="AT272" s="834"/>
      <c r="AU272" s="834"/>
      <c r="AV272" s="834"/>
      <c r="AW272" s="1056">
        <v>42274</v>
      </c>
      <c r="AX272" s="1053">
        <v>1915</v>
      </c>
    </row>
    <row r="273" spans="1:50" ht="14.5">
      <c r="A273" s="1" t="s">
        <v>688</v>
      </c>
      <c r="B273" s="75">
        <v>41357</v>
      </c>
      <c r="C273">
        <v>13.4</v>
      </c>
      <c r="AF273" s="868">
        <v>42294</v>
      </c>
      <c r="AG273" s="848">
        <v>20.100000000000001</v>
      </c>
      <c r="AH273" s="848">
        <v>5</v>
      </c>
      <c r="AI273" s="848">
        <v>19.2</v>
      </c>
      <c r="AJ273" s="848">
        <v>2.38</v>
      </c>
      <c r="AK273" s="848">
        <v>5558.27</v>
      </c>
      <c r="AL273" s="848">
        <v>1912</v>
      </c>
      <c r="AM273" s="848">
        <v>9.1</v>
      </c>
      <c r="AO273" s="834"/>
      <c r="AP273" s="834"/>
      <c r="AQ273" s="834"/>
      <c r="AR273" s="834"/>
      <c r="AS273" s="834"/>
      <c r="AT273" s="834"/>
      <c r="AU273" s="834"/>
      <c r="AV273" s="834"/>
      <c r="AW273" s="1056">
        <v>42275</v>
      </c>
      <c r="AX273" s="1053">
        <v>1913</v>
      </c>
    </row>
    <row r="274" spans="1:50" ht="14.5">
      <c r="A274" s="1" t="s">
        <v>688</v>
      </c>
      <c r="B274" s="75">
        <v>41358</v>
      </c>
      <c r="C274">
        <v>13</v>
      </c>
      <c r="AF274" s="868">
        <v>42295</v>
      </c>
      <c r="AG274" s="848">
        <v>20.399999999999999</v>
      </c>
      <c r="AH274" s="848">
        <v>6</v>
      </c>
      <c r="AI274" s="848">
        <v>21</v>
      </c>
      <c r="AJ274" s="848">
        <v>2.2599999999999998</v>
      </c>
      <c r="AK274" s="848">
        <v>5558.26</v>
      </c>
      <c r="AL274" s="848">
        <v>1910</v>
      </c>
      <c r="AM274" s="848">
        <v>11.4</v>
      </c>
      <c r="AO274" s="834"/>
      <c r="AP274" s="834"/>
      <c r="AQ274" s="834"/>
      <c r="AR274" s="834"/>
      <c r="AS274" s="834"/>
      <c r="AT274" s="834"/>
      <c r="AU274" s="834"/>
      <c r="AV274" s="834"/>
      <c r="AW274" s="1056">
        <v>42276</v>
      </c>
      <c r="AX274" s="1053">
        <v>1912</v>
      </c>
    </row>
    <row r="275" spans="1:50" ht="14.5">
      <c r="A275" s="1" t="s">
        <v>688</v>
      </c>
      <c r="B275" s="75">
        <v>41359</v>
      </c>
      <c r="C275">
        <v>12.7</v>
      </c>
      <c r="AF275" s="868">
        <v>42296</v>
      </c>
      <c r="AG275" s="848">
        <v>21</v>
      </c>
      <c r="AH275" s="848">
        <v>6</v>
      </c>
      <c r="AI275" s="848">
        <v>20.8</v>
      </c>
      <c r="AJ275" s="848">
        <v>2.4</v>
      </c>
      <c r="AK275" s="848">
        <v>5558.27</v>
      </c>
      <c r="AL275" s="848">
        <v>1912</v>
      </c>
      <c r="AM275" s="848">
        <v>11.6</v>
      </c>
      <c r="AO275" s="834"/>
      <c r="AP275" s="834"/>
      <c r="AQ275" s="834"/>
      <c r="AR275" s="834"/>
      <c r="AS275" s="834"/>
      <c r="AT275" s="834"/>
      <c r="AU275" s="834"/>
      <c r="AV275" s="834"/>
      <c r="AW275" s="1056">
        <v>42277</v>
      </c>
      <c r="AX275" s="1053">
        <v>1913</v>
      </c>
    </row>
    <row r="276" spans="1:50" ht="14.5">
      <c r="A276" s="1" t="s">
        <v>688</v>
      </c>
      <c r="B276" s="75">
        <v>41360</v>
      </c>
      <c r="C276">
        <v>8.4600000000000009</v>
      </c>
      <c r="AF276" s="868">
        <v>42297</v>
      </c>
      <c r="AG276" s="848">
        <v>21</v>
      </c>
      <c r="AH276" s="848" t="s">
        <v>1138</v>
      </c>
      <c r="AI276" s="848">
        <v>23.1</v>
      </c>
      <c r="AJ276" s="848">
        <v>3.38</v>
      </c>
      <c r="AK276" s="848">
        <v>5558.29</v>
      </c>
      <c r="AL276" s="848">
        <v>1914</v>
      </c>
      <c r="AM276" s="848">
        <v>11.6</v>
      </c>
      <c r="AO276" s="834"/>
      <c r="AP276" s="834"/>
      <c r="AQ276" s="834"/>
      <c r="AR276" s="834"/>
      <c r="AS276" s="834"/>
      <c r="AT276" s="834"/>
      <c r="AU276" s="834"/>
      <c r="AV276" s="834"/>
      <c r="AW276" s="1056">
        <v>42278</v>
      </c>
      <c r="AX276" s="1053">
        <v>1914</v>
      </c>
    </row>
    <row r="277" spans="1:50" ht="14.5">
      <c r="A277" s="1" t="s">
        <v>688</v>
      </c>
      <c r="B277" s="75">
        <v>41361</v>
      </c>
      <c r="C277">
        <v>4.8</v>
      </c>
      <c r="AF277" s="868">
        <v>42298</v>
      </c>
      <c r="AG277" s="848">
        <v>32.4</v>
      </c>
      <c r="AH277" s="848" t="s">
        <v>1138</v>
      </c>
      <c r="AI277" s="848">
        <v>50.4</v>
      </c>
      <c r="AJ277" s="848">
        <v>31.1</v>
      </c>
      <c r="AK277" s="848">
        <v>5558.64</v>
      </c>
      <c r="AL277" s="848">
        <v>1953</v>
      </c>
      <c r="AM277" s="848">
        <v>79.099999999999994</v>
      </c>
      <c r="AO277" s="834"/>
      <c r="AP277" s="834"/>
      <c r="AQ277" s="834"/>
      <c r="AR277" s="834"/>
      <c r="AS277" s="834"/>
      <c r="AT277" s="834"/>
      <c r="AU277" s="834"/>
      <c r="AV277" s="834"/>
      <c r="AW277" s="1056">
        <v>42279</v>
      </c>
      <c r="AX277" s="1053">
        <v>1914</v>
      </c>
    </row>
    <row r="278" spans="1:50" ht="14.5">
      <c r="A278" s="1" t="s">
        <v>688</v>
      </c>
      <c r="B278" s="75">
        <v>41362</v>
      </c>
      <c r="C278">
        <v>4.5199999999999996</v>
      </c>
      <c r="AF278" s="868">
        <v>42299</v>
      </c>
      <c r="AG278" s="848">
        <v>33.4</v>
      </c>
      <c r="AH278" s="848" t="s">
        <v>1138</v>
      </c>
      <c r="AI278" s="848">
        <v>54.5</v>
      </c>
      <c r="AJ278" s="848">
        <v>58.2</v>
      </c>
      <c r="AK278" s="848">
        <v>5558.89</v>
      </c>
      <c r="AL278" s="848">
        <v>1980</v>
      </c>
      <c r="AM278" s="848">
        <v>118</v>
      </c>
      <c r="AO278" s="834"/>
      <c r="AP278" s="834"/>
      <c r="AQ278" s="834"/>
      <c r="AR278" s="834"/>
      <c r="AS278" s="834"/>
      <c r="AT278" s="834"/>
      <c r="AU278" s="834"/>
      <c r="AV278" s="834"/>
      <c r="AW278" s="1056">
        <v>42280</v>
      </c>
      <c r="AX278" s="1053">
        <v>1913</v>
      </c>
    </row>
    <row r="279" spans="1:50" ht="14.5">
      <c r="A279" s="1" t="s">
        <v>688</v>
      </c>
      <c r="B279" s="75">
        <v>41363</v>
      </c>
      <c r="C279">
        <v>4.1100000000000003</v>
      </c>
      <c r="AF279" s="868">
        <v>42300</v>
      </c>
      <c r="AG279" s="848">
        <v>31</v>
      </c>
      <c r="AH279" s="848">
        <v>7</v>
      </c>
      <c r="AI279" s="848">
        <v>48.1</v>
      </c>
      <c r="AJ279" s="848">
        <v>69.8</v>
      </c>
      <c r="AK279" s="848">
        <v>5558.81</v>
      </c>
      <c r="AL279" s="848">
        <v>1971</v>
      </c>
      <c r="AM279" s="848">
        <v>92.8</v>
      </c>
      <c r="AO279" s="834"/>
      <c r="AP279" s="834"/>
      <c r="AQ279" s="834"/>
      <c r="AR279" s="834"/>
      <c r="AS279" s="834"/>
      <c r="AT279" s="834"/>
      <c r="AU279" s="834"/>
      <c r="AV279" s="834"/>
      <c r="AW279" s="1056">
        <v>42281</v>
      </c>
      <c r="AX279" s="1053">
        <v>1914</v>
      </c>
    </row>
    <row r="280" spans="1:50" ht="14.5">
      <c r="A280" s="1" t="s">
        <v>688</v>
      </c>
      <c r="B280" s="75">
        <v>41364</v>
      </c>
      <c r="C280">
        <v>3.98</v>
      </c>
      <c r="AF280" s="868">
        <v>42301</v>
      </c>
      <c r="AG280" s="848" t="s">
        <v>1138</v>
      </c>
      <c r="AH280" s="848" t="s">
        <v>1138</v>
      </c>
      <c r="AI280" s="848">
        <v>40.700000000000003</v>
      </c>
      <c r="AJ280" s="848">
        <v>67.2</v>
      </c>
      <c r="AK280" s="848">
        <v>5558.15</v>
      </c>
      <c r="AL280" s="848">
        <v>1899</v>
      </c>
      <c r="AM280" s="848">
        <v>85.1</v>
      </c>
      <c r="AO280" s="834"/>
      <c r="AP280" s="834"/>
      <c r="AQ280" s="834"/>
      <c r="AR280" s="834"/>
      <c r="AS280" s="834"/>
      <c r="AT280" s="834"/>
      <c r="AU280" s="834"/>
      <c r="AV280" s="834"/>
      <c r="AW280" s="1056">
        <v>42282</v>
      </c>
      <c r="AX280" s="1053">
        <v>1916</v>
      </c>
    </row>
    <row r="281" spans="1:50" ht="14.5">
      <c r="A281" s="1" t="s">
        <v>688</v>
      </c>
      <c r="B281" s="75">
        <v>41365</v>
      </c>
      <c r="C281">
        <v>2.34</v>
      </c>
      <c r="D281">
        <f>AVERAGE(C281:C310)</f>
        <v>12.857499999999996</v>
      </c>
      <c r="AF281" s="868">
        <v>42302</v>
      </c>
      <c r="AG281" s="848">
        <v>25.4</v>
      </c>
      <c r="AH281" s="848" t="s">
        <v>1138</v>
      </c>
      <c r="AI281" s="848">
        <v>37.1</v>
      </c>
      <c r="AJ281" s="848">
        <v>65.8</v>
      </c>
      <c r="AK281" s="848">
        <v>5557.38</v>
      </c>
      <c r="AL281" s="848">
        <v>1818</v>
      </c>
      <c r="AM281" s="848">
        <v>82.2</v>
      </c>
      <c r="AO281" s="834"/>
      <c r="AP281" s="834"/>
      <c r="AQ281" s="834"/>
      <c r="AR281" s="834"/>
      <c r="AS281" s="834"/>
      <c r="AT281" s="834"/>
      <c r="AU281" s="834"/>
      <c r="AV281" s="834"/>
      <c r="AW281" s="1056">
        <v>42283</v>
      </c>
      <c r="AX281" s="1053">
        <v>1941</v>
      </c>
    </row>
    <row r="282" spans="1:50" ht="14.5">
      <c r="A282" s="1" t="s">
        <v>688</v>
      </c>
      <c r="B282" s="75">
        <v>41366</v>
      </c>
      <c r="C282">
        <v>0.82499999999999996</v>
      </c>
      <c r="AF282" s="868">
        <v>42303</v>
      </c>
      <c r="AG282" s="848">
        <v>25.7</v>
      </c>
      <c r="AH282" s="848" t="s">
        <v>1138</v>
      </c>
      <c r="AI282" s="848">
        <v>32.799999999999997</v>
      </c>
      <c r="AJ282" s="848">
        <v>64.400000000000006</v>
      </c>
      <c r="AK282" s="848">
        <v>5556.47</v>
      </c>
      <c r="AL282" s="848">
        <v>1724</v>
      </c>
      <c r="AM282" s="848">
        <v>80.599999999999994</v>
      </c>
      <c r="AO282" s="834"/>
      <c r="AP282" s="834"/>
      <c r="AQ282" s="834"/>
      <c r="AR282" s="834"/>
      <c r="AS282" s="834"/>
      <c r="AT282" s="834"/>
      <c r="AU282" s="834"/>
      <c r="AV282" s="834"/>
      <c r="AW282" s="1056">
        <v>42284</v>
      </c>
      <c r="AX282" s="1053">
        <v>1935</v>
      </c>
    </row>
    <row r="283" spans="1:50" ht="14.5">
      <c r="A283" s="1" t="s">
        <v>688</v>
      </c>
      <c r="B283" s="75">
        <v>41367</v>
      </c>
      <c r="C283">
        <v>1.52</v>
      </c>
      <c r="AF283" s="868">
        <v>42304</v>
      </c>
      <c r="AG283" s="848">
        <v>24.3</v>
      </c>
      <c r="AH283" s="848" t="s">
        <v>1138</v>
      </c>
      <c r="AI283" s="848">
        <v>34.5</v>
      </c>
      <c r="AJ283" s="848">
        <v>62.3</v>
      </c>
      <c r="AK283" s="848">
        <v>5555.42</v>
      </c>
      <c r="AL283" s="848">
        <v>1618</v>
      </c>
      <c r="AM283" s="848">
        <v>86.3</v>
      </c>
      <c r="AO283" s="834"/>
      <c r="AP283" s="834"/>
      <c r="AQ283" s="834"/>
      <c r="AR283" s="834"/>
      <c r="AS283" s="834"/>
      <c r="AT283" s="834"/>
      <c r="AU283" s="834"/>
      <c r="AV283" s="834"/>
      <c r="AW283" s="1056">
        <v>42285</v>
      </c>
      <c r="AX283" s="1053">
        <v>1941</v>
      </c>
    </row>
    <row r="284" spans="1:50" ht="14.5">
      <c r="A284" s="1" t="s">
        <v>688</v>
      </c>
      <c r="B284" s="75">
        <v>41368</v>
      </c>
      <c r="C284">
        <v>4.1500000000000004</v>
      </c>
      <c r="AF284" s="868">
        <v>42305</v>
      </c>
      <c r="AG284" s="848">
        <v>23.1</v>
      </c>
      <c r="AH284" s="848" t="s">
        <v>1138</v>
      </c>
      <c r="AI284" s="848">
        <v>30.3</v>
      </c>
      <c r="AJ284" s="848">
        <v>61.1</v>
      </c>
      <c r="AK284" s="848">
        <v>5554.34</v>
      </c>
      <c r="AL284" s="848">
        <v>1512</v>
      </c>
      <c r="AM284" s="848">
        <v>88.2</v>
      </c>
      <c r="AO284" s="834"/>
      <c r="AP284" s="834"/>
      <c r="AQ284" s="834"/>
      <c r="AR284" s="834"/>
      <c r="AS284" s="834"/>
      <c r="AT284" s="834"/>
      <c r="AU284" s="834"/>
      <c r="AV284" s="834"/>
      <c r="AW284" s="1056">
        <v>42286</v>
      </c>
      <c r="AX284" s="1053">
        <v>1930</v>
      </c>
    </row>
    <row r="285" spans="1:50" ht="14.5">
      <c r="A285" s="1" t="s">
        <v>688</v>
      </c>
      <c r="B285" s="75">
        <v>41369</v>
      </c>
      <c r="C285">
        <v>4.29</v>
      </c>
      <c r="AF285" s="868">
        <v>42306</v>
      </c>
      <c r="AG285" s="848">
        <v>23.7</v>
      </c>
      <c r="AH285" s="848">
        <v>5.34</v>
      </c>
      <c r="AI285" s="848">
        <v>30.2</v>
      </c>
      <c r="AJ285" s="848">
        <v>37.4</v>
      </c>
      <c r="AK285" s="848">
        <v>5553.27</v>
      </c>
      <c r="AL285" s="848">
        <v>1412</v>
      </c>
      <c r="AM285" s="848">
        <v>74.7</v>
      </c>
      <c r="AO285" s="834"/>
      <c r="AP285" s="834"/>
      <c r="AQ285" s="834"/>
      <c r="AR285" s="834"/>
      <c r="AS285" s="834"/>
      <c r="AT285" s="834"/>
      <c r="AU285" s="834"/>
      <c r="AV285" s="834"/>
      <c r="AW285" s="1056">
        <v>42287</v>
      </c>
      <c r="AX285" s="1053">
        <v>1925</v>
      </c>
    </row>
    <row r="286" spans="1:50" ht="14.5">
      <c r="A286" s="1" t="s">
        <v>688</v>
      </c>
      <c r="B286" s="75">
        <v>41370</v>
      </c>
      <c r="C286">
        <v>3.37</v>
      </c>
      <c r="AF286" s="868">
        <v>42307</v>
      </c>
      <c r="AG286" s="848">
        <v>23.2</v>
      </c>
      <c r="AH286" s="848">
        <v>3.87</v>
      </c>
      <c r="AI286" s="848">
        <v>30.2</v>
      </c>
      <c r="AJ286" s="848">
        <v>3.5</v>
      </c>
      <c r="AK286" s="848">
        <v>5553.12</v>
      </c>
      <c r="AL286" s="848">
        <v>1398</v>
      </c>
      <c r="AM286" s="848">
        <v>26.7</v>
      </c>
      <c r="AO286" s="834"/>
      <c r="AP286" s="834"/>
      <c r="AQ286" s="834"/>
      <c r="AR286" s="834"/>
      <c r="AS286" s="834"/>
      <c r="AT286" s="834"/>
      <c r="AU286" s="834"/>
      <c r="AV286" s="834"/>
      <c r="AW286" s="1056">
        <v>42288</v>
      </c>
      <c r="AX286" s="1053">
        <v>1921</v>
      </c>
    </row>
    <row r="287" spans="1:50" ht="14.5">
      <c r="A287" s="1" t="s">
        <v>688</v>
      </c>
      <c r="B287" s="75">
        <v>41371</v>
      </c>
      <c r="C287">
        <v>2.77</v>
      </c>
      <c r="AF287" s="868">
        <v>42308</v>
      </c>
      <c r="AG287" s="848">
        <v>22</v>
      </c>
      <c r="AH287" s="848">
        <v>5.21</v>
      </c>
      <c r="AI287" s="848">
        <v>30.4</v>
      </c>
      <c r="AJ287" s="848">
        <v>3.88</v>
      </c>
      <c r="AK287" s="848">
        <v>5553.14</v>
      </c>
      <c r="AL287" s="848">
        <v>1400</v>
      </c>
      <c r="AM287" s="848">
        <v>28.4</v>
      </c>
      <c r="AO287" s="834"/>
      <c r="AP287" s="834"/>
      <c r="AQ287" s="834"/>
      <c r="AR287" s="834"/>
      <c r="AS287" s="834"/>
      <c r="AT287" s="834"/>
      <c r="AU287" s="834"/>
      <c r="AV287" s="834"/>
      <c r="AW287" s="1056">
        <v>42289</v>
      </c>
      <c r="AX287" s="1053">
        <v>1922</v>
      </c>
    </row>
    <row r="288" spans="1:50" ht="14.5">
      <c r="A288" s="1" t="s">
        <v>688</v>
      </c>
      <c r="B288" s="75">
        <v>41372</v>
      </c>
      <c r="C288">
        <v>3.93</v>
      </c>
      <c r="AF288" s="868">
        <v>42309</v>
      </c>
      <c r="AG288" s="848">
        <v>22.4</v>
      </c>
      <c r="AH288" s="848">
        <v>2.98</v>
      </c>
      <c r="AI288" s="848">
        <v>24.7</v>
      </c>
      <c r="AJ288" s="848">
        <v>3.59</v>
      </c>
      <c r="AK288" s="848">
        <v>5553.15</v>
      </c>
      <c r="AL288" s="848">
        <v>1401</v>
      </c>
      <c r="AM288" s="848">
        <v>26.7</v>
      </c>
      <c r="AO288" s="834"/>
      <c r="AP288" s="834"/>
      <c r="AQ288" s="834"/>
      <c r="AR288" s="834"/>
      <c r="AS288" s="834"/>
      <c r="AT288" s="834"/>
      <c r="AU288" s="834"/>
      <c r="AV288" s="834"/>
      <c r="AW288" s="1056">
        <v>42290</v>
      </c>
      <c r="AX288" s="1053">
        <v>1931</v>
      </c>
    </row>
    <row r="289" spans="1:50" ht="14.5">
      <c r="A289" s="1" t="s">
        <v>688</v>
      </c>
      <c r="B289" s="75">
        <v>41373</v>
      </c>
      <c r="C289">
        <v>5.93</v>
      </c>
      <c r="AF289" s="868">
        <v>42310</v>
      </c>
      <c r="AG289" s="848">
        <v>21.8</v>
      </c>
      <c r="AH289" s="848">
        <v>3.27</v>
      </c>
      <c r="AI289" s="848">
        <v>25.5</v>
      </c>
      <c r="AJ289" s="848">
        <v>1.81</v>
      </c>
      <c r="AK289" s="848">
        <v>5553.15</v>
      </c>
      <c r="AL289" s="848">
        <v>1401</v>
      </c>
      <c r="AM289" s="848">
        <v>25</v>
      </c>
      <c r="AO289" s="834"/>
      <c r="AW289" s="1056">
        <v>42291</v>
      </c>
      <c r="AX289" s="1053">
        <v>1928</v>
      </c>
    </row>
    <row r="290" spans="1:50" ht="14.5">
      <c r="A290" s="1" t="s">
        <v>688</v>
      </c>
      <c r="B290" s="75">
        <v>41374</v>
      </c>
      <c r="C290">
        <v>6.28</v>
      </c>
      <c r="AF290" s="868">
        <v>42311</v>
      </c>
      <c r="AG290" s="848">
        <v>21.5</v>
      </c>
      <c r="AH290" s="848">
        <v>4.34</v>
      </c>
      <c r="AI290" s="848">
        <v>24.3</v>
      </c>
      <c r="AJ290" s="848">
        <v>0</v>
      </c>
      <c r="AK290" s="848">
        <v>5553.28</v>
      </c>
      <c r="AL290" s="848">
        <v>1413</v>
      </c>
      <c r="AM290" s="848">
        <v>16.5</v>
      </c>
      <c r="AO290" s="834"/>
      <c r="AW290" s="1056">
        <v>42292</v>
      </c>
      <c r="AX290" s="1053">
        <v>1919</v>
      </c>
    </row>
    <row r="291" spans="1:50" ht="14.5">
      <c r="A291" s="1" t="s">
        <v>688</v>
      </c>
      <c r="B291" s="75">
        <v>41375</v>
      </c>
      <c r="C291">
        <v>5.51</v>
      </c>
      <c r="AF291" s="868">
        <v>42312</v>
      </c>
      <c r="AG291" s="848">
        <v>21.5</v>
      </c>
      <c r="AH291" s="848">
        <v>4.25</v>
      </c>
      <c r="AI291" s="848">
        <v>25.6</v>
      </c>
      <c r="AJ291" s="848">
        <v>0</v>
      </c>
      <c r="AK291" s="848">
        <v>5553.48</v>
      </c>
      <c r="AL291" s="848">
        <v>1431</v>
      </c>
      <c r="AM291" s="848">
        <v>26.1</v>
      </c>
      <c r="AO291" s="834"/>
      <c r="AW291" s="1056">
        <v>42293</v>
      </c>
      <c r="AX291" s="1053">
        <v>1914</v>
      </c>
    </row>
    <row r="292" spans="1:50" ht="14.5">
      <c r="A292" s="1" t="s">
        <v>688</v>
      </c>
      <c r="B292" s="75">
        <v>41376</v>
      </c>
      <c r="C292">
        <v>6.43</v>
      </c>
      <c r="AF292" s="868">
        <v>42313</v>
      </c>
      <c r="AG292" s="848">
        <v>23.4</v>
      </c>
      <c r="AH292" s="848">
        <v>7.44</v>
      </c>
      <c r="AI292" s="848">
        <v>33.200000000000003</v>
      </c>
      <c r="AJ292" s="848">
        <v>0</v>
      </c>
      <c r="AK292" s="848">
        <v>5553.83</v>
      </c>
      <c r="AL292" s="848">
        <v>1463</v>
      </c>
      <c r="AM292" s="848">
        <v>53.8</v>
      </c>
      <c r="AO292" s="834"/>
      <c r="AW292" s="1056">
        <v>42294</v>
      </c>
      <c r="AX292" s="1053">
        <v>1912</v>
      </c>
    </row>
    <row r="293" spans="1:50" ht="14.5">
      <c r="A293" s="1" t="s">
        <v>688</v>
      </c>
      <c r="B293" s="75">
        <v>41377</v>
      </c>
      <c r="C293">
        <v>5.18</v>
      </c>
      <c r="AF293" s="868">
        <v>42314</v>
      </c>
      <c r="AG293" s="848">
        <v>18.3</v>
      </c>
      <c r="AH293" s="848">
        <v>2.12</v>
      </c>
      <c r="AI293" s="848">
        <v>28.1</v>
      </c>
      <c r="AJ293" s="848">
        <v>0</v>
      </c>
      <c r="AK293" s="848">
        <v>5553.47</v>
      </c>
      <c r="AL293" s="848">
        <v>1454</v>
      </c>
      <c r="AM293" s="848">
        <v>22.8</v>
      </c>
      <c r="AO293" s="834"/>
      <c r="AW293" s="1056">
        <v>42295</v>
      </c>
      <c r="AX293" s="1053">
        <v>1910</v>
      </c>
    </row>
    <row r="294" spans="1:50" ht="14.5">
      <c r="A294" s="1" t="s">
        <v>688</v>
      </c>
      <c r="B294" s="75">
        <v>41378</v>
      </c>
      <c r="C294">
        <v>6.3</v>
      </c>
      <c r="AF294" s="868">
        <v>42315</v>
      </c>
      <c r="AG294" s="848">
        <v>18.399999999999999</v>
      </c>
      <c r="AH294" s="848">
        <v>1.0900000000000001</v>
      </c>
      <c r="AI294" s="848">
        <v>19.899999999999999</v>
      </c>
      <c r="AJ294" s="848">
        <v>0</v>
      </c>
      <c r="AK294" s="848">
        <v>5554.15</v>
      </c>
      <c r="AL294" s="848">
        <v>1494</v>
      </c>
      <c r="AM294" s="848">
        <v>21.6</v>
      </c>
      <c r="AO294" s="834"/>
      <c r="AW294" s="1056">
        <v>42296</v>
      </c>
      <c r="AX294" s="1053">
        <v>1912</v>
      </c>
    </row>
    <row r="295" spans="1:50" ht="14.5">
      <c r="A295" s="1" t="s">
        <v>688</v>
      </c>
      <c r="B295" s="75">
        <v>41379</v>
      </c>
      <c r="C295">
        <v>7</v>
      </c>
      <c r="AF295" s="868">
        <v>42316</v>
      </c>
      <c r="AG295" s="848">
        <v>24</v>
      </c>
      <c r="AH295" s="848">
        <v>3.66</v>
      </c>
      <c r="AI295" s="848">
        <v>21.8</v>
      </c>
      <c r="AJ295" s="848">
        <v>0</v>
      </c>
      <c r="AK295" s="848">
        <v>5554.23</v>
      </c>
      <c r="AL295" s="848">
        <v>1502</v>
      </c>
      <c r="AM295" s="848">
        <v>22.9</v>
      </c>
      <c r="AO295" s="834"/>
      <c r="AW295" s="1056">
        <v>42297</v>
      </c>
      <c r="AX295" s="1053">
        <v>1914</v>
      </c>
    </row>
    <row r="296" spans="1:50" ht="14.5">
      <c r="A296" s="1" t="s">
        <v>688</v>
      </c>
      <c r="B296" s="75">
        <v>41380</v>
      </c>
      <c r="C296">
        <v>11.8</v>
      </c>
      <c r="AF296" s="868">
        <v>42317</v>
      </c>
      <c r="AG296" s="848">
        <v>23.5</v>
      </c>
      <c r="AH296" s="848">
        <v>7.84</v>
      </c>
      <c r="AI296" s="848">
        <v>26.1</v>
      </c>
      <c r="AJ296" s="848">
        <v>0</v>
      </c>
      <c r="AK296" s="848">
        <v>5554.45</v>
      </c>
      <c r="AL296" s="848">
        <v>1523</v>
      </c>
      <c r="AM296" s="848">
        <v>21.5</v>
      </c>
      <c r="AO296" s="834"/>
      <c r="AW296" s="1056">
        <v>42298</v>
      </c>
      <c r="AX296" s="1053">
        <v>1953</v>
      </c>
    </row>
    <row r="297" spans="1:50" ht="14.5">
      <c r="A297" s="1" t="s">
        <v>688</v>
      </c>
      <c r="B297" s="75">
        <v>41381</v>
      </c>
      <c r="C297">
        <v>12.9</v>
      </c>
      <c r="AF297" s="868">
        <v>42318</v>
      </c>
      <c r="AG297" s="848">
        <v>21</v>
      </c>
      <c r="AH297" s="848">
        <v>6.39</v>
      </c>
      <c r="AI297" s="848">
        <v>25.5</v>
      </c>
      <c r="AJ297" s="848">
        <v>0</v>
      </c>
      <c r="AK297" s="848">
        <v>5554.37</v>
      </c>
      <c r="AL297" s="848">
        <v>1527</v>
      </c>
      <c r="AM297" s="848">
        <v>19.2</v>
      </c>
      <c r="AO297" s="834"/>
      <c r="AW297" s="1056">
        <v>42299</v>
      </c>
      <c r="AX297" s="1053">
        <v>1980</v>
      </c>
    </row>
    <row r="298" spans="1:50" ht="14.5">
      <c r="A298" s="1" t="s">
        <v>688</v>
      </c>
      <c r="B298" s="75">
        <v>41382</v>
      </c>
      <c r="C298">
        <v>12.3</v>
      </c>
      <c r="AF298" s="868">
        <v>42319</v>
      </c>
      <c r="AG298" s="848" t="s">
        <v>1138</v>
      </c>
      <c r="AH298" s="848">
        <v>7.27</v>
      </c>
      <c r="AI298" s="848">
        <v>33.299999999999997</v>
      </c>
      <c r="AJ298" s="848">
        <v>0</v>
      </c>
      <c r="AK298" s="848">
        <v>5554.9</v>
      </c>
      <c r="AL298" s="848">
        <v>1567</v>
      </c>
      <c r="AM298" s="848">
        <v>36.9</v>
      </c>
      <c r="AO298" s="834"/>
      <c r="AW298" s="1056">
        <v>42300</v>
      </c>
      <c r="AX298" s="1053">
        <v>1971</v>
      </c>
    </row>
    <row r="299" spans="1:50" ht="14.5">
      <c r="A299" s="1" t="s">
        <v>688</v>
      </c>
      <c r="B299" s="75">
        <v>41383</v>
      </c>
      <c r="C299">
        <v>11</v>
      </c>
      <c r="AF299" s="868">
        <v>42320</v>
      </c>
      <c r="AG299" s="848" t="s">
        <v>1138</v>
      </c>
      <c r="AH299" s="848">
        <v>2.3199999999999998</v>
      </c>
      <c r="AI299" s="848">
        <v>21</v>
      </c>
      <c r="AJ299" s="848">
        <v>0</v>
      </c>
      <c r="AK299" s="848">
        <v>5555.09</v>
      </c>
      <c r="AL299" s="848">
        <v>1586</v>
      </c>
      <c r="AM299" s="848">
        <v>23</v>
      </c>
      <c r="AO299" s="834"/>
      <c r="AW299" s="1056">
        <v>42301</v>
      </c>
      <c r="AX299" s="1053">
        <v>1899</v>
      </c>
    </row>
    <row r="300" spans="1:50" ht="14.5">
      <c r="A300" s="1" t="s">
        <v>688</v>
      </c>
      <c r="B300" s="75">
        <v>41384</v>
      </c>
      <c r="C300">
        <v>12</v>
      </c>
      <c r="AF300" s="868">
        <v>42321</v>
      </c>
      <c r="AG300" s="848" t="s">
        <v>1138</v>
      </c>
      <c r="AH300" s="848">
        <v>1.6</v>
      </c>
      <c r="AI300" s="848">
        <v>21.8</v>
      </c>
      <c r="AJ300" s="848">
        <v>0</v>
      </c>
      <c r="AK300" s="848">
        <v>5555.16</v>
      </c>
      <c r="AL300" s="848">
        <v>1593</v>
      </c>
      <c r="AM300" s="848">
        <v>21.6</v>
      </c>
      <c r="AO300" s="834"/>
      <c r="AW300" s="1056">
        <v>42302</v>
      </c>
      <c r="AX300" s="1053">
        <v>1818</v>
      </c>
    </row>
    <row r="301" spans="1:50" ht="14.5">
      <c r="A301" s="1" t="s">
        <v>688</v>
      </c>
      <c r="B301" s="75">
        <v>41385</v>
      </c>
      <c r="C301">
        <v>15</v>
      </c>
      <c r="AF301" s="868">
        <v>42322</v>
      </c>
      <c r="AG301" s="848" t="s">
        <v>1138</v>
      </c>
      <c r="AH301" s="848">
        <v>1.85</v>
      </c>
      <c r="AI301" s="848">
        <v>24</v>
      </c>
      <c r="AJ301" s="848">
        <v>0</v>
      </c>
      <c r="AK301" s="848">
        <v>5555.22</v>
      </c>
      <c r="AL301" s="848">
        <v>1599</v>
      </c>
      <c r="AM301" s="848">
        <v>21.5</v>
      </c>
      <c r="AO301" s="834"/>
      <c r="AW301" s="1056">
        <v>42303</v>
      </c>
      <c r="AX301" s="1053">
        <v>1724</v>
      </c>
    </row>
    <row r="302" spans="1:50" ht="14.5">
      <c r="A302" s="1" t="s">
        <v>688</v>
      </c>
      <c r="B302" s="75">
        <v>41386</v>
      </c>
      <c r="C302">
        <v>18.2</v>
      </c>
      <c r="AF302" s="868">
        <v>42323</v>
      </c>
      <c r="AG302" s="848" t="s">
        <v>1138</v>
      </c>
      <c r="AH302" s="848">
        <v>2.44</v>
      </c>
      <c r="AI302" s="848">
        <v>25.1</v>
      </c>
      <c r="AJ302" s="848">
        <v>0</v>
      </c>
      <c r="AK302" s="848">
        <v>5555.27</v>
      </c>
      <c r="AL302" s="848">
        <v>1603</v>
      </c>
      <c r="AM302" s="848">
        <v>23.5</v>
      </c>
      <c r="AO302" s="834"/>
      <c r="AW302" s="1056">
        <v>42304</v>
      </c>
      <c r="AX302" s="1053">
        <v>1618</v>
      </c>
    </row>
    <row r="303" spans="1:50" ht="14.5">
      <c r="A303" s="1" t="s">
        <v>688</v>
      </c>
      <c r="B303" s="75">
        <v>41387</v>
      </c>
      <c r="C303">
        <v>23.7</v>
      </c>
      <c r="AF303" s="868">
        <v>42324</v>
      </c>
      <c r="AG303" s="848" t="s">
        <v>1138</v>
      </c>
      <c r="AH303" s="848">
        <v>4.45</v>
      </c>
      <c r="AI303" s="848">
        <v>27.2</v>
      </c>
      <c r="AJ303" s="848">
        <v>4.18</v>
      </c>
      <c r="AK303" s="848">
        <v>5555.34</v>
      </c>
      <c r="AL303" s="848">
        <v>1610</v>
      </c>
      <c r="AM303" s="848">
        <v>31.7</v>
      </c>
      <c r="AO303" s="834"/>
      <c r="AW303" s="1056">
        <v>42305</v>
      </c>
      <c r="AX303" s="1053">
        <v>1512</v>
      </c>
    </row>
    <row r="304" spans="1:50" ht="14.5">
      <c r="A304" s="1" t="s">
        <v>688</v>
      </c>
      <c r="B304" s="75">
        <v>41388</v>
      </c>
      <c r="C304">
        <v>24.7</v>
      </c>
      <c r="AF304" s="868">
        <v>42325</v>
      </c>
      <c r="AG304" s="848" t="s">
        <v>1138</v>
      </c>
      <c r="AH304" s="848">
        <v>5.0599999999999996</v>
      </c>
      <c r="AI304" s="848">
        <v>31.8</v>
      </c>
      <c r="AJ304" s="848">
        <v>13.2</v>
      </c>
      <c r="AK304" s="848">
        <v>5555.26</v>
      </c>
      <c r="AL304" s="848">
        <v>1603</v>
      </c>
      <c r="AM304" s="848">
        <v>60.1</v>
      </c>
      <c r="AO304" s="834"/>
      <c r="AW304" s="1056">
        <v>42306</v>
      </c>
      <c r="AX304" s="1053">
        <v>1412</v>
      </c>
    </row>
    <row r="305" spans="1:50" ht="14.5">
      <c r="A305" s="1" t="s">
        <v>688</v>
      </c>
      <c r="B305" s="75">
        <v>41389</v>
      </c>
      <c r="C305">
        <v>26.3</v>
      </c>
      <c r="AF305" s="868">
        <v>42326</v>
      </c>
      <c r="AG305" s="848" t="s">
        <v>1138</v>
      </c>
      <c r="AH305" s="848">
        <v>2.94</v>
      </c>
      <c r="AI305" s="848">
        <v>23.9</v>
      </c>
      <c r="AJ305" s="848">
        <v>3.06</v>
      </c>
      <c r="AK305" s="848">
        <v>5555.17</v>
      </c>
      <c r="AL305" s="848">
        <v>1594</v>
      </c>
      <c r="AM305" s="848">
        <v>35.200000000000003</v>
      </c>
      <c r="AO305" s="834"/>
      <c r="AW305" s="1056">
        <v>42307</v>
      </c>
      <c r="AX305" s="1053">
        <v>1398</v>
      </c>
    </row>
    <row r="306" spans="1:50" ht="14.5">
      <c r="A306" s="1" t="s">
        <v>688</v>
      </c>
      <c r="B306" s="75">
        <v>41390</v>
      </c>
      <c r="C306">
        <v>24.9</v>
      </c>
      <c r="AF306" s="868">
        <v>42327</v>
      </c>
      <c r="AG306" s="848" t="s">
        <v>1138</v>
      </c>
      <c r="AH306" s="848">
        <v>3.12</v>
      </c>
      <c r="AI306" s="848">
        <v>25.7</v>
      </c>
      <c r="AJ306" s="848">
        <v>0</v>
      </c>
      <c r="AK306" s="848">
        <v>5555.26</v>
      </c>
      <c r="AL306" s="848">
        <v>1602</v>
      </c>
      <c r="AM306" s="848">
        <v>23.8</v>
      </c>
      <c r="AO306" s="834"/>
      <c r="AW306" s="1056">
        <v>42308</v>
      </c>
      <c r="AX306" s="1053">
        <v>1400</v>
      </c>
    </row>
    <row r="307" spans="1:50" ht="14.5">
      <c r="A307" s="1" t="s">
        <v>688</v>
      </c>
      <c r="B307" s="75">
        <v>41391</v>
      </c>
      <c r="C307">
        <v>25.9</v>
      </c>
      <c r="AF307" s="868">
        <v>42328</v>
      </c>
      <c r="AG307" s="848" t="s">
        <v>1138</v>
      </c>
      <c r="AH307" s="848">
        <v>13.2</v>
      </c>
      <c r="AI307" s="848">
        <v>28.8</v>
      </c>
      <c r="AJ307" s="848">
        <v>7.9</v>
      </c>
      <c r="AK307" s="848">
        <v>5555.36</v>
      </c>
      <c r="AL307" s="848">
        <v>1612</v>
      </c>
      <c r="AM307" s="848">
        <v>26.9</v>
      </c>
      <c r="AO307" s="834"/>
      <c r="AW307" s="1056">
        <v>42309</v>
      </c>
      <c r="AX307" s="1053">
        <v>1401</v>
      </c>
    </row>
    <row r="308" spans="1:50" ht="14.5">
      <c r="A308" s="1" t="s">
        <v>688</v>
      </c>
      <c r="B308" s="75">
        <v>41392</v>
      </c>
      <c r="C308">
        <v>28</v>
      </c>
      <c r="AF308" s="868">
        <v>42329</v>
      </c>
      <c r="AG308" s="848" t="s">
        <v>1138</v>
      </c>
      <c r="AH308" s="848">
        <v>24.5</v>
      </c>
      <c r="AI308" s="848">
        <v>26.4</v>
      </c>
      <c r="AJ308" s="848">
        <v>24.6</v>
      </c>
      <c r="AK308" s="848">
        <v>5555.33</v>
      </c>
      <c r="AL308" s="848">
        <v>1609</v>
      </c>
      <c r="AM308" s="848">
        <v>45.2</v>
      </c>
      <c r="AO308" s="834"/>
      <c r="AW308" s="1056">
        <v>42310</v>
      </c>
      <c r="AX308" s="1053">
        <v>1401</v>
      </c>
    </row>
    <row r="309" spans="1:50" ht="14.5">
      <c r="A309" s="1" t="s">
        <v>688</v>
      </c>
      <c r="B309" s="75">
        <v>41393</v>
      </c>
      <c r="C309">
        <v>34.5</v>
      </c>
      <c r="AF309" s="868">
        <v>42330</v>
      </c>
      <c r="AG309" s="848" t="s">
        <v>1138</v>
      </c>
      <c r="AH309" s="848">
        <v>25.7</v>
      </c>
      <c r="AI309" s="848">
        <v>28.6</v>
      </c>
      <c r="AJ309" s="848">
        <v>24.6</v>
      </c>
      <c r="AK309" s="848">
        <v>5555.22</v>
      </c>
      <c r="AL309" s="848">
        <v>1599</v>
      </c>
      <c r="AM309" s="848">
        <v>40.200000000000003</v>
      </c>
      <c r="AO309" s="834"/>
      <c r="AW309" s="1056">
        <v>42311</v>
      </c>
      <c r="AX309" s="1053">
        <v>1413</v>
      </c>
    </row>
    <row r="310" spans="1:50" ht="14.5">
      <c r="A310" s="1" t="s">
        <v>688</v>
      </c>
      <c r="B310" s="75">
        <v>41394</v>
      </c>
      <c r="C310">
        <v>38.700000000000003</v>
      </c>
      <c r="AF310" s="868">
        <v>42331</v>
      </c>
      <c r="AG310" s="848" t="s">
        <v>1138</v>
      </c>
      <c r="AH310" s="848">
        <v>17.5</v>
      </c>
      <c r="AI310" s="848">
        <v>29.1</v>
      </c>
      <c r="AJ310" s="848">
        <v>10.3</v>
      </c>
      <c r="AK310" s="848">
        <v>5555.25</v>
      </c>
      <c r="AL310" s="848">
        <v>1602</v>
      </c>
      <c r="AM310" s="848">
        <v>27.4</v>
      </c>
      <c r="AO310" s="834"/>
      <c r="AW310" s="1056">
        <v>42312</v>
      </c>
      <c r="AX310" s="1053">
        <v>1431</v>
      </c>
    </row>
    <row r="311" spans="1:50" ht="14.5">
      <c r="A311" s="1" t="s">
        <v>688</v>
      </c>
      <c r="B311" s="75">
        <v>41395</v>
      </c>
      <c r="C311">
        <v>48.7</v>
      </c>
      <c r="D311">
        <f>AVERAGE(C311:C341)</f>
        <v>99.277419354838699</v>
      </c>
      <c r="AF311" s="868">
        <v>42332</v>
      </c>
      <c r="AG311" s="848" t="s">
        <v>1138</v>
      </c>
      <c r="AH311" s="848">
        <v>11.6</v>
      </c>
      <c r="AI311" s="848">
        <v>27.9</v>
      </c>
      <c r="AJ311" s="848">
        <v>1.98</v>
      </c>
      <c r="AK311" s="848">
        <v>5555.58</v>
      </c>
      <c r="AL311" s="848">
        <v>1634</v>
      </c>
      <c r="AM311" s="848">
        <v>12.1</v>
      </c>
      <c r="AO311" s="834"/>
      <c r="AW311" s="1056">
        <v>42313</v>
      </c>
      <c r="AX311" s="1053">
        <v>1463</v>
      </c>
    </row>
    <row r="312" spans="1:50" ht="14.5">
      <c r="A312" s="1" t="s">
        <v>688</v>
      </c>
      <c r="B312" s="75">
        <v>41396</v>
      </c>
      <c r="C312">
        <v>47.7</v>
      </c>
      <c r="AF312" s="868">
        <v>42333</v>
      </c>
      <c r="AG312" s="848" t="s">
        <v>1138</v>
      </c>
      <c r="AH312" s="848" t="s">
        <v>1138</v>
      </c>
      <c r="AI312" s="848">
        <v>25.2</v>
      </c>
      <c r="AJ312" s="848">
        <v>4.0199999999999996</v>
      </c>
      <c r="AK312" s="848">
        <v>5556.09</v>
      </c>
      <c r="AL312" s="848">
        <v>1685</v>
      </c>
      <c r="AM312" s="848">
        <v>15.8</v>
      </c>
      <c r="AO312" s="834"/>
      <c r="AW312" s="1056">
        <v>42314</v>
      </c>
      <c r="AX312" s="1053">
        <v>1454</v>
      </c>
    </row>
    <row r="313" spans="1:50" ht="14.5">
      <c r="A313" s="1" t="s">
        <v>688</v>
      </c>
      <c r="B313" s="75">
        <v>41397</v>
      </c>
      <c r="C313">
        <v>48.3</v>
      </c>
      <c r="AF313" s="868">
        <v>42334</v>
      </c>
      <c r="AG313" s="848" t="s">
        <v>1138</v>
      </c>
      <c r="AH313" s="848" t="s">
        <v>1138</v>
      </c>
      <c r="AI313" s="848">
        <v>30.3</v>
      </c>
      <c r="AJ313" s="848">
        <v>4.45</v>
      </c>
      <c r="AK313" s="848">
        <v>5556.61</v>
      </c>
      <c r="AL313" s="848">
        <v>1739</v>
      </c>
      <c r="AM313" s="848">
        <v>17.100000000000001</v>
      </c>
      <c r="AO313" s="834"/>
      <c r="AW313" s="1056">
        <v>42315</v>
      </c>
      <c r="AX313" s="1053">
        <v>1494</v>
      </c>
    </row>
    <row r="314" spans="1:50" ht="14.5">
      <c r="A314" s="1" t="s">
        <v>688</v>
      </c>
      <c r="B314" s="75">
        <v>41398</v>
      </c>
      <c r="C314">
        <v>45.2</v>
      </c>
      <c r="AF314" s="868">
        <v>42335</v>
      </c>
      <c r="AG314" s="848" t="s">
        <v>1138</v>
      </c>
      <c r="AH314" s="848" t="s">
        <v>1138</v>
      </c>
      <c r="AI314" s="848">
        <v>21.3</v>
      </c>
      <c r="AJ314" s="848">
        <v>4.1900000000000004</v>
      </c>
      <c r="AK314" s="848">
        <v>5557.08</v>
      </c>
      <c r="AL314" s="848">
        <v>1786</v>
      </c>
      <c r="AM314" s="848">
        <v>17.2</v>
      </c>
      <c r="AO314" s="834"/>
      <c r="AW314" s="1056">
        <v>42316</v>
      </c>
      <c r="AX314" s="1053">
        <v>1502</v>
      </c>
    </row>
    <row r="315" spans="1:50" ht="14.5">
      <c r="A315" s="1" t="s">
        <v>688</v>
      </c>
      <c r="B315" s="75">
        <v>41399</v>
      </c>
      <c r="C315">
        <v>44.9</v>
      </c>
      <c r="AF315" s="868">
        <v>42336</v>
      </c>
      <c r="AG315" s="848" t="s">
        <v>1138</v>
      </c>
      <c r="AH315" s="848" t="s">
        <v>1138</v>
      </c>
      <c r="AI315" s="848">
        <v>30.7</v>
      </c>
      <c r="AJ315" s="848">
        <v>3.38</v>
      </c>
      <c r="AK315" s="848">
        <v>5557.43</v>
      </c>
      <c r="AL315" s="848">
        <v>1823</v>
      </c>
      <c r="AM315" s="848">
        <v>16.100000000000001</v>
      </c>
      <c r="AO315" s="834"/>
      <c r="AW315" s="1056">
        <v>42317</v>
      </c>
      <c r="AX315" s="1053">
        <v>1523</v>
      </c>
    </row>
    <row r="316" spans="1:50" ht="14.5">
      <c r="A316" s="1" t="s">
        <v>688</v>
      </c>
      <c r="B316" s="75">
        <v>41400</v>
      </c>
      <c r="C316">
        <v>44.3</v>
      </c>
      <c r="AF316" s="868">
        <v>42337</v>
      </c>
      <c r="AG316" s="848" t="s">
        <v>1138</v>
      </c>
      <c r="AH316" s="848" t="s">
        <v>1138</v>
      </c>
      <c r="AI316" s="848">
        <v>62.6</v>
      </c>
      <c r="AJ316" s="848">
        <v>3</v>
      </c>
      <c r="AK316" s="848">
        <v>5557.76</v>
      </c>
      <c r="AL316" s="848">
        <v>1858</v>
      </c>
      <c r="AM316" s="848">
        <v>15.6</v>
      </c>
      <c r="AO316" s="834"/>
      <c r="AW316" s="1056">
        <v>42318</v>
      </c>
      <c r="AX316" s="1053">
        <v>1527</v>
      </c>
    </row>
    <row r="317" spans="1:50" ht="14.5">
      <c r="A317" s="1" t="s">
        <v>688</v>
      </c>
      <c r="B317" s="75">
        <v>41401</v>
      </c>
      <c r="C317">
        <v>49.9</v>
      </c>
      <c r="AF317" s="868">
        <v>42338</v>
      </c>
      <c r="AG317" s="848" t="s">
        <v>1138</v>
      </c>
      <c r="AH317" s="848" t="s">
        <v>1138</v>
      </c>
      <c r="AI317" s="848">
        <v>90.6</v>
      </c>
      <c r="AJ317" s="848">
        <v>4.04</v>
      </c>
      <c r="AK317" s="848">
        <v>5558.2</v>
      </c>
      <c r="AL317" s="848">
        <v>1903</v>
      </c>
      <c r="AM317" s="848">
        <v>16.2</v>
      </c>
      <c r="AO317" s="834"/>
      <c r="AW317" s="1056">
        <v>42319</v>
      </c>
      <c r="AX317" s="1053">
        <v>1567</v>
      </c>
    </row>
    <row r="318" spans="1:50" ht="14.5">
      <c r="A318" s="1" t="s">
        <v>688</v>
      </c>
      <c r="B318" s="75">
        <v>41402</v>
      </c>
      <c r="C318">
        <v>58.7</v>
      </c>
      <c r="AF318" s="868">
        <v>42339</v>
      </c>
      <c r="AG318" s="848" t="s">
        <v>1138</v>
      </c>
      <c r="AH318" s="848" t="s">
        <v>1138</v>
      </c>
      <c r="AI318" s="848">
        <v>116</v>
      </c>
      <c r="AJ318" s="848">
        <v>14.3</v>
      </c>
      <c r="AK318" s="848">
        <v>5558.51</v>
      </c>
      <c r="AL318" s="848">
        <v>1937</v>
      </c>
      <c r="AM318" s="848">
        <v>22.5</v>
      </c>
      <c r="AO318" s="834"/>
      <c r="AW318" s="1056">
        <v>42320</v>
      </c>
      <c r="AX318" s="1053">
        <v>1586</v>
      </c>
    </row>
    <row r="319" spans="1:50" ht="14.5">
      <c r="A319" s="1" t="s">
        <v>688</v>
      </c>
      <c r="B319" s="75">
        <v>41403</v>
      </c>
      <c r="C319">
        <v>114</v>
      </c>
      <c r="AF319" s="868">
        <v>42340</v>
      </c>
      <c r="AG319" s="848" t="s">
        <v>1138</v>
      </c>
      <c r="AH319" s="848" t="s">
        <v>1138</v>
      </c>
      <c r="AI319" s="848">
        <v>80.099999999999994</v>
      </c>
      <c r="AJ319" s="848">
        <v>22.6</v>
      </c>
      <c r="AK319" s="848">
        <v>5558.61</v>
      </c>
      <c r="AL319" s="848">
        <v>1949</v>
      </c>
      <c r="AM319" s="848">
        <v>33.1</v>
      </c>
      <c r="AO319" s="834"/>
      <c r="AW319" s="1056">
        <v>42321</v>
      </c>
      <c r="AX319" s="1053">
        <v>1593</v>
      </c>
    </row>
    <row r="320" spans="1:50" ht="14.5">
      <c r="A320" s="1" t="s">
        <v>688</v>
      </c>
      <c r="B320" s="75">
        <v>41404</v>
      </c>
      <c r="C320">
        <v>162</v>
      </c>
      <c r="AF320" s="868">
        <v>42341</v>
      </c>
      <c r="AG320" s="848" t="s">
        <v>1138</v>
      </c>
      <c r="AH320" s="848" t="s">
        <v>1138</v>
      </c>
      <c r="AI320" s="848">
        <v>32.6</v>
      </c>
      <c r="AJ320" s="848">
        <v>24.5</v>
      </c>
      <c r="AK320" s="848">
        <v>5558.62</v>
      </c>
      <c r="AL320" s="848">
        <v>1950</v>
      </c>
      <c r="AM320" s="848">
        <v>35.1</v>
      </c>
      <c r="AO320" s="834"/>
      <c r="AW320" s="1056">
        <v>42322</v>
      </c>
      <c r="AX320" s="1053">
        <v>1599</v>
      </c>
    </row>
    <row r="321" spans="1:50" ht="14.5">
      <c r="A321" s="1" t="s">
        <v>688</v>
      </c>
      <c r="B321" s="75">
        <v>41405</v>
      </c>
      <c r="C321">
        <v>147</v>
      </c>
      <c r="AF321" s="868">
        <v>42342</v>
      </c>
      <c r="AG321" s="848" t="s">
        <v>1138</v>
      </c>
      <c r="AH321" s="848" t="s">
        <v>1138</v>
      </c>
      <c r="AI321" s="848">
        <v>26.5</v>
      </c>
      <c r="AJ321" s="848">
        <v>25.2</v>
      </c>
      <c r="AK321" s="848" t="s">
        <v>1138</v>
      </c>
      <c r="AL321" s="848" t="s">
        <v>1138</v>
      </c>
      <c r="AM321" s="848">
        <v>35.4</v>
      </c>
      <c r="AO321" s="834"/>
      <c r="AW321" s="1056">
        <v>42323</v>
      </c>
      <c r="AX321" s="1053">
        <v>1603</v>
      </c>
    </row>
    <row r="322" spans="1:50" ht="14.5">
      <c r="A322" s="1" t="s">
        <v>688</v>
      </c>
      <c r="B322" s="75">
        <v>41406</v>
      </c>
      <c r="C322">
        <v>150</v>
      </c>
      <c r="AF322" s="868">
        <v>42343</v>
      </c>
      <c r="AG322" s="848" t="s">
        <v>1138</v>
      </c>
      <c r="AH322" s="848" t="s">
        <v>1138</v>
      </c>
      <c r="AI322" s="848">
        <v>25.3</v>
      </c>
      <c r="AJ322" s="848">
        <v>25.3</v>
      </c>
      <c r="AK322" s="848" t="s">
        <v>1138</v>
      </c>
      <c r="AL322" s="848" t="s">
        <v>1138</v>
      </c>
      <c r="AM322" s="848">
        <v>35.4</v>
      </c>
      <c r="AO322" s="834"/>
      <c r="AW322" s="1056">
        <v>42324</v>
      </c>
      <c r="AX322" s="1053">
        <v>1610</v>
      </c>
    </row>
    <row r="323" spans="1:50" ht="14.5">
      <c r="A323" s="1" t="s">
        <v>688</v>
      </c>
      <c r="B323" s="75">
        <v>41407</v>
      </c>
      <c r="C323">
        <v>156</v>
      </c>
      <c r="AF323" s="868">
        <v>42344</v>
      </c>
      <c r="AG323" s="848" t="s">
        <v>1138</v>
      </c>
      <c r="AH323" s="848" t="s">
        <v>1138</v>
      </c>
      <c r="AI323" s="848">
        <v>25.2</v>
      </c>
      <c r="AJ323" s="848">
        <v>23.5</v>
      </c>
      <c r="AK323" s="848" t="s">
        <v>1138</v>
      </c>
      <c r="AL323" s="848" t="s">
        <v>1138</v>
      </c>
      <c r="AM323" s="848">
        <v>34</v>
      </c>
      <c r="AO323" s="834"/>
      <c r="AW323" s="1056">
        <v>42325</v>
      </c>
      <c r="AX323" s="1053">
        <v>1603</v>
      </c>
    </row>
    <row r="324" spans="1:50" ht="14.5">
      <c r="A324" s="1" t="s">
        <v>688</v>
      </c>
      <c r="B324" s="75">
        <v>41408</v>
      </c>
      <c r="C324">
        <v>165</v>
      </c>
      <c r="AF324" s="868">
        <v>42345</v>
      </c>
      <c r="AG324" s="848" t="s">
        <v>1138</v>
      </c>
      <c r="AH324" s="848" t="s">
        <v>1138</v>
      </c>
      <c r="AI324" s="848">
        <v>23.5</v>
      </c>
      <c r="AJ324" s="848">
        <v>23.9</v>
      </c>
      <c r="AK324" s="848">
        <v>5551.11</v>
      </c>
      <c r="AL324" s="848">
        <v>1700</v>
      </c>
      <c r="AM324" s="848">
        <v>34.6</v>
      </c>
      <c r="AO324" s="834"/>
      <c r="AW324" s="1056">
        <v>42326</v>
      </c>
      <c r="AX324" s="1053">
        <v>1594</v>
      </c>
    </row>
    <row r="325" spans="1:50" ht="14.5">
      <c r="A325" s="1" t="s">
        <v>688</v>
      </c>
      <c r="B325" s="75">
        <v>41409</v>
      </c>
      <c r="C325">
        <v>163</v>
      </c>
      <c r="AF325" s="868">
        <v>42346</v>
      </c>
      <c r="AG325" s="848" t="s">
        <v>1138</v>
      </c>
      <c r="AH325" s="848" t="s">
        <v>1138</v>
      </c>
      <c r="AI325" s="848">
        <v>25</v>
      </c>
      <c r="AJ325" s="848">
        <v>25.3</v>
      </c>
      <c r="AK325" s="848">
        <v>5558.64</v>
      </c>
      <c r="AL325" s="848">
        <v>1952</v>
      </c>
      <c r="AM325" s="848">
        <v>36.5</v>
      </c>
      <c r="AO325" s="834"/>
      <c r="AW325" s="1056">
        <v>42327</v>
      </c>
      <c r="AX325" s="1053">
        <v>1602</v>
      </c>
    </row>
    <row r="326" spans="1:50" ht="14.5">
      <c r="A326" s="1" t="s">
        <v>688</v>
      </c>
      <c r="B326" s="75">
        <v>41410</v>
      </c>
      <c r="C326">
        <v>160</v>
      </c>
      <c r="AF326" s="868">
        <v>42347</v>
      </c>
      <c r="AG326" s="848" t="s">
        <v>1138</v>
      </c>
      <c r="AH326" s="848" t="s">
        <v>1138</v>
      </c>
      <c r="AI326" s="848">
        <v>23.2</v>
      </c>
      <c r="AJ326" s="848">
        <v>24.9</v>
      </c>
      <c r="AK326" s="848">
        <v>5558.63</v>
      </c>
      <c r="AL326" s="848">
        <v>1951</v>
      </c>
      <c r="AM326" s="848">
        <v>35.9</v>
      </c>
      <c r="AO326" s="834"/>
      <c r="AW326" s="1056">
        <v>42328</v>
      </c>
      <c r="AX326" s="1053">
        <v>1612</v>
      </c>
    </row>
    <row r="327" spans="1:50" ht="14.5">
      <c r="A327" s="1" t="s">
        <v>688</v>
      </c>
      <c r="B327" s="75">
        <v>41411</v>
      </c>
      <c r="C327">
        <v>153</v>
      </c>
      <c r="AF327" s="868">
        <v>42348</v>
      </c>
      <c r="AG327" s="848" t="s">
        <v>1138</v>
      </c>
      <c r="AH327" s="848" t="s">
        <v>1138</v>
      </c>
      <c r="AI327" s="848">
        <v>26.3</v>
      </c>
      <c r="AJ327" s="848">
        <v>25.9</v>
      </c>
      <c r="AK327" s="848">
        <v>5558.64</v>
      </c>
      <c r="AL327" s="848">
        <v>1952</v>
      </c>
      <c r="AM327" s="848">
        <v>35.299999999999997</v>
      </c>
      <c r="AO327" s="834"/>
      <c r="AW327" s="1056">
        <v>42329</v>
      </c>
      <c r="AX327" s="1053">
        <v>1609</v>
      </c>
    </row>
    <row r="328" spans="1:50" ht="14.5">
      <c r="A328" s="1" t="s">
        <v>688</v>
      </c>
      <c r="B328" s="75">
        <v>41412</v>
      </c>
      <c r="C328">
        <v>153</v>
      </c>
      <c r="AF328" s="868">
        <v>42349</v>
      </c>
      <c r="AG328" s="848" t="s">
        <v>1138</v>
      </c>
      <c r="AH328" s="848" t="s">
        <v>1138</v>
      </c>
      <c r="AI328" s="848">
        <v>24.8</v>
      </c>
      <c r="AJ328" s="848">
        <v>27</v>
      </c>
      <c r="AK328" s="848">
        <v>5592.21</v>
      </c>
      <c r="AL328" s="848">
        <v>1953</v>
      </c>
      <c r="AM328" s="848">
        <v>36.9</v>
      </c>
      <c r="AO328" s="834"/>
      <c r="AW328" s="1056">
        <v>42330</v>
      </c>
      <c r="AX328" s="1053">
        <v>1599</v>
      </c>
    </row>
    <row r="329" spans="1:50" ht="14.5">
      <c r="A329" s="1" t="s">
        <v>688</v>
      </c>
      <c r="B329" s="75">
        <v>41413</v>
      </c>
      <c r="C329">
        <v>132</v>
      </c>
      <c r="AF329" s="868">
        <v>42350</v>
      </c>
      <c r="AG329" s="848" t="s">
        <v>1138</v>
      </c>
      <c r="AH329" s="848" t="s">
        <v>1138</v>
      </c>
      <c r="AI329" s="848">
        <v>25</v>
      </c>
      <c r="AJ329" s="848">
        <v>26.7</v>
      </c>
      <c r="AK329" s="848">
        <v>5592.18</v>
      </c>
      <c r="AL329" s="848">
        <v>1953</v>
      </c>
      <c r="AM329" s="848">
        <v>39</v>
      </c>
      <c r="AO329" s="834"/>
      <c r="AW329" s="1056">
        <v>42331</v>
      </c>
      <c r="AX329" s="1053">
        <v>1602</v>
      </c>
    </row>
    <row r="330" spans="1:50" ht="14.5">
      <c r="A330" s="1" t="s">
        <v>688</v>
      </c>
      <c r="B330" s="75">
        <v>41414</v>
      </c>
      <c r="C330">
        <v>110</v>
      </c>
      <c r="AF330" s="868">
        <v>42351</v>
      </c>
      <c r="AG330" s="848" t="s">
        <v>1138</v>
      </c>
      <c r="AH330" s="848" t="s">
        <v>1138</v>
      </c>
      <c r="AI330" s="848">
        <v>22.8</v>
      </c>
      <c r="AJ330" s="848">
        <v>26.2</v>
      </c>
      <c r="AK330" s="848">
        <v>5592.19</v>
      </c>
      <c r="AL330" s="848">
        <v>1953</v>
      </c>
      <c r="AM330" s="848">
        <v>38.9</v>
      </c>
      <c r="AO330" s="834"/>
      <c r="AW330" s="1056">
        <v>42332</v>
      </c>
      <c r="AX330" s="1053">
        <v>1634</v>
      </c>
    </row>
    <row r="331" spans="1:50" ht="14.5">
      <c r="A331" s="1" t="s">
        <v>688</v>
      </c>
      <c r="B331" s="75">
        <v>41415</v>
      </c>
      <c r="C331">
        <v>92.7</v>
      </c>
      <c r="AF331" s="868">
        <v>42352</v>
      </c>
      <c r="AG331" s="848" t="s">
        <v>1138</v>
      </c>
      <c r="AH331" s="848" t="s">
        <v>1138</v>
      </c>
      <c r="AI331" s="848">
        <v>21.9</v>
      </c>
      <c r="AJ331" s="848">
        <v>22.9</v>
      </c>
      <c r="AK331" s="848">
        <v>5592.05</v>
      </c>
      <c r="AL331" s="848">
        <v>1949</v>
      </c>
      <c r="AM331" s="848">
        <v>34.1</v>
      </c>
      <c r="AO331" s="834"/>
      <c r="AW331" s="1056">
        <v>42333</v>
      </c>
      <c r="AX331" s="1053">
        <v>1685</v>
      </c>
    </row>
    <row r="332" spans="1:50" ht="14.5">
      <c r="A332" s="1" t="s">
        <v>688</v>
      </c>
      <c r="B332" s="75">
        <v>41416</v>
      </c>
      <c r="C332">
        <v>87.8</v>
      </c>
      <c r="AF332" s="868">
        <v>42353</v>
      </c>
      <c r="AG332" s="848" t="s">
        <v>1138</v>
      </c>
      <c r="AH332" s="848" t="s">
        <v>1138</v>
      </c>
      <c r="AI332" s="848">
        <v>25</v>
      </c>
      <c r="AJ332" s="848">
        <v>25.7</v>
      </c>
      <c r="AK332" s="848">
        <v>5592.19</v>
      </c>
      <c r="AL332" s="848">
        <v>1952</v>
      </c>
      <c r="AM332" s="848">
        <v>38.299999999999997</v>
      </c>
      <c r="AO332" s="834"/>
      <c r="AW332" s="1056">
        <v>42334</v>
      </c>
      <c r="AX332" s="1053">
        <v>1739</v>
      </c>
    </row>
    <row r="333" spans="1:50" ht="14.5">
      <c r="A333" s="1" t="s">
        <v>688</v>
      </c>
      <c r="B333" s="75">
        <v>41417</v>
      </c>
      <c r="C333">
        <v>88.6</v>
      </c>
      <c r="AF333" s="868">
        <v>42354</v>
      </c>
      <c r="AG333" s="848" t="s">
        <v>1138</v>
      </c>
      <c r="AH333" s="848" t="s">
        <v>1138</v>
      </c>
      <c r="AI333" s="852">
        <v>31.8</v>
      </c>
      <c r="AJ333" s="852">
        <v>20.100000000000001</v>
      </c>
      <c r="AK333" s="852">
        <v>5591.95</v>
      </c>
      <c r="AL333" s="852">
        <v>1945</v>
      </c>
      <c r="AM333" s="852">
        <v>32.200000000000003</v>
      </c>
      <c r="AO333" s="834"/>
      <c r="AW333" s="1056">
        <v>42335</v>
      </c>
      <c r="AX333" s="1053">
        <v>1786</v>
      </c>
    </row>
    <row r="334" spans="1:50" ht="14.5">
      <c r="A334" s="1" t="s">
        <v>688</v>
      </c>
      <c r="B334" s="75">
        <v>41418</v>
      </c>
      <c r="C334">
        <v>93.3</v>
      </c>
      <c r="AF334" s="868">
        <v>42355</v>
      </c>
      <c r="AI334" s="836">
        <v>69.599999999999994</v>
      </c>
      <c r="AJ334" s="836">
        <v>16.7</v>
      </c>
      <c r="AK334" s="836">
        <v>5591.85</v>
      </c>
      <c r="AL334" s="836">
        <v>1941</v>
      </c>
      <c r="AM334" s="836">
        <v>28.4</v>
      </c>
      <c r="AN334" s="834"/>
      <c r="AO334" s="834"/>
      <c r="AP334" s="834"/>
      <c r="AQ334" s="834"/>
      <c r="AR334" s="834"/>
      <c r="AS334" s="834"/>
      <c r="AT334" s="834"/>
      <c r="AU334" s="834"/>
      <c r="AW334" s="1056">
        <v>42336</v>
      </c>
      <c r="AX334" s="1053">
        <v>1823</v>
      </c>
    </row>
    <row r="335" spans="1:50" ht="14.5">
      <c r="A335" s="1" t="s">
        <v>688</v>
      </c>
      <c r="B335" s="75">
        <v>41419</v>
      </c>
      <c r="C335">
        <v>95</v>
      </c>
      <c r="AF335" s="868">
        <v>42356</v>
      </c>
      <c r="AI335" s="836">
        <v>119</v>
      </c>
      <c r="AJ335" s="836">
        <v>17.399999999999999</v>
      </c>
      <c r="AK335" s="836">
        <v>5591.85</v>
      </c>
      <c r="AL335" s="836">
        <v>1942</v>
      </c>
      <c r="AM335" s="836">
        <v>28.9</v>
      </c>
      <c r="AN335" s="834"/>
      <c r="AO335" s="834"/>
      <c r="AP335" s="834"/>
      <c r="AQ335" s="834"/>
      <c r="AR335" s="834"/>
      <c r="AS335" s="834"/>
      <c r="AT335" s="834"/>
      <c r="AU335" s="834"/>
      <c r="AW335" s="1056">
        <v>42337</v>
      </c>
      <c r="AX335" s="1053">
        <v>1858</v>
      </c>
    </row>
    <row r="336" spans="1:50" ht="14.5">
      <c r="A336" s="1" t="s">
        <v>688</v>
      </c>
      <c r="B336" s="75">
        <v>41420</v>
      </c>
      <c r="C336">
        <v>91.2</v>
      </c>
      <c r="AF336" s="868">
        <v>42357</v>
      </c>
      <c r="AI336" s="836">
        <v>35.5</v>
      </c>
      <c r="AJ336" s="836">
        <v>25.1</v>
      </c>
      <c r="AK336" s="836">
        <v>5592.16</v>
      </c>
      <c r="AL336" s="836">
        <v>1952</v>
      </c>
      <c r="AM336" s="836">
        <v>35.799999999999997</v>
      </c>
      <c r="AN336" s="834"/>
      <c r="AO336" s="834"/>
      <c r="AP336" s="834"/>
      <c r="AQ336" s="834"/>
      <c r="AR336" s="834"/>
      <c r="AS336" s="834"/>
      <c r="AT336" s="834"/>
      <c r="AU336" s="834"/>
      <c r="AW336" s="1056">
        <v>42338</v>
      </c>
      <c r="AX336" s="1053">
        <v>1903</v>
      </c>
    </row>
    <row r="337" spans="1:50" ht="14.5">
      <c r="A337" s="1" t="s">
        <v>688</v>
      </c>
      <c r="B337" s="75">
        <v>41421</v>
      </c>
      <c r="C337">
        <v>86.2</v>
      </c>
      <c r="AF337" s="868">
        <v>42358</v>
      </c>
      <c r="AI337" s="836">
        <v>30.9</v>
      </c>
      <c r="AJ337" s="836">
        <v>27.6</v>
      </c>
      <c r="AK337" s="836">
        <v>5591.89</v>
      </c>
      <c r="AL337" s="836">
        <v>1934</v>
      </c>
      <c r="AM337" s="836">
        <v>38</v>
      </c>
      <c r="AN337" s="834"/>
      <c r="AO337" s="834"/>
      <c r="AP337" s="834"/>
      <c r="AQ337" s="834"/>
      <c r="AR337" s="834"/>
      <c r="AS337" s="834"/>
      <c r="AT337" s="834"/>
      <c r="AU337" s="834"/>
      <c r="AW337" s="1056">
        <v>42339</v>
      </c>
      <c r="AX337" s="1053">
        <v>1937</v>
      </c>
    </row>
    <row r="338" spans="1:50" ht="14.5">
      <c r="A338" s="1" t="s">
        <v>688</v>
      </c>
      <c r="B338" s="75">
        <v>41422</v>
      </c>
      <c r="C338">
        <v>81.5</v>
      </c>
      <c r="AF338" s="868">
        <v>42359</v>
      </c>
      <c r="AI338" s="836">
        <v>20</v>
      </c>
      <c r="AJ338" s="836">
        <v>26.6</v>
      </c>
      <c r="AK338" s="836">
        <v>5591.84</v>
      </c>
      <c r="AL338" s="836">
        <v>1933</v>
      </c>
      <c r="AM338" s="836">
        <v>36.6</v>
      </c>
      <c r="AN338" s="834"/>
      <c r="AO338" s="834"/>
      <c r="AP338" s="834"/>
      <c r="AQ338" s="834"/>
      <c r="AR338" s="834"/>
      <c r="AS338" s="834"/>
      <c r="AT338" s="834"/>
      <c r="AU338" s="834"/>
      <c r="AW338" s="1056">
        <v>42340</v>
      </c>
      <c r="AX338" s="1053">
        <v>1949</v>
      </c>
    </row>
    <row r="339" spans="1:50" ht="14.5">
      <c r="A339" s="1" t="s">
        <v>688</v>
      </c>
      <c r="B339" s="75">
        <v>41423</v>
      </c>
      <c r="C339">
        <v>79.5</v>
      </c>
      <c r="AF339" s="868">
        <v>42360</v>
      </c>
      <c r="AI339" s="836">
        <v>18</v>
      </c>
      <c r="AJ339" s="836">
        <v>26.1</v>
      </c>
      <c r="AK339" s="836">
        <v>5591.82</v>
      </c>
      <c r="AL339" s="836">
        <v>1932</v>
      </c>
      <c r="AM339" s="836">
        <v>35.6</v>
      </c>
      <c r="AN339" s="834"/>
      <c r="AO339" s="834"/>
      <c r="AP339" s="834"/>
      <c r="AQ339" s="834"/>
      <c r="AR339" s="834"/>
      <c r="AS339" s="834"/>
      <c r="AT339" s="834"/>
      <c r="AU339" s="834"/>
      <c r="AW339" s="1056">
        <v>42341</v>
      </c>
      <c r="AX339" s="1053">
        <v>1950</v>
      </c>
    </row>
    <row r="340" spans="1:50" ht="14.5">
      <c r="A340" s="1" t="s">
        <v>688</v>
      </c>
      <c r="B340" s="75">
        <v>41424</v>
      </c>
      <c r="C340">
        <v>75.5</v>
      </c>
      <c r="AF340" s="868">
        <v>42361</v>
      </c>
      <c r="AI340" s="836">
        <v>16</v>
      </c>
      <c r="AJ340" s="836">
        <v>25.3</v>
      </c>
      <c r="AK340" s="836">
        <v>5558.64</v>
      </c>
      <c r="AL340" s="836">
        <v>1952</v>
      </c>
      <c r="AM340" s="836">
        <v>34.700000000000003</v>
      </c>
      <c r="AN340" s="834"/>
      <c r="AO340" s="834"/>
      <c r="AP340" s="834"/>
      <c r="AQ340" s="834"/>
      <c r="AR340" s="834"/>
      <c r="AS340" s="834"/>
      <c r="AT340" s="834"/>
      <c r="AU340" s="834"/>
      <c r="AW340" s="1056">
        <v>42342</v>
      </c>
      <c r="AX340" s="1053"/>
    </row>
    <row r="341" spans="1:50" ht="14.5">
      <c r="A341" s="1" t="s">
        <v>688</v>
      </c>
      <c r="B341" s="75">
        <v>41425</v>
      </c>
      <c r="C341">
        <v>53.6</v>
      </c>
      <c r="AF341" s="868">
        <v>42362</v>
      </c>
      <c r="AI341" s="836">
        <v>15</v>
      </c>
      <c r="AJ341" s="836">
        <v>19.899999999999999</v>
      </c>
      <c r="AK341" s="836">
        <v>5558.58</v>
      </c>
      <c r="AL341" s="836">
        <v>1945</v>
      </c>
      <c r="AM341" s="836">
        <v>29.5</v>
      </c>
      <c r="AN341" s="834"/>
      <c r="AO341" s="834"/>
      <c r="AP341" s="834"/>
      <c r="AQ341" s="834"/>
      <c r="AR341" s="834"/>
      <c r="AS341" s="834"/>
      <c r="AT341" s="834"/>
      <c r="AU341" s="834"/>
      <c r="AW341" s="1056">
        <v>42343</v>
      </c>
      <c r="AX341" s="1053"/>
    </row>
    <row r="342" spans="1:50" ht="14.5">
      <c r="A342" s="1" t="s">
        <v>688</v>
      </c>
      <c r="B342" s="75">
        <v>41426</v>
      </c>
      <c r="C342">
        <v>43.6</v>
      </c>
      <c r="D342">
        <f>AVERAGE(C342:C371)</f>
        <v>24.018333333333334</v>
      </c>
      <c r="AF342" s="868">
        <v>42363</v>
      </c>
      <c r="AI342" s="836">
        <v>14</v>
      </c>
      <c r="AJ342" s="836">
        <v>18.2</v>
      </c>
      <c r="AK342" s="836">
        <v>5558.56</v>
      </c>
      <c r="AL342" s="836">
        <v>1943</v>
      </c>
      <c r="AM342" s="836">
        <v>26.8</v>
      </c>
      <c r="AN342" s="834"/>
      <c r="AO342" s="834"/>
      <c r="AP342" s="834"/>
      <c r="AQ342" s="834"/>
      <c r="AR342" s="834"/>
      <c r="AS342" s="834"/>
      <c r="AT342" s="834"/>
      <c r="AU342" s="834"/>
      <c r="AW342" s="1056">
        <v>42344</v>
      </c>
      <c r="AX342" s="1053"/>
    </row>
    <row r="343" spans="1:50" ht="14.5">
      <c r="A343" s="1" t="s">
        <v>688</v>
      </c>
      <c r="B343" s="75">
        <v>41427</v>
      </c>
      <c r="C343">
        <v>41.4</v>
      </c>
      <c r="AF343" s="868">
        <v>42364</v>
      </c>
      <c r="AI343" s="836">
        <v>14</v>
      </c>
      <c r="AJ343" s="836">
        <v>20.6</v>
      </c>
      <c r="AK343" s="836">
        <v>5558.58</v>
      </c>
      <c r="AL343" s="836">
        <v>1946</v>
      </c>
      <c r="AM343" s="836">
        <v>28.6</v>
      </c>
      <c r="AN343" s="834"/>
      <c r="AO343" s="834"/>
      <c r="AP343" s="834"/>
      <c r="AQ343" s="834"/>
      <c r="AR343" s="834"/>
      <c r="AS343" s="834"/>
      <c r="AT343" s="834"/>
      <c r="AU343" s="834"/>
      <c r="AW343" s="1056">
        <v>42345</v>
      </c>
      <c r="AX343" s="1053">
        <v>1700</v>
      </c>
    </row>
    <row r="344" spans="1:50" ht="14.5">
      <c r="A344" s="1" t="s">
        <v>688</v>
      </c>
      <c r="B344" s="75">
        <v>41428</v>
      </c>
      <c r="C344">
        <v>45.3</v>
      </c>
      <c r="AF344" s="868">
        <v>42365</v>
      </c>
      <c r="AI344" s="836">
        <v>14</v>
      </c>
      <c r="AJ344" s="836">
        <v>16.2</v>
      </c>
      <c r="AK344" s="836">
        <v>5558.53</v>
      </c>
      <c r="AL344" s="836">
        <v>1940</v>
      </c>
      <c r="AM344" s="836">
        <v>26.5</v>
      </c>
      <c r="AN344" s="834"/>
      <c r="AO344" s="834"/>
      <c r="AP344" s="834"/>
      <c r="AQ344" s="834"/>
      <c r="AR344" s="834"/>
      <c r="AS344" s="834"/>
      <c r="AT344" s="834"/>
      <c r="AU344" s="834"/>
      <c r="AW344" s="1056">
        <v>42346</v>
      </c>
      <c r="AX344" s="1053">
        <v>1952</v>
      </c>
    </row>
    <row r="345" spans="1:50" ht="14.5">
      <c r="A345" s="1" t="s">
        <v>688</v>
      </c>
      <c r="B345" s="75">
        <v>41429</v>
      </c>
      <c r="C345">
        <v>49</v>
      </c>
      <c r="AF345" s="868">
        <v>42366</v>
      </c>
      <c r="AI345" s="836">
        <v>14</v>
      </c>
      <c r="AJ345" s="836">
        <v>15.3</v>
      </c>
      <c r="AK345" s="836">
        <v>5558.52</v>
      </c>
      <c r="AL345" s="836">
        <v>1939</v>
      </c>
      <c r="AM345" s="836">
        <v>25</v>
      </c>
      <c r="AN345" s="834"/>
      <c r="AO345" s="834"/>
      <c r="AP345" s="834"/>
      <c r="AQ345" s="834"/>
      <c r="AR345" s="834"/>
      <c r="AS345" s="834"/>
      <c r="AT345" s="834"/>
      <c r="AU345" s="834"/>
      <c r="AW345" s="1056">
        <v>42347</v>
      </c>
      <c r="AX345" s="1053">
        <v>1951</v>
      </c>
    </row>
    <row r="346" spans="1:50" ht="14.5">
      <c r="A346" s="1" t="s">
        <v>688</v>
      </c>
      <c r="B346" s="75">
        <v>41430</v>
      </c>
      <c r="C346">
        <v>62.3</v>
      </c>
      <c r="AF346" s="868">
        <v>42367</v>
      </c>
      <c r="AI346" s="836">
        <v>14</v>
      </c>
      <c r="AJ346" s="836">
        <v>17.3</v>
      </c>
      <c r="AK346" s="836">
        <v>5558.55</v>
      </c>
      <c r="AL346" s="836">
        <v>1942</v>
      </c>
      <c r="AM346" s="836">
        <v>27.2</v>
      </c>
      <c r="AN346" s="834"/>
      <c r="AO346" s="834"/>
      <c r="AP346" s="834"/>
      <c r="AQ346" s="834"/>
      <c r="AR346" s="834"/>
      <c r="AS346" s="834"/>
      <c r="AT346" s="834"/>
      <c r="AU346" s="834"/>
      <c r="AW346" s="1056">
        <v>42348</v>
      </c>
      <c r="AX346" s="1053">
        <v>1952</v>
      </c>
    </row>
    <row r="347" spans="1:50" ht="14.5">
      <c r="A347" s="1" t="s">
        <v>688</v>
      </c>
      <c r="B347" s="75">
        <v>41431</v>
      </c>
      <c r="C347">
        <v>64</v>
      </c>
      <c r="AF347" s="868">
        <v>42368</v>
      </c>
      <c r="AI347" s="836">
        <v>14</v>
      </c>
      <c r="AJ347" s="836">
        <v>17.600000000000001</v>
      </c>
      <c r="AK347" s="836">
        <v>5569.66</v>
      </c>
      <c r="AL347" s="836">
        <v>1942</v>
      </c>
      <c r="AM347" s="836">
        <v>28</v>
      </c>
      <c r="AN347" s="834"/>
      <c r="AO347" s="834"/>
      <c r="AP347" s="834"/>
      <c r="AQ347" s="834"/>
      <c r="AR347" s="834"/>
      <c r="AS347" s="834"/>
      <c r="AT347" s="834"/>
      <c r="AU347" s="834"/>
      <c r="AW347" s="1056">
        <v>42349</v>
      </c>
      <c r="AX347" s="1053">
        <v>1953</v>
      </c>
    </row>
    <row r="348" spans="1:50" ht="14.5">
      <c r="A348" s="1" t="s">
        <v>688</v>
      </c>
      <c r="B348" s="75">
        <v>41432</v>
      </c>
      <c r="C348">
        <v>52</v>
      </c>
      <c r="AF348" s="868">
        <v>42369</v>
      </c>
      <c r="AI348" s="836">
        <v>14</v>
      </c>
      <c r="AJ348" s="836">
        <v>17</v>
      </c>
      <c r="AK348" s="836">
        <v>5569.64</v>
      </c>
      <c r="AL348" s="836">
        <v>1941</v>
      </c>
      <c r="AM348" s="836">
        <v>26.8</v>
      </c>
      <c r="AN348" s="834"/>
      <c r="AO348" s="834"/>
      <c r="AP348" s="834"/>
      <c r="AQ348" s="834"/>
      <c r="AR348" s="834"/>
      <c r="AS348" s="834"/>
      <c r="AT348" s="834"/>
      <c r="AU348" s="834"/>
      <c r="AW348" s="1056">
        <v>42350</v>
      </c>
      <c r="AX348" s="1053">
        <v>1953</v>
      </c>
    </row>
    <row r="349" spans="1:50" ht="14.5">
      <c r="A349" s="1" t="s">
        <v>688</v>
      </c>
      <c r="B349" s="75">
        <v>41433</v>
      </c>
      <c r="C349">
        <v>43.7</v>
      </c>
      <c r="AI349" s="1049" t="s">
        <v>1138</v>
      </c>
      <c r="AJ349" s="1049">
        <v>14.8</v>
      </c>
      <c r="AK349" s="1049">
        <v>5569.6</v>
      </c>
      <c r="AL349" s="1049">
        <v>1938</v>
      </c>
      <c r="AM349" s="1051">
        <v>24.5</v>
      </c>
      <c r="AN349" s="834"/>
      <c r="AO349" s="834"/>
      <c r="AP349" s="834"/>
      <c r="AQ349" s="834"/>
      <c r="AR349" s="834"/>
      <c r="AS349" s="834"/>
      <c r="AT349" s="834"/>
      <c r="AU349" s="834"/>
      <c r="AW349" s="1056">
        <v>42351</v>
      </c>
      <c r="AX349" s="1053">
        <v>1953</v>
      </c>
    </row>
    <row r="350" spans="1:50" ht="14.5">
      <c r="A350" s="1" t="s">
        <v>688</v>
      </c>
      <c r="B350" s="75">
        <v>41434</v>
      </c>
      <c r="C350">
        <v>39.6</v>
      </c>
      <c r="AI350" s="1049" t="s">
        <v>1138</v>
      </c>
      <c r="AJ350" s="1049">
        <v>14.8</v>
      </c>
      <c r="AK350" s="1049">
        <v>5569.59</v>
      </c>
      <c r="AL350" s="1049">
        <v>1938</v>
      </c>
      <c r="AM350" s="1051">
        <v>24.9</v>
      </c>
      <c r="AN350" s="834"/>
      <c r="AO350" s="834"/>
      <c r="AP350" s="834"/>
      <c r="AQ350" s="834"/>
      <c r="AR350" s="834"/>
      <c r="AS350" s="834"/>
      <c r="AT350" s="834"/>
      <c r="AU350" s="834"/>
      <c r="AW350" s="1056">
        <v>42352</v>
      </c>
      <c r="AX350" s="1053">
        <v>1949</v>
      </c>
    </row>
    <row r="351" spans="1:50" ht="14.5">
      <c r="A351" s="1" t="s">
        <v>688</v>
      </c>
      <c r="B351" s="75">
        <v>41435</v>
      </c>
      <c r="C351">
        <v>34.1</v>
      </c>
      <c r="AI351" s="1049" t="s">
        <v>1138</v>
      </c>
      <c r="AJ351" s="1049">
        <v>17.100000000000001</v>
      </c>
      <c r="AK351" s="1049">
        <v>5569.62</v>
      </c>
      <c r="AL351" s="1049">
        <v>1939</v>
      </c>
      <c r="AM351" s="1051">
        <v>23.3</v>
      </c>
      <c r="AN351" s="834"/>
      <c r="AO351" s="834"/>
      <c r="AP351" s="834"/>
      <c r="AQ351" s="834"/>
      <c r="AR351" s="834"/>
      <c r="AS351" s="834"/>
      <c r="AT351" s="834"/>
      <c r="AU351" s="834"/>
      <c r="AW351" s="1056">
        <v>42353</v>
      </c>
      <c r="AX351" s="1053">
        <v>1952</v>
      </c>
    </row>
    <row r="352" spans="1:50" ht="14.5">
      <c r="A352" s="1" t="s">
        <v>688</v>
      </c>
      <c r="B352" s="75">
        <v>41436</v>
      </c>
      <c r="C352">
        <v>27.1</v>
      </c>
      <c r="AI352" s="1049" t="s">
        <v>1138</v>
      </c>
      <c r="AJ352" s="1049">
        <v>19.899999999999999</v>
      </c>
      <c r="AK352" s="1049">
        <v>5569.43</v>
      </c>
      <c r="AL352" s="1049">
        <v>1922</v>
      </c>
      <c r="AM352" s="1051">
        <v>24.8</v>
      </c>
      <c r="AN352" s="834"/>
      <c r="AO352" s="834"/>
      <c r="AP352" s="834"/>
      <c r="AQ352" s="834"/>
      <c r="AR352" s="834"/>
      <c r="AS352" s="834"/>
      <c r="AT352" s="834"/>
      <c r="AU352" s="834"/>
      <c r="AW352" s="1056">
        <v>42354</v>
      </c>
      <c r="AX352" s="1053">
        <v>1945</v>
      </c>
    </row>
    <row r="353" spans="1:50" ht="14.5">
      <c r="A353" s="1" t="s">
        <v>688</v>
      </c>
      <c r="B353" s="75">
        <v>41437</v>
      </c>
      <c r="C353">
        <v>22.1</v>
      </c>
      <c r="AI353" s="1049" t="s">
        <v>1138</v>
      </c>
      <c r="AJ353" s="1049">
        <v>21.2</v>
      </c>
      <c r="AK353" s="1049">
        <v>5558.56</v>
      </c>
      <c r="AL353" s="1049">
        <v>1943</v>
      </c>
      <c r="AM353" s="1051">
        <v>26</v>
      </c>
      <c r="AN353" s="834"/>
      <c r="AO353" s="834"/>
      <c r="AP353" s="834"/>
      <c r="AQ353" s="834"/>
      <c r="AR353" s="834"/>
      <c r="AS353" s="834"/>
      <c r="AT353" s="834"/>
      <c r="AU353" s="834"/>
      <c r="AW353" s="1056">
        <v>42355</v>
      </c>
      <c r="AX353" s="1053">
        <v>1941</v>
      </c>
    </row>
    <row r="354" spans="1:50" ht="14.5">
      <c r="A354" s="1" t="s">
        <v>688</v>
      </c>
      <c r="B354" s="75">
        <v>41438</v>
      </c>
      <c r="C354">
        <v>19</v>
      </c>
      <c r="AI354" s="1049" t="s">
        <v>1138</v>
      </c>
      <c r="AJ354" s="1049">
        <v>22.2</v>
      </c>
      <c r="AK354" s="1049">
        <v>5558.57</v>
      </c>
      <c r="AL354" s="1049">
        <v>1944</v>
      </c>
      <c r="AM354" s="1051">
        <v>26.7</v>
      </c>
      <c r="AN354" s="834"/>
      <c r="AO354" s="834"/>
      <c r="AP354" s="834"/>
      <c r="AQ354" s="834"/>
      <c r="AR354" s="834"/>
      <c r="AS354" s="834"/>
      <c r="AT354" s="834"/>
      <c r="AU354" s="834"/>
      <c r="AW354" s="1056">
        <v>42356</v>
      </c>
      <c r="AX354" s="1053">
        <v>1942</v>
      </c>
    </row>
    <row r="355" spans="1:50" ht="14.5">
      <c r="A355" s="1" t="s">
        <v>688</v>
      </c>
      <c r="B355" s="75">
        <v>41439</v>
      </c>
      <c r="C355">
        <v>16.2</v>
      </c>
      <c r="AI355" s="1049" t="s">
        <v>1138</v>
      </c>
      <c r="AJ355" s="1049">
        <v>22.2</v>
      </c>
      <c r="AK355" s="1049">
        <v>5558.58</v>
      </c>
      <c r="AL355" s="1049">
        <v>1945</v>
      </c>
      <c r="AM355" s="1051">
        <v>27.2</v>
      </c>
      <c r="AN355" s="834"/>
      <c r="AO355" s="834"/>
      <c r="AP355" s="834"/>
      <c r="AQ355" s="834"/>
      <c r="AR355" s="834"/>
      <c r="AS355" s="834"/>
      <c r="AT355" s="834"/>
      <c r="AU355" s="834"/>
      <c r="AW355" s="1056">
        <v>42357</v>
      </c>
      <c r="AX355" s="1053">
        <v>1952</v>
      </c>
    </row>
    <row r="356" spans="1:50" ht="14.5">
      <c r="A356" s="1" t="s">
        <v>688</v>
      </c>
      <c r="B356" s="75">
        <v>41440</v>
      </c>
      <c r="C356">
        <v>14.9</v>
      </c>
      <c r="AI356" s="1049" t="s">
        <v>1138</v>
      </c>
      <c r="AJ356" s="1049">
        <v>22.6</v>
      </c>
      <c r="AK356" s="1049">
        <v>5558.58</v>
      </c>
      <c r="AL356" s="1049">
        <v>1946</v>
      </c>
      <c r="AM356" s="1051">
        <v>28.7</v>
      </c>
      <c r="AN356" s="834"/>
      <c r="AO356" s="834"/>
      <c r="AP356" s="834"/>
      <c r="AQ356" s="834"/>
      <c r="AR356" s="834"/>
      <c r="AS356" s="834"/>
      <c r="AT356" s="834"/>
      <c r="AU356" s="834"/>
      <c r="AW356" s="1056">
        <v>42358</v>
      </c>
      <c r="AX356" s="1053">
        <v>1934</v>
      </c>
    </row>
    <row r="357" spans="1:50" ht="14.5">
      <c r="A357" s="1" t="s">
        <v>688</v>
      </c>
      <c r="B357" s="75">
        <v>41441</v>
      </c>
      <c r="C357">
        <v>15.3</v>
      </c>
      <c r="AI357" s="1049" t="s">
        <v>1138</v>
      </c>
      <c r="AJ357" s="1049">
        <v>21.4</v>
      </c>
      <c r="AK357" s="1049">
        <v>5558.57</v>
      </c>
      <c r="AL357" s="1049">
        <v>1945</v>
      </c>
      <c r="AM357" s="1051">
        <v>27.5</v>
      </c>
      <c r="AN357" s="834"/>
      <c r="AO357" s="834"/>
      <c r="AP357" s="834"/>
      <c r="AQ357" s="834"/>
      <c r="AR357" s="834"/>
      <c r="AS357" s="834"/>
      <c r="AT357" s="834"/>
      <c r="AU357" s="834"/>
      <c r="AW357" s="1056">
        <v>42359</v>
      </c>
      <c r="AX357" s="1053">
        <v>1933</v>
      </c>
    </row>
    <row r="358" spans="1:50" ht="14.5">
      <c r="A358" s="1" t="s">
        <v>688</v>
      </c>
      <c r="B358" s="75">
        <v>41442</v>
      </c>
      <c r="C358">
        <v>15.3</v>
      </c>
      <c r="AI358" s="1049" t="s">
        <v>1138</v>
      </c>
      <c r="AJ358" s="1049">
        <v>19.8</v>
      </c>
      <c r="AK358" s="1049">
        <v>5569.66</v>
      </c>
      <c r="AL358" s="1049">
        <v>1942</v>
      </c>
      <c r="AM358" s="1051">
        <v>26.1</v>
      </c>
      <c r="AN358" s="834"/>
      <c r="AO358" s="834"/>
      <c r="AP358" s="834"/>
      <c r="AQ358" s="834"/>
      <c r="AR358" s="834"/>
      <c r="AS358" s="834"/>
      <c r="AT358" s="834"/>
      <c r="AU358" s="834"/>
      <c r="AW358" s="1056">
        <v>42360</v>
      </c>
      <c r="AX358" s="1053">
        <v>1932</v>
      </c>
    </row>
    <row r="359" spans="1:50" ht="15" thickBot="1">
      <c r="A359" s="1" t="s">
        <v>688</v>
      </c>
      <c r="B359" s="75">
        <v>41443</v>
      </c>
      <c r="C359">
        <v>13.7</v>
      </c>
      <c r="AI359" s="1050" t="s">
        <v>1138</v>
      </c>
      <c r="AJ359" s="1050">
        <v>21.2</v>
      </c>
      <c r="AK359" s="1050">
        <v>5569.65</v>
      </c>
      <c r="AL359" s="1050">
        <v>1942</v>
      </c>
      <c r="AM359" s="1050">
        <v>25.9</v>
      </c>
      <c r="AN359" s="834"/>
      <c r="AO359" s="834"/>
      <c r="AP359" s="834"/>
      <c r="AQ359" s="834"/>
      <c r="AR359" s="834"/>
      <c r="AS359" s="834"/>
      <c r="AT359" s="834"/>
      <c r="AU359" s="834"/>
      <c r="AW359" s="1056">
        <v>42361</v>
      </c>
      <c r="AX359" s="1053">
        <v>1952</v>
      </c>
    </row>
    <row r="360" spans="1:50" ht="14.5">
      <c r="A360" s="1" t="s">
        <v>688</v>
      </c>
      <c r="B360" s="75">
        <v>41444</v>
      </c>
      <c r="C360">
        <v>12.6</v>
      </c>
      <c r="AW360" s="1056">
        <v>42362</v>
      </c>
      <c r="AX360" s="1053">
        <v>1945</v>
      </c>
    </row>
    <row r="361" spans="1:50" ht="14.5">
      <c r="A361" s="1" t="s">
        <v>688</v>
      </c>
      <c r="B361" s="75">
        <v>41445</v>
      </c>
      <c r="C361">
        <v>10.7</v>
      </c>
      <c r="AW361" s="1056">
        <v>42363</v>
      </c>
      <c r="AX361" s="1053">
        <v>1943</v>
      </c>
    </row>
    <row r="362" spans="1:50" ht="14.5">
      <c r="A362" s="1" t="s">
        <v>688</v>
      </c>
      <c r="B362" s="75">
        <v>41446</v>
      </c>
      <c r="C362">
        <v>9.7899999999999991</v>
      </c>
      <c r="AW362" s="1056">
        <v>42364</v>
      </c>
      <c r="AX362" s="1053">
        <v>1946</v>
      </c>
    </row>
    <row r="363" spans="1:50" ht="14.5">
      <c r="A363" s="1" t="s">
        <v>688</v>
      </c>
      <c r="B363" s="75">
        <v>41447</v>
      </c>
      <c r="C363">
        <v>10.4</v>
      </c>
      <c r="AW363" s="1056">
        <v>42365</v>
      </c>
      <c r="AX363" s="1053">
        <v>1940</v>
      </c>
    </row>
    <row r="364" spans="1:50" ht="14.5">
      <c r="A364" s="1" t="s">
        <v>688</v>
      </c>
      <c r="B364" s="75">
        <v>41448</v>
      </c>
      <c r="C364">
        <v>9.82</v>
      </c>
      <c r="AW364" s="1056">
        <v>42366</v>
      </c>
      <c r="AX364" s="1053">
        <v>1939</v>
      </c>
    </row>
    <row r="365" spans="1:50" ht="14.5">
      <c r="A365" s="1" t="s">
        <v>688</v>
      </c>
      <c r="B365" s="75">
        <v>41449</v>
      </c>
      <c r="C365">
        <v>9.6199999999999992</v>
      </c>
      <c r="AW365" s="1056">
        <v>42367</v>
      </c>
      <c r="AX365" s="1053">
        <v>1942</v>
      </c>
    </row>
    <row r="366" spans="1:50" ht="14.5">
      <c r="A366" s="1" t="s">
        <v>688</v>
      </c>
      <c r="B366" s="75">
        <v>41450</v>
      </c>
      <c r="C366">
        <v>9.61</v>
      </c>
      <c r="AW366" s="1056">
        <v>42368</v>
      </c>
      <c r="AX366" s="1053">
        <v>1942</v>
      </c>
    </row>
    <row r="367" spans="1:50" ht="14.5">
      <c r="A367" s="1" t="s">
        <v>688</v>
      </c>
      <c r="B367" s="75">
        <v>41451</v>
      </c>
      <c r="C367">
        <v>7.42</v>
      </c>
      <c r="AW367" s="1056">
        <v>42369</v>
      </c>
      <c r="AX367" s="1053">
        <v>1941</v>
      </c>
    </row>
    <row r="368" spans="1:50" ht="14.5">
      <c r="A368" s="1" t="s">
        <v>688</v>
      </c>
      <c r="B368" s="75">
        <v>41452</v>
      </c>
      <c r="C368">
        <v>5.34</v>
      </c>
      <c r="AW368" s="1056">
        <v>42370</v>
      </c>
      <c r="AX368" s="1053">
        <v>1938</v>
      </c>
    </row>
    <row r="369" spans="1:50" ht="14.5">
      <c r="A369" s="1" t="s">
        <v>688</v>
      </c>
      <c r="B369" s="75">
        <v>41453</v>
      </c>
      <c r="C369">
        <v>4.9800000000000004</v>
      </c>
      <c r="AW369" s="1056">
        <v>42371</v>
      </c>
      <c r="AX369" s="1053">
        <v>1938</v>
      </c>
    </row>
    <row r="370" spans="1:50" ht="14.5">
      <c r="A370" s="1" t="s">
        <v>688</v>
      </c>
      <c r="B370" s="75">
        <v>41454</v>
      </c>
      <c r="C370">
        <v>5.18</v>
      </c>
      <c r="AW370" s="1056">
        <v>42372</v>
      </c>
      <c r="AX370" s="1053">
        <v>1939</v>
      </c>
    </row>
    <row r="371" spans="1:50" ht="14.5">
      <c r="A371" s="1" t="s">
        <v>688</v>
      </c>
      <c r="B371" s="75">
        <v>41455</v>
      </c>
      <c r="C371">
        <v>6.49</v>
      </c>
      <c r="AW371" s="1056">
        <v>42373</v>
      </c>
      <c r="AX371" s="1053">
        <v>1922</v>
      </c>
    </row>
    <row r="372" spans="1:50" ht="14.5">
      <c r="A372" s="1" t="s">
        <v>688</v>
      </c>
      <c r="B372" s="75">
        <v>41456</v>
      </c>
      <c r="C372">
        <v>7.14</v>
      </c>
      <c r="D372">
        <f>AVERAGE(C372:C402)</f>
        <v>22.958387096774196</v>
      </c>
      <c r="AW372" s="1056">
        <v>42374</v>
      </c>
      <c r="AX372" s="1053">
        <v>1943</v>
      </c>
    </row>
    <row r="373" spans="1:50" ht="14.5">
      <c r="A373" s="1" t="s">
        <v>688</v>
      </c>
      <c r="B373" s="75">
        <v>41457</v>
      </c>
      <c r="C373">
        <v>8.99</v>
      </c>
      <c r="AW373" s="1056">
        <v>42375</v>
      </c>
      <c r="AX373" s="1053">
        <v>1944</v>
      </c>
    </row>
    <row r="374" spans="1:50" ht="14.5">
      <c r="A374" s="1" t="s">
        <v>688</v>
      </c>
      <c r="B374" s="75">
        <v>41458</v>
      </c>
      <c r="C374">
        <v>9.58</v>
      </c>
      <c r="AW374" s="1056">
        <v>42376</v>
      </c>
      <c r="AX374" s="1053">
        <v>1945</v>
      </c>
    </row>
    <row r="375" spans="1:50" ht="14.5">
      <c r="A375" s="1" t="s">
        <v>688</v>
      </c>
      <c r="B375" s="75">
        <v>41459</v>
      </c>
      <c r="C375">
        <v>7.67</v>
      </c>
      <c r="AW375" s="1056">
        <v>42377</v>
      </c>
      <c r="AX375" s="1053">
        <v>1946</v>
      </c>
    </row>
    <row r="376" spans="1:50" ht="14.5">
      <c r="A376" s="1" t="s">
        <v>688</v>
      </c>
      <c r="B376" s="75">
        <v>41460</v>
      </c>
      <c r="C376">
        <v>7.82</v>
      </c>
      <c r="AW376" s="1056">
        <v>42378</v>
      </c>
      <c r="AX376" s="1053">
        <v>1945</v>
      </c>
    </row>
    <row r="377" spans="1:50" ht="14.5">
      <c r="A377" s="1" t="s">
        <v>688</v>
      </c>
      <c r="B377" s="75">
        <v>41461</v>
      </c>
      <c r="C377">
        <v>6.81</v>
      </c>
      <c r="AW377" s="1056">
        <v>42379</v>
      </c>
      <c r="AX377" s="1053">
        <v>1942</v>
      </c>
    </row>
    <row r="378" spans="1:50" ht="15" thickBot="1">
      <c r="A378" s="1" t="s">
        <v>688</v>
      </c>
      <c r="B378" s="75">
        <v>41462</v>
      </c>
      <c r="C378">
        <v>7.52</v>
      </c>
      <c r="AW378" s="1057">
        <v>42380</v>
      </c>
      <c r="AX378" s="1054">
        <v>1942</v>
      </c>
    </row>
    <row r="379" spans="1:50">
      <c r="A379" s="1" t="s">
        <v>688</v>
      </c>
      <c r="B379" s="75">
        <v>41463</v>
      </c>
      <c r="C379">
        <v>8.9600000000000009</v>
      </c>
    </row>
    <row r="380" spans="1:50">
      <c r="A380" s="1" t="s">
        <v>688</v>
      </c>
      <c r="B380" s="75">
        <v>41464</v>
      </c>
      <c r="C380">
        <v>9.44</v>
      </c>
    </row>
    <row r="381" spans="1:50">
      <c r="A381" s="1" t="s">
        <v>688</v>
      </c>
      <c r="B381" s="75">
        <v>41465</v>
      </c>
      <c r="C381">
        <v>9.66</v>
      </c>
    </row>
    <row r="382" spans="1:50">
      <c r="A382" s="1" t="s">
        <v>688</v>
      </c>
      <c r="B382" s="75">
        <v>41466</v>
      </c>
      <c r="C382">
        <v>22.7</v>
      </c>
    </row>
    <row r="383" spans="1:50">
      <c r="A383" s="1" t="s">
        <v>688</v>
      </c>
      <c r="B383" s="75">
        <v>41467</v>
      </c>
      <c r="C383">
        <v>50.8</v>
      </c>
    </row>
    <row r="384" spans="1:50">
      <c r="A384" s="1" t="s">
        <v>688</v>
      </c>
      <c r="B384" s="75">
        <v>41468</v>
      </c>
      <c r="C384">
        <v>53.8</v>
      </c>
    </row>
    <row r="385" spans="1:3">
      <c r="A385" s="1" t="s">
        <v>688</v>
      </c>
      <c r="B385" s="75">
        <v>41469</v>
      </c>
      <c r="C385">
        <v>77.599999999999994</v>
      </c>
    </row>
    <row r="386" spans="1:3">
      <c r="A386" s="1" t="s">
        <v>688</v>
      </c>
      <c r="B386" s="75">
        <v>41470</v>
      </c>
      <c r="C386">
        <v>64.8</v>
      </c>
    </row>
    <row r="387" spans="1:3">
      <c r="A387" s="1" t="s">
        <v>688</v>
      </c>
      <c r="B387" s="75">
        <v>41471</v>
      </c>
      <c r="C387">
        <v>56.9</v>
      </c>
    </row>
    <row r="388" spans="1:3">
      <c r="A388" s="1" t="s">
        <v>688</v>
      </c>
      <c r="B388" s="75">
        <v>41472</v>
      </c>
      <c r="C388">
        <v>44.4</v>
      </c>
    </row>
    <row r="389" spans="1:3">
      <c r="A389" s="1" t="s">
        <v>688</v>
      </c>
      <c r="B389" s="75">
        <v>41473</v>
      </c>
      <c r="C389">
        <v>34.6</v>
      </c>
    </row>
    <row r="390" spans="1:3">
      <c r="A390" s="1" t="s">
        <v>688</v>
      </c>
      <c r="B390" s="75">
        <v>41474</v>
      </c>
      <c r="C390">
        <v>29.6</v>
      </c>
    </row>
    <row r="391" spans="1:3">
      <c r="A391" s="1" t="s">
        <v>688</v>
      </c>
      <c r="B391" s="75">
        <v>41475</v>
      </c>
      <c r="C391">
        <v>26.7</v>
      </c>
    </row>
    <row r="392" spans="1:3">
      <c r="A392" s="1" t="s">
        <v>688</v>
      </c>
      <c r="B392" s="75">
        <v>41476</v>
      </c>
      <c r="C392">
        <v>24.4</v>
      </c>
    </row>
    <row r="393" spans="1:3">
      <c r="A393" s="1" t="s">
        <v>688</v>
      </c>
      <c r="B393" s="75">
        <v>41477</v>
      </c>
      <c r="C393">
        <v>21.9</v>
      </c>
    </row>
    <row r="394" spans="1:3">
      <c r="A394" s="1" t="s">
        <v>688</v>
      </c>
      <c r="B394" s="75">
        <v>41478</v>
      </c>
      <c r="C394">
        <v>19.899999999999999</v>
      </c>
    </row>
    <row r="395" spans="1:3">
      <c r="A395" s="1" t="s">
        <v>688</v>
      </c>
      <c r="B395" s="75">
        <v>41479</v>
      </c>
      <c r="C395">
        <v>18.600000000000001</v>
      </c>
    </row>
    <row r="396" spans="1:3">
      <c r="A396" s="1" t="s">
        <v>688</v>
      </c>
      <c r="B396" s="75">
        <v>41480</v>
      </c>
      <c r="C396">
        <v>10.7</v>
      </c>
    </row>
    <row r="397" spans="1:3">
      <c r="A397" s="1" t="s">
        <v>688</v>
      </c>
      <c r="B397" s="75">
        <v>41481</v>
      </c>
      <c r="C397">
        <v>8.51</v>
      </c>
    </row>
    <row r="398" spans="1:3">
      <c r="A398" s="1" t="s">
        <v>688</v>
      </c>
      <c r="B398" s="75">
        <v>41482</v>
      </c>
      <c r="C398">
        <v>8.61</v>
      </c>
    </row>
    <row r="399" spans="1:3">
      <c r="A399" s="1" t="s">
        <v>688</v>
      </c>
      <c r="B399" s="75">
        <v>41483</v>
      </c>
      <c r="C399">
        <v>12.1</v>
      </c>
    </row>
    <row r="400" spans="1:3">
      <c r="A400" s="1" t="s">
        <v>688</v>
      </c>
      <c r="B400" s="75">
        <v>41484</v>
      </c>
      <c r="C400">
        <v>13.2</v>
      </c>
    </row>
    <row r="401" spans="1:4">
      <c r="A401" s="1" t="s">
        <v>688</v>
      </c>
      <c r="B401" s="75">
        <v>41485</v>
      </c>
      <c r="C401">
        <v>15.3</v>
      </c>
    </row>
    <row r="402" spans="1:4">
      <c r="A402" s="1" t="s">
        <v>688</v>
      </c>
      <c r="B402" s="75">
        <v>41486</v>
      </c>
      <c r="C402">
        <v>13</v>
      </c>
    </row>
    <row r="403" spans="1:4">
      <c r="A403" s="1" t="s">
        <v>688</v>
      </c>
      <c r="B403" s="75">
        <v>41487</v>
      </c>
      <c r="C403">
        <v>7.83</v>
      </c>
      <c r="D403">
        <f>AVERAGE(C403:C433)</f>
        <v>17.107419354838711</v>
      </c>
    </row>
    <row r="404" spans="1:4">
      <c r="A404" s="1" t="s">
        <v>688</v>
      </c>
      <c r="B404" s="75">
        <v>41488</v>
      </c>
      <c r="C404">
        <v>6.88</v>
      </c>
    </row>
    <row r="405" spans="1:4">
      <c r="A405" s="1" t="s">
        <v>688</v>
      </c>
      <c r="B405" s="75">
        <v>41489</v>
      </c>
      <c r="C405">
        <v>7.04</v>
      </c>
    </row>
    <row r="406" spans="1:4">
      <c r="A406" s="1" t="s">
        <v>688</v>
      </c>
      <c r="B406" s="75">
        <v>41490</v>
      </c>
      <c r="C406">
        <v>6.53</v>
      </c>
    </row>
    <row r="407" spans="1:4">
      <c r="A407" s="1" t="s">
        <v>688</v>
      </c>
      <c r="B407" s="75">
        <v>41491</v>
      </c>
      <c r="C407">
        <v>7.45</v>
      </c>
    </row>
    <row r="408" spans="1:4">
      <c r="A408" s="1" t="s">
        <v>688</v>
      </c>
      <c r="B408" s="75">
        <v>41492</v>
      </c>
      <c r="C408">
        <v>11.5</v>
      </c>
    </row>
    <row r="409" spans="1:4">
      <c r="A409" s="1" t="s">
        <v>688</v>
      </c>
      <c r="B409" s="75">
        <v>41493</v>
      </c>
      <c r="C409">
        <v>13.3</v>
      </c>
    </row>
    <row r="410" spans="1:4">
      <c r="A410" s="1" t="s">
        <v>688</v>
      </c>
      <c r="B410" s="75">
        <v>41494</v>
      </c>
      <c r="C410">
        <v>12.6</v>
      </c>
    </row>
    <row r="411" spans="1:4">
      <c r="A411" s="1" t="s">
        <v>688</v>
      </c>
      <c r="B411" s="75">
        <v>41495</v>
      </c>
      <c r="C411">
        <v>13.1</v>
      </c>
    </row>
    <row r="412" spans="1:4">
      <c r="A412" s="1" t="s">
        <v>688</v>
      </c>
      <c r="B412" s="75">
        <v>41496</v>
      </c>
      <c r="C412">
        <v>13.2</v>
      </c>
    </row>
    <row r="413" spans="1:4">
      <c r="A413" s="1" t="s">
        <v>688</v>
      </c>
      <c r="B413" s="75">
        <v>41497</v>
      </c>
      <c r="C413">
        <v>13</v>
      </c>
    </row>
    <row r="414" spans="1:4">
      <c r="A414" s="1" t="s">
        <v>688</v>
      </c>
      <c r="B414" s="75">
        <v>41498</v>
      </c>
      <c r="C414">
        <v>12.9</v>
      </c>
    </row>
    <row r="415" spans="1:4">
      <c r="A415" s="1" t="s">
        <v>688</v>
      </c>
      <c r="B415" s="75">
        <v>41499</v>
      </c>
      <c r="C415">
        <v>25.2</v>
      </c>
    </row>
    <row r="416" spans="1:4">
      <c r="A416" s="1" t="s">
        <v>688</v>
      </c>
      <c r="B416" s="75">
        <v>41500</v>
      </c>
      <c r="C416">
        <v>32.200000000000003</v>
      </c>
    </row>
    <row r="417" spans="1:3">
      <c r="A417" s="1" t="s">
        <v>688</v>
      </c>
      <c r="B417" s="75">
        <v>41501</v>
      </c>
      <c r="C417">
        <v>32</v>
      </c>
    </row>
    <row r="418" spans="1:3">
      <c r="A418" s="1" t="s">
        <v>688</v>
      </c>
      <c r="B418" s="75">
        <v>41502</v>
      </c>
      <c r="C418">
        <v>23.6</v>
      </c>
    </row>
    <row r="419" spans="1:3">
      <c r="A419" s="1" t="s">
        <v>688</v>
      </c>
      <c r="B419" s="75">
        <v>41503</v>
      </c>
      <c r="C419">
        <v>18.600000000000001</v>
      </c>
    </row>
    <row r="420" spans="1:3">
      <c r="A420" s="1" t="s">
        <v>688</v>
      </c>
      <c r="B420" s="75">
        <v>41504</v>
      </c>
      <c r="C420">
        <v>18.600000000000001</v>
      </c>
    </row>
    <row r="421" spans="1:3">
      <c r="A421" s="1" t="s">
        <v>688</v>
      </c>
      <c r="B421" s="75">
        <v>41505</v>
      </c>
      <c r="C421">
        <v>17.8</v>
      </c>
    </row>
    <row r="422" spans="1:3">
      <c r="A422" s="1" t="s">
        <v>688</v>
      </c>
      <c r="B422" s="75">
        <v>41506</v>
      </c>
      <c r="C422">
        <v>12.3</v>
      </c>
    </row>
    <row r="423" spans="1:3">
      <c r="A423" s="1" t="s">
        <v>688</v>
      </c>
      <c r="B423" s="75">
        <v>41507</v>
      </c>
      <c r="C423">
        <v>10.4</v>
      </c>
    </row>
    <row r="424" spans="1:3">
      <c r="A424" s="1" t="s">
        <v>688</v>
      </c>
      <c r="B424" s="75">
        <v>41508</v>
      </c>
      <c r="C424">
        <v>10.4</v>
      </c>
    </row>
    <row r="425" spans="1:3">
      <c r="A425" s="1" t="s">
        <v>688</v>
      </c>
      <c r="B425" s="75">
        <v>41509</v>
      </c>
      <c r="C425">
        <v>10.5</v>
      </c>
    </row>
    <row r="426" spans="1:3">
      <c r="A426" s="1" t="s">
        <v>688</v>
      </c>
      <c r="B426" s="75">
        <v>41510</v>
      </c>
      <c r="C426">
        <v>17.8</v>
      </c>
    </row>
    <row r="427" spans="1:3">
      <c r="A427" s="1" t="s">
        <v>688</v>
      </c>
      <c r="B427" s="75">
        <v>41511</v>
      </c>
      <c r="C427">
        <v>28.5</v>
      </c>
    </row>
    <row r="428" spans="1:3">
      <c r="A428" s="1" t="s">
        <v>688</v>
      </c>
      <c r="B428" s="75">
        <v>41512</v>
      </c>
      <c r="C428">
        <v>27.7</v>
      </c>
    </row>
    <row r="429" spans="1:3">
      <c r="A429" s="1" t="s">
        <v>688</v>
      </c>
      <c r="B429" s="75">
        <v>41513</v>
      </c>
      <c r="C429">
        <v>27</v>
      </c>
    </row>
    <row r="430" spans="1:3">
      <c r="A430" s="1" t="s">
        <v>688</v>
      </c>
      <c r="B430" s="75">
        <v>41514</v>
      </c>
      <c r="C430">
        <v>27.1</v>
      </c>
    </row>
    <row r="431" spans="1:3">
      <c r="A431" s="1" t="s">
        <v>688</v>
      </c>
      <c r="B431" s="75">
        <v>41515</v>
      </c>
      <c r="C431">
        <v>27</v>
      </c>
    </row>
    <row r="432" spans="1:3">
      <c r="A432" s="1" t="s">
        <v>688</v>
      </c>
      <c r="B432" s="75">
        <v>41516</v>
      </c>
      <c r="C432">
        <v>21.1</v>
      </c>
    </row>
    <row r="433" spans="1:4">
      <c r="A433" s="1" t="s">
        <v>688</v>
      </c>
      <c r="B433" s="75">
        <v>41517</v>
      </c>
      <c r="C433">
        <v>17.2</v>
      </c>
    </row>
    <row r="434" spans="1:4">
      <c r="A434" s="1" t="s">
        <v>688</v>
      </c>
      <c r="B434" s="75">
        <v>41518</v>
      </c>
      <c r="C434">
        <v>17.2</v>
      </c>
      <c r="D434">
        <f>AVERAGE(C434:C463)</f>
        <v>215.09</v>
      </c>
    </row>
    <row r="435" spans="1:4">
      <c r="A435" s="1" t="s">
        <v>688</v>
      </c>
      <c r="B435" s="75">
        <v>41519</v>
      </c>
      <c r="C435">
        <v>33.299999999999997</v>
      </c>
    </row>
    <row r="436" spans="1:4">
      <c r="A436" s="1" t="s">
        <v>688</v>
      </c>
      <c r="B436" s="75">
        <v>41520</v>
      </c>
      <c r="C436">
        <v>47.1</v>
      </c>
    </row>
    <row r="437" spans="1:4">
      <c r="A437" s="1" t="s">
        <v>688</v>
      </c>
      <c r="B437" s="75">
        <v>41521</v>
      </c>
      <c r="C437">
        <v>46.3</v>
      </c>
    </row>
    <row r="438" spans="1:4">
      <c r="A438" s="1" t="s">
        <v>688</v>
      </c>
      <c r="B438" s="75">
        <v>41522</v>
      </c>
      <c r="C438">
        <v>44.1</v>
      </c>
    </row>
    <row r="439" spans="1:4">
      <c r="A439" s="1" t="s">
        <v>688</v>
      </c>
      <c r="B439" s="75">
        <v>41523</v>
      </c>
      <c r="C439">
        <v>36.6</v>
      </c>
    </row>
    <row r="440" spans="1:4">
      <c r="A440" s="1" t="s">
        <v>688</v>
      </c>
      <c r="B440" s="75">
        <v>41524</v>
      </c>
      <c r="C440">
        <v>29.1</v>
      </c>
    </row>
    <row r="441" spans="1:4">
      <c r="A441" s="1" t="s">
        <v>688</v>
      </c>
      <c r="B441" s="75">
        <v>41525</v>
      </c>
      <c r="C441">
        <v>27.7</v>
      </c>
    </row>
    <row r="442" spans="1:4">
      <c r="A442" s="1" t="s">
        <v>688</v>
      </c>
      <c r="B442" s="75">
        <v>41526</v>
      </c>
      <c r="C442">
        <v>27</v>
      </c>
    </row>
    <row r="443" spans="1:4">
      <c r="A443" s="1" t="s">
        <v>688</v>
      </c>
      <c r="B443" s="75">
        <v>41527</v>
      </c>
      <c r="C443">
        <v>71.3</v>
      </c>
    </row>
    <row r="444" spans="1:4">
      <c r="A444" s="1" t="s">
        <v>688</v>
      </c>
      <c r="B444" s="75">
        <v>41528</v>
      </c>
      <c r="C444">
        <v>257</v>
      </c>
    </row>
    <row r="445" spans="1:4">
      <c r="A445" s="1" t="s">
        <v>688</v>
      </c>
      <c r="B445" s="75">
        <v>41529</v>
      </c>
      <c r="C445">
        <v>221</v>
      </c>
    </row>
    <row r="446" spans="1:4">
      <c r="A446" s="1" t="s">
        <v>688</v>
      </c>
      <c r="B446" s="75">
        <v>41530</v>
      </c>
      <c r="C446">
        <v>0</v>
      </c>
    </row>
    <row r="447" spans="1:4">
      <c r="A447" s="1" t="s">
        <v>688</v>
      </c>
      <c r="B447" s="75">
        <v>41531</v>
      </c>
      <c r="C447">
        <v>0</v>
      </c>
    </row>
    <row r="448" spans="1:4">
      <c r="A448" s="1" t="s">
        <v>688</v>
      </c>
      <c r="B448" s="75">
        <v>41532</v>
      </c>
      <c r="C448">
        <v>0</v>
      </c>
    </row>
    <row r="449" spans="1:4">
      <c r="A449" s="1" t="s">
        <v>688</v>
      </c>
      <c r="B449" s="75">
        <v>41533</v>
      </c>
      <c r="C449">
        <v>151</v>
      </c>
    </row>
    <row r="450" spans="1:4">
      <c r="A450" s="1" t="s">
        <v>688</v>
      </c>
      <c r="B450" s="75">
        <v>41534</v>
      </c>
      <c r="C450">
        <v>250</v>
      </c>
    </row>
    <row r="451" spans="1:4">
      <c r="A451" s="1" t="s">
        <v>688</v>
      </c>
      <c r="B451" s="75">
        <v>41535</v>
      </c>
      <c r="C451">
        <v>254</v>
      </c>
    </row>
    <row r="452" spans="1:4">
      <c r="A452" s="1" t="s">
        <v>688</v>
      </c>
      <c r="B452" s="75">
        <v>41536</v>
      </c>
      <c r="C452">
        <v>257</v>
      </c>
    </row>
    <row r="453" spans="1:4">
      <c r="A453" s="1" t="s">
        <v>688</v>
      </c>
      <c r="B453" s="75">
        <v>41537</v>
      </c>
      <c r="C453">
        <v>258</v>
      </c>
    </row>
    <row r="454" spans="1:4">
      <c r="A454" s="1" t="s">
        <v>688</v>
      </c>
      <c r="B454" s="75">
        <v>41538</v>
      </c>
      <c r="C454">
        <v>279</v>
      </c>
    </row>
    <row r="455" spans="1:4">
      <c r="A455" s="1" t="s">
        <v>688</v>
      </c>
      <c r="B455" s="75">
        <v>41539</v>
      </c>
      <c r="C455">
        <v>357</v>
      </c>
    </row>
    <row r="456" spans="1:4">
      <c r="A456" s="1" t="s">
        <v>688</v>
      </c>
      <c r="B456" s="75">
        <v>41540</v>
      </c>
      <c r="C456">
        <v>390</v>
      </c>
    </row>
    <row r="457" spans="1:4">
      <c r="A457" s="1" t="s">
        <v>688</v>
      </c>
      <c r="B457" s="75">
        <v>41541</v>
      </c>
      <c r="C457">
        <v>460</v>
      </c>
    </row>
    <row r="458" spans="1:4">
      <c r="A458" s="1" t="s">
        <v>688</v>
      </c>
      <c r="B458" s="75">
        <v>41542</v>
      </c>
      <c r="C458">
        <v>490</v>
      </c>
    </row>
    <row r="459" spans="1:4">
      <c r="A459" s="1" t="s">
        <v>688</v>
      </c>
      <c r="B459" s="75">
        <v>41543</v>
      </c>
      <c r="C459">
        <v>486</v>
      </c>
    </row>
    <row r="460" spans="1:4">
      <c r="A460" s="1" t="s">
        <v>688</v>
      </c>
      <c r="B460" s="75">
        <v>41544</v>
      </c>
      <c r="C460">
        <v>496</v>
      </c>
    </row>
    <row r="461" spans="1:4">
      <c r="A461" s="1" t="s">
        <v>688</v>
      </c>
      <c r="B461" s="75">
        <v>41545</v>
      </c>
      <c r="C461">
        <v>492</v>
      </c>
    </row>
    <row r="462" spans="1:4">
      <c r="A462" s="1" t="s">
        <v>688</v>
      </c>
      <c r="B462" s="75">
        <v>41546</v>
      </c>
      <c r="C462">
        <v>487</v>
      </c>
    </row>
    <row r="463" spans="1:4">
      <c r="A463" s="1" t="s">
        <v>688</v>
      </c>
      <c r="B463" s="75">
        <v>41547</v>
      </c>
      <c r="C463">
        <v>488</v>
      </c>
    </row>
    <row r="464" spans="1:4">
      <c r="A464" s="1" t="s">
        <v>688</v>
      </c>
      <c r="B464" s="75">
        <v>41548</v>
      </c>
      <c r="C464">
        <v>487</v>
      </c>
      <c r="D464">
        <f>AVERAGE(C464:C494)</f>
        <v>219.40322580645159</v>
      </c>
    </row>
    <row r="465" spans="1:3">
      <c r="A465" s="1" t="s">
        <v>688</v>
      </c>
      <c r="B465" s="75">
        <v>41549</v>
      </c>
      <c r="C465">
        <v>478</v>
      </c>
    </row>
    <row r="466" spans="1:3">
      <c r="A466" s="1" t="s">
        <v>688</v>
      </c>
      <c r="B466" s="75">
        <v>41550</v>
      </c>
      <c r="C466">
        <v>470</v>
      </c>
    </row>
    <row r="467" spans="1:3">
      <c r="A467" s="1" t="s">
        <v>688</v>
      </c>
      <c r="B467" s="75">
        <v>41551</v>
      </c>
      <c r="C467">
        <v>400</v>
      </c>
    </row>
    <row r="468" spans="1:3">
      <c r="A468" s="1" t="s">
        <v>688</v>
      </c>
      <c r="B468" s="75">
        <v>41552</v>
      </c>
      <c r="C468">
        <v>350</v>
      </c>
    </row>
    <row r="469" spans="1:3">
      <c r="A469" s="1" t="s">
        <v>688</v>
      </c>
      <c r="B469" s="75">
        <v>41553</v>
      </c>
      <c r="C469">
        <v>347</v>
      </c>
    </row>
    <row r="470" spans="1:3">
      <c r="A470" s="1" t="s">
        <v>688</v>
      </c>
      <c r="B470" s="75">
        <v>41554</v>
      </c>
      <c r="C470">
        <v>342</v>
      </c>
    </row>
    <row r="471" spans="1:3">
      <c r="A471" s="1" t="s">
        <v>688</v>
      </c>
      <c r="B471" s="75">
        <v>41555</v>
      </c>
      <c r="C471">
        <v>344</v>
      </c>
    </row>
    <row r="472" spans="1:3">
      <c r="A472" s="1" t="s">
        <v>688</v>
      </c>
      <c r="B472" s="75">
        <v>41556</v>
      </c>
      <c r="C472">
        <v>343</v>
      </c>
    </row>
    <row r="473" spans="1:3">
      <c r="A473" s="1" t="s">
        <v>688</v>
      </c>
      <c r="B473" s="75">
        <v>41557</v>
      </c>
      <c r="C473">
        <v>347</v>
      </c>
    </row>
    <row r="474" spans="1:3">
      <c r="A474" s="1" t="s">
        <v>688</v>
      </c>
      <c r="B474" s="75">
        <v>41558</v>
      </c>
      <c r="C474">
        <v>275</v>
      </c>
    </row>
    <row r="475" spans="1:3">
      <c r="A475" s="1" t="s">
        <v>688</v>
      </c>
      <c r="B475" s="75">
        <v>41559</v>
      </c>
      <c r="C475">
        <v>230</v>
      </c>
    </row>
    <row r="476" spans="1:3">
      <c r="A476" s="1" t="s">
        <v>688</v>
      </c>
      <c r="B476" s="75">
        <v>41560</v>
      </c>
      <c r="C476">
        <v>228</v>
      </c>
    </row>
    <row r="477" spans="1:3">
      <c r="A477" s="1" t="s">
        <v>688</v>
      </c>
      <c r="B477" s="75">
        <v>41561</v>
      </c>
      <c r="C477">
        <v>224</v>
      </c>
    </row>
    <row r="478" spans="1:3">
      <c r="A478" s="1" t="s">
        <v>688</v>
      </c>
      <c r="B478" s="75">
        <v>41562</v>
      </c>
      <c r="C478">
        <v>220</v>
      </c>
    </row>
    <row r="479" spans="1:3">
      <c r="A479" s="1" t="s">
        <v>688</v>
      </c>
      <c r="B479" s="75">
        <v>41563</v>
      </c>
      <c r="C479">
        <v>225</v>
      </c>
    </row>
    <row r="480" spans="1:3">
      <c r="A480" s="1" t="s">
        <v>688</v>
      </c>
      <c r="B480" s="75">
        <v>41564</v>
      </c>
      <c r="C480">
        <v>228</v>
      </c>
    </row>
    <row r="481" spans="1:3">
      <c r="A481" s="1" t="s">
        <v>688</v>
      </c>
      <c r="B481" s="75">
        <v>41565</v>
      </c>
      <c r="C481">
        <v>209</v>
      </c>
    </row>
    <row r="482" spans="1:3">
      <c r="A482" s="1" t="s">
        <v>688</v>
      </c>
      <c r="B482" s="75">
        <v>41566</v>
      </c>
      <c r="C482">
        <v>103</v>
      </c>
    </row>
    <row r="483" spans="1:3">
      <c r="A483" s="1" t="s">
        <v>688</v>
      </c>
      <c r="B483" s="75">
        <v>41567</v>
      </c>
      <c r="C483">
        <v>88.3</v>
      </c>
    </row>
    <row r="484" spans="1:3">
      <c r="A484" s="1" t="s">
        <v>688</v>
      </c>
      <c r="B484" s="75">
        <v>41568</v>
      </c>
      <c r="C484">
        <v>87.9</v>
      </c>
    </row>
    <row r="485" spans="1:3">
      <c r="A485" s="1" t="s">
        <v>688</v>
      </c>
      <c r="B485" s="75">
        <v>41569</v>
      </c>
      <c r="C485">
        <v>85.2</v>
      </c>
    </row>
    <row r="486" spans="1:3">
      <c r="A486" s="1" t="s">
        <v>688</v>
      </c>
      <c r="B486" s="75">
        <v>41570</v>
      </c>
      <c r="C486">
        <v>82.4</v>
      </c>
    </row>
    <row r="487" spans="1:3">
      <c r="A487" s="1" t="s">
        <v>688</v>
      </c>
      <c r="B487" s="75">
        <v>41571</v>
      </c>
      <c r="C487">
        <v>80.5</v>
      </c>
    </row>
    <row r="488" spans="1:3">
      <c r="A488" s="1" t="s">
        <v>688</v>
      </c>
      <c r="B488" s="75">
        <v>41572</v>
      </c>
      <c r="C488">
        <v>76.7</v>
      </c>
    </row>
    <row r="489" spans="1:3">
      <c r="A489" s="1" t="s">
        <v>688</v>
      </c>
      <c r="B489" s="75">
        <v>41573</v>
      </c>
      <c r="C489">
        <v>75.5</v>
      </c>
    </row>
    <row r="490" spans="1:3">
      <c r="A490" s="1" t="s">
        <v>688</v>
      </c>
      <c r="B490" s="75">
        <v>41574</v>
      </c>
      <c r="C490">
        <v>73.7</v>
      </c>
    </row>
    <row r="491" spans="1:3">
      <c r="A491" s="1" t="s">
        <v>688</v>
      </c>
      <c r="B491" s="75">
        <v>41575</v>
      </c>
      <c r="C491">
        <v>73.099999999999994</v>
      </c>
    </row>
    <row r="492" spans="1:3">
      <c r="A492" s="1" t="s">
        <v>688</v>
      </c>
      <c r="B492" s="75">
        <v>41576</v>
      </c>
      <c r="C492">
        <v>70</v>
      </c>
    </row>
    <row r="493" spans="1:3">
      <c r="A493" s="1" t="s">
        <v>688</v>
      </c>
      <c r="B493" s="75">
        <v>41577</v>
      </c>
      <c r="C493">
        <v>71.2</v>
      </c>
    </row>
    <row r="494" spans="1:3">
      <c r="A494" s="1" t="s">
        <v>688</v>
      </c>
      <c r="B494" s="75">
        <v>41578</v>
      </c>
      <c r="C494">
        <v>87</v>
      </c>
    </row>
    <row r="495" spans="1:3">
      <c r="A495" s="1" t="s">
        <v>688</v>
      </c>
      <c r="B495" s="75">
        <v>41579</v>
      </c>
      <c r="C495">
        <v>88.5</v>
      </c>
    </row>
    <row r="496" spans="1:3">
      <c r="A496" s="1" t="s">
        <v>688</v>
      </c>
      <c r="B496" s="75">
        <v>41580</v>
      </c>
      <c r="C496">
        <v>81.900000000000006</v>
      </c>
    </row>
    <row r="497" spans="1:3">
      <c r="A497" s="1" t="s">
        <v>688</v>
      </c>
      <c r="B497" s="75">
        <v>41581</v>
      </c>
      <c r="C497">
        <v>81.8</v>
      </c>
    </row>
    <row r="498" spans="1:3">
      <c r="A498" s="1" t="s">
        <v>688</v>
      </c>
      <c r="B498" s="75">
        <v>41582</v>
      </c>
      <c r="C498">
        <v>81.2</v>
      </c>
    </row>
    <row r="499" spans="1:3">
      <c r="A499" s="1" t="s">
        <v>688</v>
      </c>
      <c r="B499" s="75">
        <v>41583</v>
      </c>
      <c r="C499">
        <v>32.1</v>
      </c>
    </row>
    <row r="500" spans="1:3">
      <c r="A500" s="1" t="s">
        <v>688</v>
      </c>
      <c r="B500" s="75">
        <v>41584</v>
      </c>
      <c r="C500">
        <v>4.71</v>
      </c>
    </row>
    <row r="501" spans="1:3">
      <c r="A501" s="1" t="s">
        <v>688</v>
      </c>
      <c r="B501" s="75">
        <v>41585</v>
      </c>
      <c r="C501">
        <v>31</v>
      </c>
    </row>
    <row r="502" spans="1:3">
      <c r="A502" s="1" t="s">
        <v>688</v>
      </c>
      <c r="B502" s="75">
        <v>41586</v>
      </c>
      <c r="C502">
        <v>44.4</v>
      </c>
    </row>
    <row r="503" spans="1:3">
      <c r="A503" s="1" t="s">
        <v>688</v>
      </c>
      <c r="B503" s="75">
        <v>41587</v>
      </c>
      <c r="C503">
        <v>45.2</v>
      </c>
    </row>
    <row r="504" spans="1:3">
      <c r="A504" s="1" t="s">
        <v>688</v>
      </c>
      <c r="B504" s="75">
        <v>41588</v>
      </c>
      <c r="C504">
        <v>40.799999999999997</v>
      </c>
    </row>
    <row r="505" spans="1:3">
      <c r="A505" s="1" t="s">
        <v>688</v>
      </c>
      <c r="B505" s="75">
        <v>41589</v>
      </c>
      <c r="C505">
        <v>38.6</v>
      </c>
    </row>
  </sheetData>
  <mergeCells count="14">
    <mergeCell ref="H152:H153"/>
    <mergeCell ref="A150:A151"/>
    <mergeCell ref="A1:P1"/>
    <mergeCell ref="B17:L17"/>
    <mergeCell ref="A54:D54"/>
    <mergeCell ref="A49:D49"/>
    <mergeCell ref="A50:D50"/>
    <mergeCell ref="A51:D51"/>
    <mergeCell ref="A52:D52"/>
    <mergeCell ref="A53:D53"/>
    <mergeCell ref="N18:N19"/>
    <mergeCell ref="H151:U151"/>
    <mergeCell ref="H150:U150"/>
    <mergeCell ref="G54:N54"/>
  </mergeCells>
  <phoneticPr fontId="7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theme="5" tint="0.59999389629810485"/>
    <pageSetUpPr fitToPage="1"/>
  </sheetPr>
  <dimension ref="A1:S80"/>
  <sheetViews>
    <sheetView topLeftCell="E4" zoomScale="75" zoomScaleNormal="75" workbookViewId="0">
      <selection activeCell="B5" sqref="B5:P5"/>
    </sheetView>
  </sheetViews>
  <sheetFormatPr defaultRowHeight="14"/>
  <cols>
    <col min="1" max="1" width="31.6328125" style="1" customWidth="1"/>
    <col min="2" max="4" width="7.81640625" style="1" bestFit="1" customWidth="1"/>
    <col min="5" max="16" width="7.81640625" bestFit="1" customWidth="1"/>
    <col min="17" max="17" width="9" customWidth="1"/>
    <col min="18" max="18" width="5.81640625" bestFit="1" customWidth="1"/>
    <col min="19" max="19" width="11.54296875" customWidth="1"/>
    <col min="20" max="20" width="9.6328125" customWidth="1"/>
    <col min="21" max="21" width="10.90625" bestFit="1" customWidth="1"/>
    <col min="22" max="22" width="9.90625" bestFit="1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1.36328125" customWidth="1"/>
    <col min="27" max="27" width="11" customWidth="1"/>
    <col min="28" max="28" width="10.453125" customWidth="1"/>
    <col min="29" max="29" width="12.54296875" customWidth="1"/>
    <col min="30" max="30" width="10.90625" bestFit="1" customWidth="1"/>
  </cols>
  <sheetData>
    <row r="1" spans="1:19" s="1" customFormat="1" ht="17.5">
      <c r="A1" s="1428" t="s">
        <v>275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</row>
    <row r="2" spans="1:19" s="7" customFormat="1" ht="26">
      <c r="A2" s="69"/>
      <c r="B2" s="418">
        <v>42009</v>
      </c>
      <c r="C2" s="418">
        <v>42052</v>
      </c>
      <c r="D2" s="418">
        <v>42086</v>
      </c>
      <c r="E2" s="418">
        <v>42114</v>
      </c>
      <c r="F2" s="418">
        <v>42142</v>
      </c>
      <c r="G2" s="418">
        <v>42170</v>
      </c>
      <c r="H2" s="419">
        <v>42191</v>
      </c>
      <c r="I2" s="419">
        <v>42205</v>
      </c>
      <c r="J2" s="419">
        <v>42227</v>
      </c>
      <c r="K2" s="418">
        <v>42241</v>
      </c>
      <c r="L2" s="418">
        <v>42261</v>
      </c>
      <c r="M2" s="420">
        <v>42275</v>
      </c>
      <c r="N2" s="420">
        <v>42296</v>
      </c>
      <c r="O2" s="420">
        <v>42324</v>
      </c>
      <c r="P2" s="420">
        <v>42345</v>
      </c>
      <c r="Q2" s="70" t="s">
        <v>90</v>
      </c>
      <c r="R2" s="71" t="s">
        <v>82</v>
      </c>
      <c r="S2" s="71" t="s">
        <v>108</v>
      </c>
    </row>
    <row r="3" spans="1:19" s="3" customFormat="1">
      <c r="A3" s="72" t="s">
        <v>357</v>
      </c>
      <c r="B3" s="654">
        <v>0.9</v>
      </c>
      <c r="C3" s="654">
        <v>0.1</v>
      </c>
      <c r="D3" s="654">
        <v>5.4</v>
      </c>
      <c r="E3" s="654">
        <v>3.5</v>
      </c>
      <c r="F3" s="654">
        <v>7</v>
      </c>
      <c r="G3" s="654">
        <v>12</v>
      </c>
      <c r="H3" s="654">
        <v>14.4</v>
      </c>
      <c r="I3" s="654">
        <v>13.4</v>
      </c>
      <c r="J3" s="169">
        <v>13.9</v>
      </c>
      <c r="K3" s="654">
        <v>13.9</v>
      </c>
      <c r="L3" s="654">
        <v>12</v>
      </c>
      <c r="M3" s="654">
        <v>11.2</v>
      </c>
      <c r="N3" s="654">
        <v>10</v>
      </c>
      <c r="O3" s="654">
        <v>4.0999999999999996</v>
      </c>
      <c r="P3" s="654">
        <v>0.1</v>
      </c>
      <c r="Q3" s="99">
        <f>AVERAGE(B3:P3)</f>
        <v>8.1266666666666669</v>
      </c>
      <c r="R3" s="100">
        <f>MAX(B3:P3)</f>
        <v>14.4</v>
      </c>
      <c r="S3" s="100">
        <f>AVERAGE(H3:M3)</f>
        <v>13.133333333333333</v>
      </c>
    </row>
    <row r="4" spans="1:19" s="3" customFormat="1">
      <c r="A4" s="73" t="s">
        <v>358</v>
      </c>
      <c r="B4" s="654">
        <v>0.3</v>
      </c>
      <c r="C4" s="654">
        <v>0.5</v>
      </c>
      <c r="D4" s="654">
        <v>4.3</v>
      </c>
      <c r="E4" s="654">
        <v>4.3</v>
      </c>
      <c r="F4" s="654">
        <v>6.6</v>
      </c>
      <c r="G4" s="654">
        <v>10.8</v>
      </c>
      <c r="H4" s="654">
        <v>14.1</v>
      </c>
      <c r="I4" s="654">
        <v>12.2</v>
      </c>
      <c r="J4" s="169">
        <v>13.9</v>
      </c>
      <c r="K4" s="654">
        <v>12.9</v>
      </c>
      <c r="L4" s="654">
        <v>11.3</v>
      </c>
      <c r="M4" s="654">
        <v>11.6</v>
      </c>
      <c r="N4" s="654">
        <v>9.3000000000000007</v>
      </c>
      <c r="O4" s="654">
        <v>1.1000000000000001</v>
      </c>
      <c r="P4" s="654">
        <v>1</v>
      </c>
      <c r="Q4" s="99">
        <f>AVERAGE(B4:P4)</f>
        <v>7.6133333333333324</v>
      </c>
      <c r="R4" s="100">
        <f>MAX(B4:P4)</f>
        <v>14.1</v>
      </c>
      <c r="S4" s="100">
        <f t="shared" ref="S4:S17" si="0">AVERAGE(H4:M4)</f>
        <v>12.666666666666664</v>
      </c>
    </row>
    <row r="5" spans="1:19" s="3" customFormat="1">
      <c r="A5" s="73" t="s">
        <v>359</v>
      </c>
      <c r="B5" s="654">
        <v>2.1</v>
      </c>
      <c r="C5" s="654">
        <v>2.7</v>
      </c>
      <c r="D5" s="654">
        <v>8.8000000000000007</v>
      </c>
      <c r="E5" s="654">
        <v>9.1999999999999993</v>
      </c>
      <c r="F5" s="654">
        <v>7.5</v>
      </c>
      <c r="G5" s="654">
        <v>12.2</v>
      </c>
      <c r="H5" s="654">
        <v>16.5</v>
      </c>
      <c r="I5" s="654">
        <v>16.2</v>
      </c>
      <c r="J5" s="169">
        <v>19</v>
      </c>
      <c r="K5" s="654">
        <v>19.2</v>
      </c>
      <c r="L5" s="654">
        <v>17.8</v>
      </c>
      <c r="M5" s="654">
        <v>15.6</v>
      </c>
      <c r="N5" s="654">
        <v>14</v>
      </c>
      <c r="O5" s="654">
        <v>4.2</v>
      </c>
      <c r="P5" s="654">
        <v>2.2999999999999998</v>
      </c>
      <c r="Q5" s="99">
        <f>AVERAGE(B5:P5)</f>
        <v>11.153333333333334</v>
      </c>
      <c r="R5" s="100">
        <f>MAX(B5:P5)</f>
        <v>19.2</v>
      </c>
      <c r="S5" s="100">
        <f t="shared" si="0"/>
        <v>17.383333333333333</v>
      </c>
    </row>
    <row r="6" spans="1:19" s="3" customFormat="1" ht="15" customHeight="1">
      <c r="A6" s="1453" t="s">
        <v>349</v>
      </c>
      <c r="B6" s="1454"/>
      <c r="C6" s="1454"/>
      <c r="D6" s="1454"/>
      <c r="E6" s="1454"/>
      <c r="F6" s="1454"/>
      <c r="G6" s="1454"/>
      <c r="H6" s="1454"/>
      <c r="I6" s="1454"/>
      <c r="J6" s="1454"/>
      <c r="K6" s="1454"/>
      <c r="L6" s="1454"/>
      <c r="M6" s="1454"/>
      <c r="N6" s="1454"/>
      <c r="O6" s="1454"/>
      <c r="P6" s="1454"/>
      <c r="Q6" s="1454"/>
      <c r="R6" s="1454"/>
      <c r="S6" s="1455"/>
    </row>
    <row r="7" spans="1:19" s="3" customFormat="1">
      <c r="A7" s="223" t="s">
        <v>270</v>
      </c>
      <c r="B7" s="654">
        <v>0.1</v>
      </c>
      <c r="C7" s="654">
        <v>3.2</v>
      </c>
      <c r="D7" s="654">
        <v>8.5</v>
      </c>
      <c r="E7" s="654">
        <v>8.3000000000000007</v>
      </c>
      <c r="F7" s="654">
        <v>10.7</v>
      </c>
      <c r="G7" s="654">
        <v>18.8</v>
      </c>
      <c r="H7" s="654">
        <v>20.5</v>
      </c>
      <c r="I7" s="654">
        <v>18.5</v>
      </c>
      <c r="J7" s="704">
        <v>18.5</v>
      </c>
      <c r="K7" s="654">
        <v>18.2</v>
      </c>
      <c r="L7" s="654">
        <v>17.600000000000001</v>
      </c>
      <c r="M7" s="654">
        <v>17.600000000000001</v>
      </c>
      <c r="N7" s="654">
        <v>14</v>
      </c>
      <c r="O7" s="654">
        <v>5.4</v>
      </c>
      <c r="P7" s="654">
        <v>0.6</v>
      </c>
      <c r="Q7" s="99">
        <f t="shared" ref="Q7:Q21" si="1">AVERAGE(B7:P7)</f>
        <v>12.033333333333333</v>
      </c>
      <c r="R7" s="100">
        <f t="shared" ref="R7:R21" si="2">MAX(B7:P7)</f>
        <v>20.5</v>
      </c>
      <c r="S7" s="100">
        <f t="shared" si="0"/>
        <v>18.483333333333334</v>
      </c>
    </row>
    <row r="8" spans="1:19" s="3" customFormat="1">
      <c r="A8" s="223" t="s">
        <v>151</v>
      </c>
      <c r="B8" s="654">
        <v>0.7</v>
      </c>
      <c r="C8" s="654">
        <v>3.1</v>
      </c>
      <c r="D8" s="654">
        <v>8.3000000000000007</v>
      </c>
      <c r="E8" s="654">
        <v>8.1999999999999993</v>
      </c>
      <c r="F8" s="654">
        <v>10.7</v>
      </c>
      <c r="G8" s="654">
        <v>18.5</v>
      </c>
      <c r="H8" s="654">
        <v>20.5</v>
      </c>
      <c r="I8" s="654">
        <v>18</v>
      </c>
      <c r="J8" s="704">
        <v>18.5</v>
      </c>
      <c r="K8" s="654">
        <v>18.100000000000001</v>
      </c>
      <c r="L8" s="654">
        <v>17.600000000000001</v>
      </c>
      <c r="M8" s="654">
        <v>17.5</v>
      </c>
      <c r="N8" s="654">
        <v>14</v>
      </c>
      <c r="O8" s="654">
        <v>5.4</v>
      </c>
      <c r="P8" s="654">
        <v>0.7</v>
      </c>
      <c r="Q8" s="99">
        <f t="shared" si="1"/>
        <v>11.986666666666666</v>
      </c>
      <c r="R8" s="100">
        <f t="shared" si="2"/>
        <v>20.5</v>
      </c>
      <c r="S8" s="100">
        <f t="shared" si="0"/>
        <v>18.366666666666664</v>
      </c>
    </row>
    <row r="9" spans="1:19" s="3" customFormat="1">
      <c r="A9" s="223" t="s">
        <v>271</v>
      </c>
      <c r="B9" s="654">
        <v>2.2000000000000002</v>
      </c>
      <c r="C9" s="654">
        <v>3.2</v>
      </c>
      <c r="D9" s="654">
        <v>8</v>
      </c>
      <c r="E9" s="654">
        <v>8.1</v>
      </c>
      <c r="F9" s="654">
        <v>10.7</v>
      </c>
      <c r="G9" s="654">
        <v>18.100000000000001</v>
      </c>
      <c r="H9" s="654">
        <v>20.5</v>
      </c>
      <c r="I9" s="654">
        <v>17.7</v>
      </c>
      <c r="J9" s="704">
        <v>18</v>
      </c>
      <c r="K9" s="654">
        <v>18</v>
      </c>
      <c r="L9" s="654">
        <v>17.600000000000001</v>
      </c>
      <c r="M9" s="654">
        <v>17</v>
      </c>
      <c r="N9" s="654">
        <v>14</v>
      </c>
      <c r="O9" s="654">
        <v>5.4</v>
      </c>
      <c r="P9" s="654">
        <v>0.4</v>
      </c>
      <c r="Q9" s="99">
        <f t="shared" si="1"/>
        <v>11.926666666666669</v>
      </c>
      <c r="R9" s="100">
        <f t="shared" si="2"/>
        <v>20.5</v>
      </c>
      <c r="S9" s="100">
        <f t="shared" si="0"/>
        <v>18.133333333333336</v>
      </c>
    </row>
    <row r="10" spans="1:19" s="3" customFormat="1">
      <c r="A10" s="223" t="s">
        <v>152</v>
      </c>
      <c r="B10" s="654">
        <v>2.9</v>
      </c>
      <c r="C10" s="654">
        <v>3.2</v>
      </c>
      <c r="D10" s="654">
        <v>7.9</v>
      </c>
      <c r="E10" s="654">
        <v>8.1</v>
      </c>
      <c r="F10" s="654">
        <v>10.7</v>
      </c>
      <c r="G10" s="654">
        <v>18</v>
      </c>
      <c r="H10" s="654">
        <v>20.399999999999999</v>
      </c>
      <c r="I10" s="654">
        <v>17.399999999999999</v>
      </c>
      <c r="J10" s="704">
        <v>18.100000000000001</v>
      </c>
      <c r="K10" s="654">
        <v>17.8</v>
      </c>
      <c r="L10" s="654">
        <v>17.399999999999999</v>
      </c>
      <c r="M10" s="654">
        <v>16.899999999999999</v>
      </c>
      <c r="N10" s="654">
        <v>14</v>
      </c>
      <c r="O10" s="654">
        <v>5.4</v>
      </c>
      <c r="P10" s="654">
        <v>2.1</v>
      </c>
      <c r="Q10" s="99">
        <f t="shared" si="1"/>
        <v>12.02</v>
      </c>
      <c r="R10" s="100">
        <f t="shared" si="2"/>
        <v>20.399999999999999</v>
      </c>
      <c r="S10" s="100">
        <f t="shared" si="0"/>
        <v>18</v>
      </c>
    </row>
    <row r="11" spans="1:19" s="3" customFormat="1">
      <c r="A11" s="223" t="s">
        <v>272</v>
      </c>
      <c r="B11" s="654">
        <v>2.9</v>
      </c>
      <c r="C11" s="654">
        <v>3.4</v>
      </c>
      <c r="D11" s="654">
        <v>7.8</v>
      </c>
      <c r="E11" s="654">
        <v>8</v>
      </c>
      <c r="F11" s="654">
        <v>10.7</v>
      </c>
      <c r="G11" s="654">
        <v>15.6</v>
      </c>
      <c r="H11" s="654">
        <v>20.3</v>
      </c>
      <c r="I11" s="654">
        <v>17.3</v>
      </c>
      <c r="J11" s="704">
        <v>17.899999999999999</v>
      </c>
      <c r="K11" s="654">
        <v>17.7</v>
      </c>
      <c r="L11" s="654">
        <v>17.399999999999999</v>
      </c>
      <c r="M11" s="654">
        <v>16.899999999999999</v>
      </c>
      <c r="N11" s="654">
        <v>14</v>
      </c>
      <c r="O11" s="654">
        <v>5.4</v>
      </c>
      <c r="P11" s="654">
        <v>2.5</v>
      </c>
      <c r="Q11" s="99">
        <f t="shared" si="1"/>
        <v>11.853333333333333</v>
      </c>
      <c r="R11" s="100">
        <f t="shared" si="2"/>
        <v>20.3</v>
      </c>
      <c r="S11" s="100">
        <f t="shared" si="0"/>
        <v>17.916666666666668</v>
      </c>
    </row>
    <row r="12" spans="1:19" s="3" customFormat="1">
      <c r="A12" s="223" t="s">
        <v>153</v>
      </c>
      <c r="B12" s="654">
        <v>3.1</v>
      </c>
      <c r="C12" s="654">
        <v>3.4</v>
      </c>
      <c r="D12" s="654">
        <v>7.5</v>
      </c>
      <c r="E12" s="654">
        <v>8</v>
      </c>
      <c r="F12" s="654">
        <v>10</v>
      </c>
      <c r="G12" s="654">
        <v>15.4</v>
      </c>
      <c r="H12" s="654">
        <v>19.7</v>
      </c>
      <c r="I12" s="654">
        <v>17.100000000000001</v>
      </c>
      <c r="J12" s="704">
        <v>17.8</v>
      </c>
      <c r="K12" s="654">
        <v>17.7</v>
      </c>
      <c r="L12" s="654">
        <v>17.399999999999999</v>
      </c>
      <c r="M12" s="654">
        <v>16.8</v>
      </c>
      <c r="N12" s="654">
        <v>13.9</v>
      </c>
      <c r="O12" s="654">
        <v>5.4</v>
      </c>
      <c r="P12" s="654">
        <v>2.5</v>
      </c>
      <c r="Q12" s="99">
        <f t="shared" si="1"/>
        <v>11.713333333333335</v>
      </c>
      <c r="R12" s="100">
        <f t="shared" si="2"/>
        <v>19.7</v>
      </c>
      <c r="S12" s="100">
        <f t="shared" si="0"/>
        <v>17.749999999999996</v>
      </c>
    </row>
    <row r="13" spans="1:19" s="3" customFormat="1">
      <c r="A13" s="223" t="s">
        <v>273</v>
      </c>
      <c r="B13" s="654">
        <v>3.1</v>
      </c>
      <c r="C13" s="654">
        <v>3.6</v>
      </c>
      <c r="D13" s="654">
        <v>6.4</v>
      </c>
      <c r="E13" s="654">
        <v>7.9</v>
      </c>
      <c r="F13" s="654">
        <v>9.6999999999999993</v>
      </c>
      <c r="G13" s="654">
        <v>14.5</v>
      </c>
      <c r="H13" s="654">
        <v>18</v>
      </c>
      <c r="I13" s="654">
        <v>16.600000000000001</v>
      </c>
      <c r="J13" s="704">
        <v>17.7</v>
      </c>
      <c r="K13" s="654">
        <v>17.7</v>
      </c>
      <c r="L13" s="654">
        <v>17.399999999999999</v>
      </c>
      <c r="M13" s="654">
        <v>16.7</v>
      </c>
      <c r="N13" s="654">
        <v>13.9</v>
      </c>
      <c r="O13" s="654">
        <v>5.4</v>
      </c>
      <c r="P13" s="654">
        <v>2.5</v>
      </c>
      <c r="Q13" s="99">
        <f t="shared" si="1"/>
        <v>11.406666666666668</v>
      </c>
      <c r="R13" s="100">
        <f t="shared" si="2"/>
        <v>18</v>
      </c>
      <c r="S13" s="100">
        <f t="shared" si="0"/>
        <v>17.350000000000001</v>
      </c>
    </row>
    <row r="14" spans="1:19" s="3" customFormat="1">
      <c r="A14" s="223" t="s">
        <v>154</v>
      </c>
      <c r="B14" s="654">
        <v>3</v>
      </c>
      <c r="C14" s="654">
        <v>3.6</v>
      </c>
      <c r="D14" s="654">
        <v>5.9</v>
      </c>
      <c r="E14" s="654">
        <v>7.7</v>
      </c>
      <c r="F14" s="654">
        <v>9.1</v>
      </c>
      <c r="G14" s="654">
        <v>13.8</v>
      </c>
      <c r="H14" s="654">
        <v>17.5</v>
      </c>
      <c r="I14" s="654">
        <v>16</v>
      </c>
      <c r="J14" s="704">
        <v>17.399999999999999</v>
      </c>
      <c r="K14" s="654">
        <v>17.7</v>
      </c>
      <c r="L14" s="654">
        <v>17.3</v>
      </c>
      <c r="M14" s="654">
        <v>16.600000000000001</v>
      </c>
      <c r="N14" s="654">
        <v>13.9</v>
      </c>
      <c r="O14" s="654">
        <v>5.4</v>
      </c>
      <c r="P14" s="654">
        <v>2.5</v>
      </c>
      <c r="Q14" s="99">
        <f t="shared" si="1"/>
        <v>11.16</v>
      </c>
      <c r="R14" s="100">
        <f t="shared" si="2"/>
        <v>17.7</v>
      </c>
      <c r="S14" s="100">
        <f t="shared" si="0"/>
        <v>17.083333333333332</v>
      </c>
    </row>
    <row r="15" spans="1:19" s="3" customFormat="1">
      <c r="A15" s="223" t="s">
        <v>155</v>
      </c>
      <c r="B15" s="654">
        <v>2.9</v>
      </c>
      <c r="C15" s="654">
        <v>3.7</v>
      </c>
      <c r="D15" s="654">
        <v>4.9000000000000004</v>
      </c>
      <c r="E15" s="654">
        <v>7.4</v>
      </c>
      <c r="F15" s="654">
        <v>8.6999999999999993</v>
      </c>
      <c r="G15" s="654">
        <v>13.4</v>
      </c>
      <c r="H15" s="654">
        <v>16.8</v>
      </c>
      <c r="I15" s="654">
        <v>15.5</v>
      </c>
      <c r="J15" s="704">
        <v>17</v>
      </c>
      <c r="K15" s="654">
        <v>17.2</v>
      </c>
      <c r="L15" s="654">
        <v>17.3</v>
      </c>
      <c r="M15" s="654">
        <v>16.5</v>
      </c>
      <c r="N15" s="654">
        <v>14</v>
      </c>
      <c r="O15" s="654">
        <v>5.4</v>
      </c>
      <c r="P15" s="654">
        <v>2</v>
      </c>
      <c r="Q15" s="99">
        <f t="shared" si="1"/>
        <v>10.846666666666668</v>
      </c>
      <c r="R15" s="100">
        <f t="shared" si="2"/>
        <v>17.3</v>
      </c>
      <c r="S15" s="100">
        <f t="shared" si="0"/>
        <v>16.716666666666665</v>
      </c>
    </row>
    <row r="16" spans="1:19" s="3" customFormat="1">
      <c r="A16" s="223" t="s">
        <v>156</v>
      </c>
      <c r="B16" s="658">
        <v>3</v>
      </c>
      <c r="C16" s="659">
        <v>3.6</v>
      </c>
      <c r="D16" s="654">
        <v>4.4000000000000004</v>
      </c>
      <c r="E16" s="654">
        <v>7.4</v>
      </c>
      <c r="F16" s="654">
        <v>8.6</v>
      </c>
      <c r="G16" s="654">
        <v>13.2</v>
      </c>
      <c r="H16" s="654">
        <v>16.399999999999999</v>
      </c>
      <c r="I16" s="654">
        <v>15.2</v>
      </c>
      <c r="J16" s="704">
        <v>16.899999999999999</v>
      </c>
      <c r="K16" s="654">
        <v>17.100000000000001</v>
      </c>
      <c r="L16" s="654">
        <v>17.2</v>
      </c>
      <c r="M16" s="654">
        <v>16.399999999999999</v>
      </c>
      <c r="N16" s="654">
        <v>13.9</v>
      </c>
      <c r="O16" s="654">
        <v>5.4</v>
      </c>
      <c r="P16" s="654">
        <v>2.1</v>
      </c>
      <c r="Q16" s="99">
        <f t="shared" si="1"/>
        <v>10.719999999999999</v>
      </c>
      <c r="R16" s="100">
        <f t="shared" si="2"/>
        <v>17.2</v>
      </c>
      <c r="S16" s="100">
        <f t="shared" si="0"/>
        <v>16.533333333333331</v>
      </c>
    </row>
    <row r="17" spans="1:19">
      <c r="A17" s="223" t="s">
        <v>157</v>
      </c>
      <c r="B17" s="658">
        <v>3</v>
      </c>
      <c r="C17" s="660">
        <v>3.6</v>
      </c>
      <c r="D17" s="654">
        <v>4.0999999999999996</v>
      </c>
      <c r="E17" s="654">
        <v>7.2</v>
      </c>
      <c r="F17" s="654">
        <v>8.1999999999999993</v>
      </c>
      <c r="G17" s="654">
        <v>12.9</v>
      </c>
      <c r="H17" s="654">
        <v>16.100000000000001</v>
      </c>
      <c r="I17" s="654">
        <v>14.9</v>
      </c>
      <c r="J17" s="704">
        <v>16.5</v>
      </c>
      <c r="K17" s="654">
        <v>16.899999999999999</v>
      </c>
      <c r="L17" s="654">
        <v>17.2</v>
      </c>
      <c r="M17" s="654">
        <v>16.399999999999999</v>
      </c>
      <c r="N17" s="654">
        <v>13.9</v>
      </c>
      <c r="O17" s="654">
        <v>5.4</v>
      </c>
      <c r="P17" s="654">
        <v>2.2999999999999998</v>
      </c>
      <c r="Q17" s="99">
        <f t="shared" si="1"/>
        <v>10.573333333333334</v>
      </c>
      <c r="R17" s="100">
        <f t="shared" si="2"/>
        <v>17.2</v>
      </c>
      <c r="S17" s="100">
        <f t="shared" si="0"/>
        <v>16.333333333333332</v>
      </c>
    </row>
    <row r="18" spans="1:19">
      <c r="A18" s="223" t="s">
        <v>158</v>
      </c>
      <c r="B18" s="658">
        <v>3.2</v>
      </c>
      <c r="C18" s="659">
        <v>3.6</v>
      </c>
      <c r="D18" s="654">
        <v>3.9</v>
      </c>
      <c r="E18" s="654">
        <v>7.2</v>
      </c>
      <c r="F18" s="654">
        <v>8</v>
      </c>
      <c r="G18" s="654">
        <v>12.7</v>
      </c>
      <c r="H18" s="654">
        <v>15.9</v>
      </c>
      <c r="I18" s="654">
        <v>14.7</v>
      </c>
      <c r="J18" s="704">
        <v>16.2</v>
      </c>
      <c r="K18" s="654">
        <v>16.899999999999999</v>
      </c>
      <c r="L18" s="654">
        <v>17.100000000000001</v>
      </c>
      <c r="M18" s="654">
        <v>16.399999999999999</v>
      </c>
      <c r="N18" s="654">
        <v>13.9</v>
      </c>
      <c r="O18" s="654">
        <v>5.4</v>
      </c>
      <c r="P18" s="654">
        <v>2.5</v>
      </c>
      <c r="Q18" s="99">
        <f t="shared" si="1"/>
        <v>10.506666666666668</v>
      </c>
      <c r="R18" s="100">
        <f t="shared" si="2"/>
        <v>17.100000000000001</v>
      </c>
      <c r="S18" s="100">
        <f t="shared" ref="S18:S78" si="3">AVERAGE(H18:M18)</f>
        <v>16.2</v>
      </c>
    </row>
    <row r="19" spans="1:19">
      <c r="A19" s="223" t="s">
        <v>159</v>
      </c>
      <c r="B19" s="658">
        <v>3.2</v>
      </c>
      <c r="C19" s="659">
        <v>3.8</v>
      </c>
      <c r="D19" s="654">
        <v>3.8</v>
      </c>
      <c r="E19" s="654">
        <v>7.1</v>
      </c>
      <c r="F19" s="654">
        <v>7.8</v>
      </c>
      <c r="G19" s="654">
        <v>12.5</v>
      </c>
      <c r="H19" s="654">
        <v>14.3</v>
      </c>
      <c r="I19" s="654">
        <v>14.1</v>
      </c>
      <c r="J19" s="704">
        <v>15.9</v>
      </c>
      <c r="K19" s="654">
        <v>16.7</v>
      </c>
      <c r="L19" s="654">
        <v>17</v>
      </c>
      <c r="M19" s="654">
        <v>16.399999999999999</v>
      </c>
      <c r="N19" s="654">
        <v>13.8</v>
      </c>
      <c r="O19" s="654">
        <v>5.4</v>
      </c>
      <c r="P19" s="654">
        <v>2.7</v>
      </c>
      <c r="Q19" s="99">
        <f t="shared" si="1"/>
        <v>10.3</v>
      </c>
      <c r="R19" s="100">
        <f t="shared" si="2"/>
        <v>17</v>
      </c>
      <c r="S19" s="100">
        <f t="shared" si="3"/>
        <v>15.733333333333334</v>
      </c>
    </row>
    <row r="20" spans="1:19">
      <c r="A20" s="223" t="s">
        <v>179</v>
      </c>
      <c r="B20" s="658">
        <v>3</v>
      </c>
      <c r="C20" s="659">
        <v>4.4000000000000004</v>
      </c>
      <c r="D20" s="654">
        <v>3.8</v>
      </c>
      <c r="E20" s="654">
        <v>7.1</v>
      </c>
      <c r="F20" s="654">
        <v>7.5</v>
      </c>
      <c r="G20" s="654">
        <v>12.3</v>
      </c>
      <c r="H20" s="654">
        <v>13</v>
      </c>
      <c r="I20" s="654">
        <v>14</v>
      </c>
      <c r="J20" s="704">
        <v>15.4</v>
      </c>
      <c r="K20" s="654">
        <v>16.5</v>
      </c>
      <c r="L20" s="654">
        <v>16.899999999999999</v>
      </c>
      <c r="M20" s="654">
        <v>16.3</v>
      </c>
      <c r="N20" s="654">
        <v>13.7</v>
      </c>
      <c r="O20" s="654"/>
      <c r="P20" s="654">
        <v>2.8</v>
      </c>
      <c r="Q20" s="99">
        <f t="shared" si="1"/>
        <v>10.47857142857143</v>
      </c>
      <c r="R20" s="100">
        <f t="shared" si="2"/>
        <v>16.899999999999999</v>
      </c>
      <c r="S20" s="100">
        <f t="shared" si="3"/>
        <v>15.35</v>
      </c>
    </row>
    <row r="21" spans="1:19">
      <c r="A21" s="262" t="s">
        <v>180</v>
      </c>
      <c r="B21" s="658">
        <v>2.7</v>
      </c>
      <c r="C21" s="659">
        <v>4.7</v>
      </c>
      <c r="D21" s="654">
        <v>3.8</v>
      </c>
      <c r="E21" s="654">
        <v>7</v>
      </c>
      <c r="F21" s="654">
        <v>7.3</v>
      </c>
      <c r="G21" s="654">
        <v>12</v>
      </c>
      <c r="H21" s="654">
        <v>10.1</v>
      </c>
      <c r="I21" s="654">
        <v>13.6</v>
      </c>
      <c r="J21" s="704">
        <v>15</v>
      </c>
      <c r="K21" s="654"/>
      <c r="L21" s="654"/>
      <c r="M21" s="654"/>
      <c r="N21" s="654"/>
      <c r="O21" s="654"/>
      <c r="P21" s="654"/>
      <c r="Q21" s="99">
        <f t="shared" si="1"/>
        <v>8.4666666666666668</v>
      </c>
      <c r="R21" s="100">
        <f t="shared" si="2"/>
        <v>15</v>
      </c>
      <c r="S21" s="100">
        <f t="shared" si="3"/>
        <v>12.9</v>
      </c>
    </row>
    <row r="22" spans="1:19">
      <c r="A22" s="269" t="s">
        <v>364</v>
      </c>
      <c r="B22" s="273">
        <f>AVERAGE(B7:B10)</f>
        <v>1.4750000000000001</v>
      </c>
      <c r="C22" s="273">
        <f t="shared" ref="C22:J22" si="4">AVERAGE(C7:C10)</f>
        <v>3.1749999999999998</v>
      </c>
      <c r="D22" s="273">
        <f t="shared" si="4"/>
        <v>8.1750000000000007</v>
      </c>
      <c r="E22" s="273">
        <f t="shared" si="4"/>
        <v>8.1750000000000007</v>
      </c>
      <c r="F22" s="273">
        <f t="shared" si="4"/>
        <v>10.7</v>
      </c>
      <c r="G22" s="273">
        <f t="shared" si="4"/>
        <v>18.350000000000001</v>
      </c>
      <c r="H22" s="273">
        <f t="shared" si="4"/>
        <v>20.475000000000001</v>
      </c>
      <c r="I22" s="273">
        <f t="shared" si="4"/>
        <v>17.899999999999999</v>
      </c>
      <c r="J22" s="273">
        <f t="shared" si="4"/>
        <v>18.274999999999999</v>
      </c>
      <c r="K22" s="273">
        <f>AVERAGE(K7:K11)</f>
        <v>17.96</v>
      </c>
      <c r="L22" s="273">
        <f t="shared" ref="L22:O22" si="5">AVERAGE(L7:L10)</f>
        <v>17.55</v>
      </c>
      <c r="M22" s="273">
        <f t="shared" si="5"/>
        <v>17.25</v>
      </c>
      <c r="N22" s="273">
        <f t="shared" si="5"/>
        <v>14</v>
      </c>
      <c r="O22" s="273">
        <f t="shared" si="5"/>
        <v>5.4</v>
      </c>
      <c r="P22" s="273">
        <f>AVERAGE(P7:P11)</f>
        <v>1.26</v>
      </c>
      <c r="Q22" s="273">
        <f>AVERAGE(Q7:Q11)</f>
        <v>11.964</v>
      </c>
      <c r="R22" s="100">
        <f>MAX(B10:P22)</f>
        <v>20.475000000000001</v>
      </c>
      <c r="S22" s="273">
        <f>AVERAGE(S7:S11)</f>
        <v>18.18</v>
      </c>
    </row>
    <row r="23" spans="1:19">
      <c r="A23" s="269" t="s">
        <v>365</v>
      </c>
      <c r="B23" s="273">
        <f>AVERAGE(B7:B21)</f>
        <v>2.6</v>
      </c>
      <c r="C23" s="273">
        <f t="shared" ref="C23:P23" si="6">AVERAGE(C7:C21)</f>
        <v>3.6066666666666669</v>
      </c>
      <c r="D23" s="273">
        <f t="shared" si="6"/>
        <v>5.9333333333333336</v>
      </c>
      <c r="E23" s="273">
        <f t="shared" si="6"/>
        <v>7.6466666666666665</v>
      </c>
      <c r="F23" s="273">
        <f t="shared" si="6"/>
        <v>9.2266666666666666</v>
      </c>
      <c r="G23" s="273">
        <f t="shared" si="6"/>
        <v>14.780000000000001</v>
      </c>
      <c r="H23" s="273">
        <f t="shared" si="6"/>
        <v>17.333333333333336</v>
      </c>
      <c r="I23" s="273">
        <f t="shared" si="6"/>
        <v>16.04</v>
      </c>
      <c r="J23" s="273">
        <f t="shared" si="6"/>
        <v>17.12</v>
      </c>
      <c r="K23" s="273">
        <f t="shared" si="6"/>
        <v>17.442857142857143</v>
      </c>
      <c r="L23" s="273">
        <f t="shared" si="6"/>
        <v>17.314285714285713</v>
      </c>
      <c r="M23" s="273">
        <f t="shared" si="6"/>
        <v>16.742857142857144</v>
      </c>
      <c r="N23" s="273">
        <f t="shared" si="6"/>
        <v>13.921428571428574</v>
      </c>
      <c r="O23" s="273">
        <f t="shared" si="6"/>
        <v>5.4</v>
      </c>
      <c r="P23" s="273">
        <f t="shared" si="6"/>
        <v>2.0142857142857147</v>
      </c>
      <c r="Q23" s="273">
        <f>AVERAGE(Q7:Q21)</f>
        <v>11.066126984126985</v>
      </c>
      <c r="R23" s="100">
        <f>MAX(B11:P23)</f>
        <v>20.475000000000001</v>
      </c>
      <c r="S23" s="100"/>
    </row>
    <row r="24" spans="1:19" ht="15" customHeight="1">
      <c r="A24" s="1450" t="s">
        <v>350</v>
      </c>
      <c r="B24" s="1451"/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2"/>
    </row>
    <row r="25" spans="1:19">
      <c r="A25" s="262" t="s">
        <v>270</v>
      </c>
      <c r="B25" s="655">
        <v>0.2</v>
      </c>
      <c r="C25" s="655"/>
      <c r="D25" s="655">
        <v>8.3000000000000007</v>
      </c>
      <c r="E25" s="656">
        <v>8.9</v>
      </c>
      <c r="F25" s="655">
        <v>10.6</v>
      </c>
      <c r="G25" s="655">
        <v>18.8</v>
      </c>
      <c r="H25" s="655">
        <v>20.5</v>
      </c>
      <c r="I25" s="655">
        <v>18.2</v>
      </c>
      <c r="J25" s="655">
        <v>19.5</v>
      </c>
      <c r="K25" s="655">
        <v>19.100000000000001</v>
      </c>
      <c r="L25" s="655">
        <v>18.100000000000001</v>
      </c>
      <c r="M25" s="655">
        <v>17.8</v>
      </c>
      <c r="N25" s="655">
        <v>14.1</v>
      </c>
      <c r="O25" s="655">
        <v>5.3</v>
      </c>
      <c r="P25" s="656">
        <v>1.2</v>
      </c>
      <c r="Q25" s="99">
        <f t="shared" ref="Q25:Q35" si="7">AVERAGE(B25:P25)</f>
        <v>12.9</v>
      </c>
      <c r="R25" s="100">
        <f t="shared" ref="R25:R35" si="8">MAX(B25:P25)</f>
        <v>20.5</v>
      </c>
      <c r="S25" s="100">
        <f t="shared" si="3"/>
        <v>18.866666666666667</v>
      </c>
    </row>
    <row r="26" spans="1:19">
      <c r="A26" s="262" t="s">
        <v>151</v>
      </c>
      <c r="B26" s="655">
        <v>1.1000000000000001</v>
      </c>
      <c r="C26" s="655"/>
      <c r="D26" s="655">
        <v>8.3000000000000007</v>
      </c>
      <c r="E26" s="656">
        <v>8.4</v>
      </c>
      <c r="F26" s="655">
        <v>10.6</v>
      </c>
      <c r="G26" s="655">
        <v>18.3</v>
      </c>
      <c r="H26" s="655">
        <v>20.399999999999999</v>
      </c>
      <c r="I26" s="655">
        <v>18.899999999999999</v>
      </c>
      <c r="J26" s="655">
        <v>18.7</v>
      </c>
      <c r="K26" s="655">
        <v>19</v>
      </c>
      <c r="L26" s="655">
        <v>17.8</v>
      </c>
      <c r="M26" s="655">
        <v>17.8</v>
      </c>
      <c r="N26" s="655">
        <v>14.1</v>
      </c>
      <c r="O26" s="655">
        <v>5.3</v>
      </c>
      <c r="P26" s="656">
        <v>0.5</v>
      </c>
      <c r="Q26" s="99">
        <f t="shared" si="7"/>
        <v>12.8</v>
      </c>
      <c r="R26" s="100">
        <f t="shared" si="8"/>
        <v>20.399999999999999</v>
      </c>
      <c r="S26" s="100">
        <f t="shared" si="3"/>
        <v>18.766666666666666</v>
      </c>
    </row>
    <row r="27" spans="1:19">
      <c r="A27" s="262" t="s">
        <v>271</v>
      </c>
      <c r="B27" s="655">
        <v>1.9</v>
      </c>
      <c r="C27" s="655"/>
      <c r="D27" s="655">
        <v>8.3000000000000007</v>
      </c>
      <c r="E27" s="656">
        <v>8.3000000000000007</v>
      </c>
      <c r="F27" s="655">
        <v>10.6</v>
      </c>
      <c r="G27" s="657">
        <v>18.100000000000001</v>
      </c>
      <c r="H27" s="655">
        <v>20.399999999999999</v>
      </c>
      <c r="I27" s="655">
        <v>18.2</v>
      </c>
      <c r="J27" s="655">
        <v>18.100000000000001</v>
      </c>
      <c r="K27" s="655">
        <v>18.100000000000001</v>
      </c>
      <c r="L27" s="655">
        <v>17.5</v>
      </c>
      <c r="M27" s="655">
        <v>17.100000000000001</v>
      </c>
      <c r="N27" s="655">
        <v>14</v>
      </c>
      <c r="O27" s="655">
        <v>5.3</v>
      </c>
      <c r="P27" s="656">
        <v>0.2</v>
      </c>
      <c r="Q27" s="99">
        <f t="shared" si="7"/>
        <v>12.578571428571427</v>
      </c>
      <c r="R27" s="100">
        <f t="shared" si="8"/>
        <v>20.399999999999999</v>
      </c>
      <c r="S27" s="100">
        <f t="shared" si="3"/>
        <v>18.233333333333334</v>
      </c>
    </row>
    <row r="28" spans="1:19">
      <c r="A28" s="262" t="s">
        <v>152</v>
      </c>
      <c r="B28" s="655">
        <v>2.2999999999999998</v>
      </c>
      <c r="C28" s="655"/>
      <c r="D28" s="655">
        <v>8.1999999999999993</v>
      </c>
      <c r="E28" s="655">
        <v>8.1999999999999993</v>
      </c>
      <c r="F28" s="655">
        <v>10.6</v>
      </c>
      <c r="G28" s="655">
        <v>16.3</v>
      </c>
      <c r="H28" s="655">
        <v>20.100000000000001</v>
      </c>
      <c r="I28" s="655">
        <v>17.399999999999999</v>
      </c>
      <c r="J28" s="655">
        <v>18</v>
      </c>
      <c r="K28" s="655">
        <v>18.100000000000001</v>
      </c>
      <c r="L28" s="655">
        <v>17.399999999999999</v>
      </c>
      <c r="M28" s="655">
        <v>17</v>
      </c>
      <c r="N28" s="655">
        <v>14</v>
      </c>
      <c r="O28" s="655">
        <v>5.3</v>
      </c>
      <c r="P28" s="656">
        <v>1.4</v>
      </c>
      <c r="Q28" s="99">
        <f t="shared" si="7"/>
        <v>12.450000000000001</v>
      </c>
      <c r="R28" s="100">
        <f t="shared" si="8"/>
        <v>20.100000000000001</v>
      </c>
      <c r="S28" s="100">
        <f>AVERAGE(H28:M28)</f>
        <v>18</v>
      </c>
    </row>
    <row r="29" spans="1:19">
      <c r="A29" s="262" t="s">
        <v>272</v>
      </c>
      <c r="B29" s="655">
        <v>3</v>
      </c>
      <c r="C29" s="655"/>
      <c r="D29" s="655">
        <v>8.1999999999999993</v>
      </c>
      <c r="E29" s="655">
        <v>8.1999999999999993</v>
      </c>
      <c r="F29" s="655">
        <v>10.5</v>
      </c>
      <c r="G29" s="655">
        <v>14.9</v>
      </c>
      <c r="H29" s="655">
        <v>19.100000000000001</v>
      </c>
      <c r="I29" s="655">
        <v>17.2</v>
      </c>
      <c r="J29" s="655">
        <v>17.7</v>
      </c>
      <c r="K29" s="655">
        <v>17.899999999999999</v>
      </c>
      <c r="L29" s="655">
        <v>17.399999999999999</v>
      </c>
      <c r="M29" s="655">
        <v>16.899999999999999</v>
      </c>
      <c r="N29" s="655">
        <v>14</v>
      </c>
      <c r="O29" s="655">
        <v>5.3</v>
      </c>
      <c r="P29" s="656">
        <v>2.5</v>
      </c>
      <c r="Q29" s="99">
        <f t="shared" si="7"/>
        <v>12.342857142857143</v>
      </c>
      <c r="R29" s="100">
        <f t="shared" si="8"/>
        <v>19.100000000000001</v>
      </c>
      <c r="S29" s="100">
        <f t="shared" si="3"/>
        <v>17.700000000000003</v>
      </c>
    </row>
    <row r="30" spans="1:19">
      <c r="A30" s="262" t="s">
        <v>153</v>
      </c>
      <c r="B30" s="1132">
        <v>3.1</v>
      </c>
      <c r="C30" s="655"/>
      <c r="D30" s="655">
        <v>8.1999999999999993</v>
      </c>
      <c r="E30" s="655">
        <v>8.1</v>
      </c>
      <c r="F30" s="655">
        <v>9.6999999999999993</v>
      </c>
      <c r="G30" s="655">
        <v>14.7</v>
      </c>
      <c r="H30" s="655">
        <v>18.600000000000001</v>
      </c>
      <c r="I30" s="655">
        <v>16.8</v>
      </c>
      <c r="J30" s="655">
        <v>17.5</v>
      </c>
      <c r="K30" s="655">
        <v>17.899999999999999</v>
      </c>
      <c r="L30" s="655">
        <v>17.399999999999999</v>
      </c>
      <c r="M30" s="655">
        <v>16.899999999999999</v>
      </c>
      <c r="N30" s="655">
        <v>14</v>
      </c>
      <c r="O30" s="655">
        <v>5.3</v>
      </c>
      <c r="P30" s="656">
        <v>2.6</v>
      </c>
      <c r="Q30" s="99">
        <f t="shared" si="7"/>
        <v>12.200000000000001</v>
      </c>
      <c r="R30" s="100">
        <f t="shared" si="8"/>
        <v>18.600000000000001</v>
      </c>
      <c r="S30" s="100">
        <f t="shared" si="3"/>
        <v>17.516666666666669</v>
      </c>
    </row>
    <row r="31" spans="1:19">
      <c r="A31" s="262" t="s">
        <v>273</v>
      </c>
      <c r="B31" s="655">
        <v>3.1</v>
      </c>
      <c r="C31" s="655"/>
      <c r="D31" s="655">
        <v>8.1999999999999993</v>
      </c>
      <c r="E31" s="655">
        <v>8</v>
      </c>
      <c r="F31" s="655">
        <v>9.3000000000000007</v>
      </c>
      <c r="G31" s="655">
        <v>14.3</v>
      </c>
      <c r="H31" s="655">
        <v>18</v>
      </c>
      <c r="I31" s="655">
        <v>16.5</v>
      </c>
      <c r="J31" s="655">
        <v>17.399999999999999</v>
      </c>
      <c r="K31" s="655">
        <v>17.8</v>
      </c>
      <c r="L31" s="655">
        <v>17.399999999999999</v>
      </c>
      <c r="M31" s="655">
        <v>16.899999999999999</v>
      </c>
      <c r="N31" s="655">
        <v>14</v>
      </c>
      <c r="O31" s="655">
        <v>5.3</v>
      </c>
      <c r="P31" s="656">
        <v>2.5</v>
      </c>
      <c r="Q31" s="99">
        <f t="shared" si="7"/>
        <v>12.05</v>
      </c>
      <c r="R31" s="100">
        <f t="shared" si="8"/>
        <v>18</v>
      </c>
      <c r="S31" s="100">
        <f t="shared" si="3"/>
        <v>17.333333333333332</v>
      </c>
    </row>
    <row r="32" spans="1:19">
      <c r="A32" s="262" t="s">
        <v>154</v>
      </c>
      <c r="B32" s="655">
        <v>2.9</v>
      </c>
      <c r="C32" s="655"/>
      <c r="D32" s="655">
        <v>8.1999999999999993</v>
      </c>
      <c r="E32" s="655">
        <v>7.6</v>
      </c>
      <c r="F32" s="655">
        <v>8.3000000000000007</v>
      </c>
      <c r="G32" s="655">
        <v>13.7</v>
      </c>
      <c r="H32" s="655">
        <v>17.5</v>
      </c>
      <c r="I32" s="655">
        <v>16.100000000000001</v>
      </c>
      <c r="J32" s="655">
        <v>17.3</v>
      </c>
      <c r="K32" s="655">
        <v>17.7</v>
      </c>
      <c r="L32" s="655">
        <v>17.399999999999999</v>
      </c>
      <c r="M32" s="655">
        <v>16.899999999999999</v>
      </c>
      <c r="N32" s="655">
        <v>14</v>
      </c>
      <c r="O32" s="655">
        <v>5.3</v>
      </c>
      <c r="P32" s="656">
        <v>2.4</v>
      </c>
      <c r="Q32" s="99">
        <f t="shared" si="7"/>
        <v>11.80714285714286</v>
      </c>
      <c r="R32" s="100">
        <f t="shared" si="8"/>
        <v>17.7</v>
      </c>
      <c r="S32" s="100">
        <f t="shared" si="3"/>
        <v>17.150000000000002</v>
      </c>
    </row>
    <row r="33" spans="1:19">
      <c r="A33" s="262" t="s">
        <v>155</v>
      </c>
      <c r="B33" s="655">
        <v>2.9</v>
      </c>
      <c r="C33" s="655"/>
      <c r="D33" s="655">
        <v>5.0999999999999996</v>
      </c>
      <c r="E33" s="655">
        <v>7.4</v>
      </c>
      <c r="F33" s="655">
        <v>9</v>
      </c>
      <c r="G33" s="655">
        <v>13.4</v>
      </c>
      <c r="H33" s="655">
        <v>17</v>
      </c>
      <c r="I33" s="655">
        <v>15.4</v>
      </c>
      <c r="J33" s="655">
        <v>17.100000000000001</v>
      </c>
      <c r="K33" s="655">
        <v>17.899999999999999</v>
      </c>
      <c r="L33" s="655">
        <v>17.399999999999999</v>
      </c>
      <c r="M33" s="655">
        <v>16.899999999999999</v>
      </c>
      <c r="N33" s="655">
        <v>14</v>
      </c>
      <c r="O33" s="655">
        <v>5.3</v>
      </c>
      <c r="P33" s="656">
        <v>2.2000000000000002</v>
      </c>
      <c r="Q33" s="99">
        <f t="shared" si="7"/>
        <v>11.500000000000002</v>
      </c>
      <c r="R33" s="100">
        <f t="shared" si="8"/>
        <v>17.899999999999999</v>
      </c>
      <c r="S33" s="100">
        <f t="shared" si="3"/>
        <v>16.950000000000003</v>
      </c>
    </row>
    <row r="34" spans="1:19">
      <c r="A34" s="262" t="s">
        <v>156</v>
      </c>
      <c r="B34" s="655">
        <v>3.2</v>
      </c>
      <c r="C34" s="655"/>
      <c r="D34" s="655">
        <v>4.4000000000000004</v>
      </c>
      <c r="E34" s="655">
        <v>7.3</v>
      </c>
      <c r="F34" s="655">
        <v>8.4</v>
      </c>
      <c r="G34" s="655">
        <v>13.4</v>
      </c>
      <c r="H34" s="655">
        <v>16.3</v>
      </c>
      <c r="I34" s="655">
        <v>15.2</v>
      </c>
      <c r="J34" s="655">
        <v>16.8</v>
      </c>
      <c r="K34" s="655">
        <v>17.2</v>
      </c>
      <c r="L34" s="655">
        <v>17.3</v>
      </c>
      <c r="M34" s="655">
        <v>16.5</v>
      </c>
      <c r="N34" s="655">
        <v>14</v>
      </c>
      <c r="O34" s="655"/>
      <c r="P34" s="656">
        <v>2.1</v>
      </c>
      <c r="Q34" s="99">
        <f t="shared" si="7"/>
        <v>11.7</v>
      </c>
      <c r="R34" s="100">
        <f t="shared" si="8"/>
        <v>17.3</v>
      </c>
      <c r="S34" s="100">
        <f t="shared" si="3"/>
        <v>16.55</v>
      </c>
    </row>
    <row r="35" spans="1:19">
      <c r="A35" s="262" t="s">
        <v>157</v>
      </c>
      <c r="B35" s="655">
        <v>3.9</v>
      </c>
      <c r="C35" s="655"/>
      <c r="D35" s="655">
        <v>4</v>
      </c>
      <c r="E35" s="655"/>
      <c r="F35" s="655">
        <v>8</v>
      </c>
      <c r="G35" s="655">
        <v>13.4</v>
      </c>
      <c r="H35" s="655">
        <v>15.9</v>
      </c>
      <c r="I35" s="655">
        <v>14.8</v>
      </c>
      <c r="J35" s="655">
        <v>16.5</v>
      </c>
      <c r="K35" s="655">
        <v>17.100000000000001</v>
      </c>
      <c r="L35" s="655"/>
      <c r="M35" s="655">
        <v>16.5</v>
      </c>
      <c r="N35" s="655">
        <v>14</v>
      </c>
      <c r="O35" s="655"/>
      <c r="P35" s="656">
        <v>3</v>
      </c>
      <c r="Q35" s="99">
        <f t="shared" si="7"/>
        <v>11.554545454545455</v>
      </c>
      <c r="R35" s="100">
        <f t="shared" si="8"/>
        <v>17.100000000000001</v>
      </c>
      <c r="S35" s="100">
        <f t="shared" si="3"/>
        <v>16.160000000000004</v>
      </c>
    </row>
    <row r="36" spans="1:19">
      <c r="A36" s="262" t="s">
        <v>158</v>
      </c>
      <c r="B36" s="655">
        <v>4.4000000000000004</v>
      </c>
      <c r="C36" s="655"/>
      <c r="D36" s="655">
        <v>3.9</v>
      </c>
      <c r="E36" s="655"/>
      <c r="F36" s="655">
        <v>7.9</v>
      </c>
      <c r="G36" s="655">
        <v>13.4</v>
      </c>
      <c r="H36" s="655">
        <v>15.4</v>
      </c>
      <c r="I36" s="655">
        <v>14.4</v>
      </c>
      <c r="J36" s="655"/>
      <c r="K36" s="655">
        <v>16.899999999999999</v>
      </c>
      <c r="L36" s="655"/>
      <c r="M36" s="655"/>
      <c r="N36" s="655">
        <v>14</v>
      </c>
      <c r="O36" s="655"/>
      <c r="P36" s="656">
        <v>3.1</v>
      </c>
      <c r="Q36" s="99">
        <f>AVERAGE(B36:P36)</f>
        <v>10.377777777777776</v>
      </c>
      <c r="R36" s="100">
        <f>MAX(B36:P36)</f>
        <v>16.899999999999999</v>
      </c>
      <c r="S36" s="100">
        <f t="shared" si="3"/>
        <v>15.566666666666668</v>
      </c>
    </row>
    <row r="37" spans="1:19">
      <c r="A37" s="269" t="s">
        <v>364</v>
      </c>
      <c r="B37" s="273">
        <f>AVERAGE(B25:B36)</f>
        <v>2.6666666666666661</v>
      </c>
      <c r="C37" s="273"/>
      <c r="D37" s="273">
        <f t="shared" ref="D37:P37" si="9">AVERAGE(D25:D28)</f>
        <v>8.2750000000000004</v>
      </c>
      <c r="E37" s="273">
        <f t="shared" si="9"/>
        <v>8.4499999999999993</v>
      </c>
      <c r="F37" s="273">
        <f t="shared" si="9"/>
        <v>10.6</v>
      </c>
      <c r="G37" s="273">
        <f t="shared" si="9"/>
        <v>17.875</v>
      </c>
      <c r="H37" s="273">
        <f t="shared" si="9"/>
        <v>20.350000000000001</v>
      </c>
      <c r="I37" s="273">
        <f t="shared" si="9"/>
        <v>18.174999999999997</v>
      </c>
      <c r="J37" s="273">
        <f t="shared" si="9"/>
        <v>18.575000000000003</v>
      </c>
      <c r="K37" s="273">
        <f t="shared" si="9"/>
        <v>18.575000000000003</v>
      </c>
      <c r="L37" s="273">
        <f t="shared" si="9"/>
        <v>17.700000000000003</v>
      </c>
      <c r="M37" s="273">
        <f t="shared" si="9"/>
        <v>17.425000000000001</v>
      </c>
      <c r="N37" s="273">
        <f t="shared" si="9"/>
        <v>14.05</v>
      </c>
      <c r="O37" s="273">
        <f t="shared" si="9"/>
        <v>5.3</v>
      </c>
      <c r="P37" s="273">
        <f t="shared" si="9"/>
        <v>0.82499999999999996</v>
      </c>
      <c r="Q37" s="99"/>
      <c r="R37" s="100"/>
      <c r="S37" s="100"/>
    </row>
    <row r="38" spans="1:19">
      <c r="A38" s="262" t="s">
        <v>362</v>
      </c>
      <c r="B38" s="273">
        <f>AVERAGE(B25:B36)</f>
        <v>2.6666666666666661</v>
      </c>
      <c r="C38" s="273"/>
      <c r="D38" s="273">
        <f t="shared" ref="D38:P38" si="10">AVERAGE(D25:D36)</f>
        <v>6.9416666666666673</v>
      </c>
      <c r="E38" s="273">
        <f t="shared" si="10"/>
        <v>8.0400000000000009</v>
      </c>
      <c r="F38" s="273">
        <f t="shared" si="10"/>
        <v>9.4583333333333339</v>
      </c>
      <c r="G38" s="273">
        <f t="shared" si="10"/>
        <v>15.225000000000001</v>
      </c>
      <c r="H38" s="273">
        <f t="shared" si="10"/>
        <v>18.266666666666669</v>
      </c>
      <c r="I38" s="273">
        <f t="shared" si="10"/>
        <v>16.591666666666665</v>
      </c>
      <c r="J38" s="273">
        <f t="shared" si="10"/>
        <v>17.690909090909091</v>
      </c>
      <c r="K38" s="273">
        <f t="shared" si="10"/>
        <v>17.891666666666669</v>
      </c>
      <c r="L38" s="273">
        <f t="shared" si="10"/>
        <v>17.510000000000005</v>
      </c>
      <c r="M38" s="273">
        <f t="shared" si="10"/>
        <v>17.018181818181819</v>
      </c>
      <c r="N38" s="273">
        <f t="shared" si="10"/>
        <v>14.016666666666666</v>
      </c>
      <c r="O38" s="273">
        <f t="shared" si="10"/>
        <v>5.3</v>
      </c>
      <c r="P38" s="273">
        <f t="shared" si="10"/>
        <v>1.9750000000000003</v>
      </c>
      <c r="Q38" s="99"/>
      <c r="R38" s="100"/>
      <c r="S38" s="100"/>
    </row>
    <row r="39" spans="1:19" ht="15" customHeight="1">
      <c r="A39" s="1450" t="s">
        <v>351</v>
      </c>
      <c r="B39" s="1451"/>
      <c r="C39" s="1451"/>
      <c r="D39" s="1451"/>
      <c r="E39" s="1451"/>
      <c r="F39" s="1451"/>
      <c r="G39" s="1451"/>
      <c r="H39" s="1451"/>
      <c r="I39" s="1451"/>
      <c r="J39" s="1451"/>
      <c r="K39" s="1451"/>
      <c r="L39" s="1451"/>
      <c r="M39" s="1451"/>
      <c r="N39" s="1451"/>
      <c r="O39" s="1451"/>
      <c r="P39" s="1451"/>
      <c r="Q39" s="1451"/>
      <c r="R39" s="1451"/>
      <c r="S39" s="1452"/>
    </row>
    <row r="40" spans="1:19">
      <c r="A40" s="262" t="s">
        <v>270</v>
      </c>
      <c r="B40" s="548">
        <v>0.2</v>
      </c>
      <c r="C40" s="548"/>
      <c r="D40" s="548">
        <v>8.5</v>
      </c>
      <c r="E40" s="548">
        <v>8.9</v>
      </c>
      <c r="F40" s="548">
        <v>10.8</v>
      </c>
      <c r="G40" s="548">
        <v>19.3</v>
      </c>
      <c r="H40" s="548">
        <v>20.5</v>
      </c>
      <c r="I40" s="548">
        <v>19.3</v>
      </c>
      <c r="J40" s="548">
        <v>18.3</v>
      </c>
      <c r="K40" s="548">
        <v>18.899999999999999</v>
      </c>
      <c r="L40" s="548">
        <v>18</v>
      </c>
      <c r="M40" s="548">
        <v>17.399999999999999</v>
      </c>
      <c r="N40" s="548">
        <v>14.2</v>
      </c>
      <c r="O40" s="548">
        <v>5.4</v>
      </c>
      <c r="P40" s="572">
        <v>0.5</v>
      </c>
      <c r="Q40" s="99">
        <f t="shared" ref="Q40:Q51" si="11">AVERAGE(B40:P40)</f>
        <v>12.87142857142857</v>
      </c>
      <c r="R40" s="100">
        <f t="shared" ref="R40:R51" si="12">MAX(B40:P40)</f>
        <v>20.5</v>
      </c>
      <c r="S40" s="100">
        <f t="shared" si="3"/>
        <v>18.733333333333334</v>
      </c>
    </row>
    <row r="41" spans="1:19">
      <c r="A41" s="262" t="s">
        <v>151</v>
      </c>
      <c r="B41" s="548">
        <v>1.3</v>
      </c>
      <c r="C41" s="548"/>
      <c r="D41" s="548">
        <v>8.5</v>
      </c>
      <c r="E41" s="548">
        <v>8.5</v>
      </c>
      <c r="F41" s="548">
        <v>10.8</v>
      </c>
      <c r="G41" s="548">
        <v>18.7</v>
      </c>
      <c r="H41" s="548">
        <v>20.5</v>
      </c>
      <c r="I41" s="548">
        <v>18.2</v>
      </c>
      <c r="J41" s="548">
        <v>18.600000000000001</v>
      </c>
      <c r="K41" s="548">
        <v>18.600000000000001</v>
      </c>
      <c r="L41" s="548">
        <v>18</v>
      </c>
      <c r="M41" s="548">
        <v>17.399999999999999</v>
      </c>
      <c r="N41" s="548">
        <v>14.2</v>
      </c>
      <c r="O41" s="548">
        <v>5.4</v>
      </c>
      <c r="P41" s="572">
        <v>0.1</v>
      </c>
      <c r="Q41" s="99">
        <f t="shared" si="11"/>
        <v>12.77142857142857</v>
      </c>
      <c r="R41" s="100">
        <f t="shared" si="12"/>
        <v>20.5</v>
      </c>
      <c r="S41" s="100">
        <f t="shared" si="3"/>
        <v>18.55</v>
      </c>
    </row>
    <row r="42" spans="1:19">
      <c r="A42" s="262" t="s">
        <v>271</v>
      </c>
      <c r="B42" s="548">
        <v>2.2999999999999998</v>
      </c>
      <c r="C42" s="548"/>
      <c r="D42" s="548">
        <v>8.4</v>
      </c>
      <c r="E42" s="548">
        <v>8.3000000000000007</v>
      </c>
      <c r="F42" s="548">
        <v>10.7</v>
      </c>
      <c r="G42" s="548">
        <v>18.3</v>
      </c>
      <c r="H42" s="548">
        <v>20.5</v>
      </c>
      <c r="I42" s="548">
        <v>17.399999999999999</v>
      </c>
      <c r="J42" s="548">
        <v>18.3</v>
      </c>
      <c r="K42" s="548">
        <v>18.100000000000001</v>
      </c>
      <c r="L42" s="548">
        <v>17.5</v>
      </c>
      <c r="M42" s="548">
        <v>17</v>
      </c>
      <c r="N42" s="548">
        <v>14</v>
      </c>
      <c r="O42" s="548">
        <v>5.4</v>
      </c>
      <c r="P42" s="572">
        <v>0.6</v>
      </c>
      <c r="Q42" s="99">
        <f t="shared" si="11"/>
        <v>12.62857142857143</v>
      </c>
      <c r="R42" s="100">
        <f t="shared" si="12"/>
        <v>20.5</v>
      </c>
      <c r="S42" s="100">
        <f t="shared" si="3"/>
        <v>18.133333333333336</v>
      </c>
    </row>
    <row r="43" spans="1:19">
      <c r="A43" s="262" t="s">
        <v>152</v>
      </c>
      <c r="B43" s="548">
        <v>2.8</v>
      </c>
      <c r="C43" s="548"/>
      <c r="D43" s="548">
        <v>8.4</v>
      </c>
      <c r="E43" s="548">
        <v>8.1999999999999993</v>
      </c>
      <c r="F43" s="548">
        <v>10.7</v>
      </c>
      <c r="G43" s="548">
        <v>15.7</v>
      </c>
      <c r="H43" s="548">
        <v>19.399999999999999</v>
      </c>
      <c r="I43" s="548">
        <v>17.3</v>
      </c>
      <c r="J43" s="548">
        <v>18</v>
      </c>
      <c r="K43" s="548">
        <v>18</v>
      </c>
      <c r="L43" s="548">
        <v>17.399999999999999</v>
      </c>
      <c r="M43" s="548">
        <v>16.899999999999999</v>
      </c>
      <c r="N43" s="548">
        <v>14</v>
      </c>
      <c r="O43" s="548">
        <v>5.4</v>
      </c>
      <c r="P43" s="572">
        <v>1.9</v>
      </c>
      <c r="Q43" s="99">
        <f t="shared" si="11"/>
        <v>12.435714285714285</v>
      </c>
      <c r="R43" s="100">
        <f t="shared" si="12"/>
        <v>19.399999999999999</v>
      </c>
      <c r="S43" s="100">
        <f t="shared" si="3"/>
        <v>17.833333333333332</v>
      </c>
    </row>
    <row r="44" spans="1:19">
      <c r="A44" s="262" t="s">
        <v>272</v>
      </c>
      <c r="B44" s="548">
        <v>3.1</v>
      </c>
      <c r="C44" s="548"/>
      <c r="D44" s="548">
        <v>8.1999999999999993</v>
      </c>
      <c r="E44" s="548">
        <v>7.8</v>
      </c>
      <c r="F44" s="548">
        <v>10.199999999999999</v>
      </c>
      <c r="G44" s="548">
        <v>15.1</v>
      </c>
      <c r="H44" s="548">
        <v>18.399999999999999</v>
      </c>
      <c r="I44" s="548">
        <v>17</v>
      </c>
      <c r="J44" s="548">
        <v>18</v>
      </c>
      <c r="K44" s="548">
        <v>17.899999999999999</v>
      </c>
      <c r="L44" s="548">
        <v>17.399999999999999</v>
      </c>
      <c r="M44" s="548">
        <v>16.899999999999999</v>
      </c>
      <c r="N44" s="548">
        <v>14</v>
      </c>
      <c r="O44" s="548">
        <v>5.3</v>
      </c>
      <c r="P44" s="572">
        <v>2.4</v>
      </c>
      <c r="Q44" s="99">
        <f t="shared" si="11"/>
        <v>12.264285714285716</v>
      </c>
      <c r="R44" s="100">
        <f t="shared" si="12"/>
        <v>18.399999999999999</v>
      </c>
      <c r="S44" s="100">
        <f t="shared" si="3"/>
        <v>17.599999999999998</v>
      </c>
    </row>
    <row r="45" spans="1:19">
      <c r="A45" s="262" t="s">
        <v>153</v>
      </c>
      <c r="B45" s="548">
        <v>3.3</v>
      </c>
      <c r="C45" s="548"/>
      <c r="D45" s="548">
        <v>7</v>
      </c>
      <c r="E45" s="548">
        <v>7.7</v>
      </c>
      <c r="F45" s="548">
        <v>9.6999999999999993</v>
      </c>
      <c r="G45" s="548">
        <v>14.3</v>
      </c>
      <c r="H45" s="548">
        <v>18</v>
      </c>
      <c r="I45" s="548">
        <v>16.8</v>
      </c>
      <c r="J45" s="548">
        <v>17.8</v>
      </c>
      <c r="K45" s="548">
        <v>17.899999999999999</v>
      </c>
      <c r="L45" s="548">
        <v>17.399999999999999</v>
      </c>
      <c r="M45" s="548">
        <v>16.899999999999999</v>
      </c>
      <c r="N45" s="548">
        <v>14</v>
      </c>
      <c r="O45" s="548">
        <v>5.3</v>
      </c>
      <c r="P45" s="572">
        <v>2.6</v>
      </c>
      <c r="Q45" s="99">
        <f t="shared" si="11"/>
        <v>12.05</v>
      </c>
      <c r="R45" s="100">
        <f t="shared" si="12"/>
        <v>18</v>
      </c>
      <c r="S45" s="100">
        <f t="shared" si="3"/>
        <v>17.466666666666669</v>
      </c>
    </row>
    <row r="46" spans="1:19">
      <c r="A46" s="262" t="s">
        <v>273</v>
      </c>
      <c r="B46" s="548">
        <v>3.4</v>
      </c>
      <c r="C46" s="548"/>
      <c r="D46" s="548">
        <v>6.2</v>
      </c>
      <c r="E46" s="548">
        <v>7.6</v>
      </c>
      <c r="F46" s="548">
        <v>9.6</v>
      </c>
      <c r="G46" s="548">
        <v>13.9</v>
      </c>
      <c r="H46" s="548">
        <v>17.3</v>
      </c>
      <c r="I46" s="548">
        <v>16.3</v>
      </c>
      <c r="J46" s="548">
        <v>17.600000000000001</v>
      </c>
      <c r="K46" s="548">
        <v>17.7</v>
      </c>
      <c r="L46" s="548">
        <v>17.399999999999999</v>
      </c>
      <c r="M46" s="548">
        <v>16.8</v>
      </c>
      <c r="N46" s="548">
        <v>13.9</v>
      </c>
      <c r="O46" s="548">
        <v>5.2</v>
      </c>
      <c r="P46" s="572">
        <v>2.5</v>
      </c>
      <c r="Q46" s="99">
        <f t="shared" si="11"/>
        <v>11.814285714285715</v>
      </c>
      <c r="R46" s="100">
        <f t="shared" si="12"/>
        <v>17.7</v>
      </c>
      <c r="S46" s="100">
        <f t="shared" si="3"/>
        <v>17.183333333333334</v>
      </c>
    </row>
    <row r="47" spans="1:19">
      <c r="A47" s="262" t="s">
        <v>154</v>
      </c>
      <c r="B47" s="548">
        <v>3.5</v>
      </c>
      <c r="C47" s="548"/>
      <c r="D47" s="548">
        <v>5.9</v>
      </c>
      <c r="E47" s="548">
        <v>7.5</v>
      </c>
      <c r="F47" s="548">
        <v>9.5</v>
      </c>
      <c r="G47" s="548">
        <v>13.9</v>
      </c>
      <c r="H47" s="548">
        <v>16.8</v>
      </c>
      <c r="I47" s="548">
        <v>16</v>
      </c>
      <c r="J47" s="548">
        <v>17.5</v>
      </c>
      <c r="K47" s="548">
        <v>17.600000000000001</v>
      </c>
      <c r="L47" s="548">
        <v>17.399999999999999</v>
      </c>
      <c r="M47" s="548">
        <v>16.8</v>
      </c>
      <c r="N47" s="548">
        <v>13.9</v>
      </c>
      <c r="O47" s="548">
        <v>5.0999999999999996</v>
      </c>
      <c r="P47" s="572">
        <v>2.2999999999999998</v>
      </c>
      <c r="Q47" s="99">
        <f t="shared" si="11"/>
        <v>11.692857142857145</v>
      </c>
      <c r="R47" s="100">
        <f t="shared" si="12"/>
        <v>17.600000000000001</v>
      </c>
      <c r="S47" s="100">
        <f t="shared" si="3"/>
        <v>17.016666666666669</v>
      </c>
    </row>
    <row r="48" spans="1:19" s="710" customFormat="1">
      <c r="A48" s="262" t="s">
        <v>155</v>
      </c>
      <c r="B48" s="548">
        <v>3.4</v>
      </c>
      <c r="C48" s="548"/>
      <c r="D48" s="548">
        <v>4.7</v>
      </c>
      <c r="E48" s="548">
        <v>7.5</v>
      </c>
      <c r="F48" s="548">
        <v>9.1999999999999993</v>
      </c>
      <c r="G48" s="548">
        <v>13.5</v>
      </c>
      <c r="H48" s="548">
        <v>17.3</v>
      </c>
      <c r="I48" s="548">
        <v>15.4</v>
      </c>
      <c r="J48" s="548">
        <v>17.2</v>
      </c>
      <c r="K48" s="548">
        <v>17.100000000000001</v>
      </c>
      <c r="L48" s="548">
        <v>17.3</v>
      </c>
      <c r="M48" s="548">
        <v>16.600000000000001</v>
      </c>
      <c r="N48" s="548">
        <v>13.9</v>
      </c>
      <c r="P48" s="572">
        <v>2.7</v>
      </c>
      <c r="Q48" s="99">
        <f t="shared" si="11"/>
        <v>11.984615384615385</v>
      </c>
      <c r="R48" s="100">
        <f t="shared" si="12"/>
        <v>17.3</v>
      </c>
      <c r="S48" s="100">
        <f t="shared" si="3"/>
        <v>16.816666666666666</v>
      </c>
    </row>
    <row r="49" spans="1:19" s="710" customFormat="1">
      <c r="A49" s="409" t="s">
        <v>156</v>
      </c>
      <c r="B49" s="548">
        <v>3.2</v>
      </c>
      <c r="C49" s="548"/>
      <c r="D49" s="548"/>
      <c r="E49" s="548"/>
      <c r="F49" s="548">
        <v>8.6999999999999993</v>
      </c>
      <c r="G49" s="548">
        <v>13.5</v>
      </c>
      <c r="H49" s="548">
        <v>16.8</v>
      </c>
      <c r="I49" s="548">
        <v>14.9</v>
      </c>
      <c r="J49" s="548"/>
      <c r="K49" s="548"/>
      <c r="L49" s="548"/>
      <c r="M49" s="548"/>
      <c r="N49" s="548">
        <v>13.9</v>
      </c>
      <c r="O49" s="548"/>
      <c r="P49" s="572"/>
      <c r="Q49" s="99">
        <f t="shared" si="11"/>
        <v>11.833333333333334</v>
      </c>
      <c r="R49" s="100">
        <f t="shared" si="12"/>
        <v>16.8</v>
      </c>
      <c r="S49" s="100">
        <f t="shared" si="3"/>
        <v>15.850000000000001</v>
      </c>
    </row>
    <row r="50" spans="1:19" s="710" customFormat="1">
      <c r="A50" s="409" t="s">
        <v>157</v>
      </c>
      <c r="B50" s="548">
        <v>3.3</v>
      </c>
      <c r="C50" s="548"/>
      <c r="D50" s="548"/>
      <c r="E50" s="548"/>
      <c r="F50" s="548">
        <v>8.5</v>
      </c>
      <c r="G50" s="548">
        <v>13.5</v>
      </c>
      <c r="H50" s="548">
        <v>16</v>
      </c>
      <c r="I50" s="548">
        <v>14.6</v>
      </c>
      <c r="J50" s="548"/>
      <c r="K50" s="548"/>
      <c r="L50" s="548"/>
      <c r="M50" s="548"/>
      <c r="N50" s="548"/>
      <c r="O50" s="548"/>
      <c r="P50" s="572"/>
      <c r="Q50" s="99">
        <f t="shared" si="11"/>
        <v>11.18</v>
      </c>
      <c r="R50" s="100">
        <f t="shared" si="12"/>
        <v>16</v>
      </c>
      <c r="S50" s="100">
        <f t="shared" si="3"/>
        <v>15.3</v>
      </c>
    </row>
    <row r="51" spans="1:19">
      <c r="A51" s="1133" t="s">
        <v>158</v>
      </c>
      <c r="B51" s="548">
        <v>4.3</v>
      </c>
      <c r="C51" s="55"/>
      <c r="D51" s="55"/>
      <c r="E51" s="50"/>
      <c r="F51" s="548">
        <v>8.1</v>
      </c>
      <c r="G51" s="548">
        <v>13.5</v>
      </c>
      <c r="H51" s="548">
        <v>15.7</v>
      </c>
      <c r="I51" s="548">
        <v>14.4</v>
      </c>
      <c r="J51" s="548"/>
      <c r="K51" s="548"/>
      <c r="L51" s="548"/>
      <c r="M51" s="548"/>
      <c r="N51" s="548"/>
      <c r="O51" s="548"/>
      <c r="P51" s="572"/>
      <c r="Q51" s="99">
        <f t="shared" si="11"/>
        <v>11.2</v>
      </c>
      <c r="R51" s="100">
        <f t="shared" si="12"/>
        <v>15.7</v>
      </c>
      <c r="S51" s="100">
        <f t="shared" si="3"/>
        <v>15.05</v>
      </c>
    </row>
    <row r="52" spans="1:19">
      <c r="A52" s="269" t="s">
        <v>364</v>
      </c>
      <c r="B52" s="273">
        <v>3.2</v>
      </c>
      <c r="C52" s="273"/>
      <c r="D52" s="273">
        <f>AVERAGE(D40:D43)</f>
        <v>8.4499999999999993</v>
      </c>
      <c r="E52" s="273">
        <f t="shared" ref="E52:K52" si="13">AVERAGE(E40:E43)</f>
        <v>8.4749999999999996</v>
      </c>
      <c r="F52" s="273">
        <f t="shared" si="13"/>
        <v>10.75</v>
      </c>
      <c r="G52" s="273">
        <f t="shared" si="13"/>
        <v>18</v>
      </c>
      <c r="H52" s="273">
        <f t="shared" si="13"/>
        <v>20.225000000000001</v>
      </c>
      <c r="I52" s="273">
        <f t="shared" si="13"/>
        <v>18.05</v>
      </c>
      <c r="J52" s="273">
        <f t="shared" si="13"/>
        <v>18.3</v>
      </c>
      <c r="K52" s="273">
        <f t="shared" si="13"/>
        <v>18.399999999999999</v>
      </c>
      <c r="L52" s="273">
        <f>AVERAGE(L40:L43)</f>
        <v>17.725000000000001</v>
      </c>
      <c r="M52" s="273">
        <f>AVERAGE(M40:M43)</f>
        <v>17.174999999999997</v>
      </c>
      <c r="N52" s="273">
        <f>AVERAGE(N40:N43)</f>
        <v>14.1</v>
      </c>
      <c r="O52" s="273">
        <f t="shared" ref="O52:P52" si="14">AVERAGE(O40:O43)</f>
        <v>5.4</v>
      </c>
      <c r="P52" s="273">
        <f t="shared" si="14"/>
        <v>0.77499999999999991</v>
      </c>
      <c r="Q52" s="99"/>
      <c r="R52" s="100"/>
      <c r="S52" s="100"/>
    </row>
    <row r="53" spans="1:19">
      <c r="A53" s="262" t="s">
        <v>362</v>
      </c>
      <c r="B53" s="273">
        <f>AVERAGE(B40:B49)</f>
        <v>2.6499999999999995</v>
      </c>
      <c r="C53" s="273"/>
      <c r="D53" s="273">
        <f>AVERAGE(D40:D49)</f>
        <v>7.3111111111111109</v>
      </c>
      <c r="E53" s="273">
        <f>AVERAGE(E40:E49)</f>
        <v>8</v>
      </c>
      <c r="F53" s="273">
        <f t="shared" ref="F53:P53" si="15">AVERAGE(F40:F51)</f>
        <v>9.7083333333333339</v>
      </c>
      <c r="G53" s="273">
        <f t="shared" si="15"/>
        <v>15.266666666666666</v>
      </c>
      <c r="H53" s="273">
        <f t="shared" si="15"/>
        <v>18.100000000000005</v>
      </c>
      <c r="I53" s="273">
        <f t="shared" si="15"/>
        <v>16.466666666666669</v>
      </c>
      <c r="J53" s="273">
        <f t="shared" si="15"/>
        <v>17.922222222222221</v>
      </c>
      <c r="K53" s="273">
        <f t="shared" si="15"/>
        <v>17.977777777777778</v>
      </c>
      <c r="L53" s="273">
        <f t="shared" si="15"/>
        <v>17.533333333333339</v>
      </c>
      <c r="M53" s="273">
        <f t="shared" si="15"/>
        <v>16.966666666666665</v>
      </c>
      <c r="N53" s="273">
        <f t="shared" si="15"/>
        <v>14.000000000000004</v>
      </c>
      <c r="O53" s="273">
        <f t="shared" si="15"/>
        <v>5.3125000000000009</v>
      </c>
      <c r="P53" s="273">
        <f t="shared" si="15"/>
        <v>1.7333333333333332</v>
      </c>
      <c r="Q53" s="99"/>
      <c r="R53" s="100"/>
      <c r="S53" s="100"/>
    </row>
    <row r="54" spans="1:19" ht="15" customHeight="1">
      <c r="A54" s="1450" t="s">
        <v>352</v>
      </c>
      <c r="B54" s="1451"/>
      <c r="C54" s="1451"/>
      <c r="D54" s="1451"/>
      <c r="E54" s="1451"/>
      <c r="F54" s="1451"/>
      <c r="G54" s="1451"/>
      <c r="H54" s="145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2"/>
    </row>
    <row r="55" spans="1:19">
      <c r="A55" s="262" t="s">
        <v>270</v>
      </c>
      <c r="B55" s="654">
        <v>0.2</v>
      </c>
      <c r="C55" s="654"/>
      <c r="D55" s="654">
        <v>8.4</v>
      </c>
      <c r="E55" s="612">
        <v>8.9</v>
      </c>
      <c r="F55" s="654">
        <v>11.5</v>
      </c>
      <c r="G55" s="654">
        <v>19.5</v>
      </c>
      <c r="H55" s="654">
        <v>20.5</v>
      </c>
      <c r="I55" s="654">
        <v>17.899999999999999</v>
      </c>
      <c r="J55" s="654">
        <v>19.399999999999999</v>
      </c>
      <c r="K55" s="654">
        <v>18.100000000000001</v>
      </c>
      <c r="L55" s="654">
        <v>18</v>
      </c>
      <c r="M55" s="548">
        <v>17.5</v>
      </c>
      <c r="N55" s="654">
        <v>14.2</v>
      </c>
      <c r="O55" s="548">
        <v>5.6</v>
      </c>
      <c r="P55" s="654">
        <v>0.1</v>
      </c>
      <c r="Q55" s="99">
        <f t="shared" ref="Q55:Q63" si="16">AVERAGE(B55:P55)</f>
        <v>12.842857142857142</v>
      </c>
      <c r="R55" s="100">
        <f t="shared" ref="R55:R63" si="17">MAX(B55:P55)</f>
        <v>20.5</v>
      </c>
      <c r="S55" s="100">
        <f t="shared" si="3"/>
        <v>18.566666666666666</v>
      </c>
    </row>
    <row r="56" spans="1:19">
      <c r="A56" s="262" t="s">
        <v>151</v>
      </c>
      <c r="B56" s="654">
        <v>0.2</v>
      </c>
      <c r="C56" s="654"/>
      <c r="D56" s="654">
        <v>8.4</v>
      </c>
      <c r="E56" s="612">
        <v>8.3000000000000007</v>
      </c>
      <c r="F56" s="654">
        <v>11.5</v>
      </c>
      <c r="G56" s="654">
        <v>19.3</v>
      </c>
      <c r="H56" s="654">
        <v>20.5</v>
      </c>
      <c r="I56" s="654">
        <v>17.8</v>
      </c>
      <c r="J56" s="654">
        <v>19.100000000000001</v>
      </c>
      <c r="K56" s="654">
        <v>18.100000000000001</v>
      </c>
      <c r="L56" s="654">
        <v>18.2</v>
      </c>
      <c r="M56" s="548">
        <v>17.5</v>
      </c>
      <c r="N56" s="654">
        <v>14</v>
      </c>
      <c r="O56" s="548">
        <v>5.6</v>
      </c>
      <c r="P56" s="654">
        <v>0.1</v>
      </c>
      <c r="Q56" s="99">
        <f t="shared" si="16"/>
        <v>12.757142857142854</v>
      </c>
      <c r="R56" s="100">
        <f t="shared" si="17"/>
        <v>20.5</v>
      </c>
      <c r="S56" s="100">
        <f t="shared" si="3"/>
        <v>18.533333333333335</v>
      </c>
    </row>
    <row r="57" spans="1:19">
      <c r="A57" s="262" t="s">
        <v>271</v>
      </c>
      <c r="B57" s="654">
        <v>1.5</v>
      </c>
      <c r="C57" s="654"/>
      <c r="D57" s="654">
        <v>8.4</v>
      </c>
      <c r="E57" s="612">
        <v>8</v>
      </c>
      <c r="F57" s="654">
        <v>11.3</v>
      </c>
      <c r="G57" s="654">
        <v>18.600000000000001</v>
      </c>
      <c r="H57" s="654">
        <v>20.5</v>
      </c>
      <c r="I57" s="654">
        <v>17.7</v>
      </c>
      <c r="J57" s="654">
        <v>18.399999999999999</v>
      </c>
      <c r="K57" s="654">
        <v>17.899999999999999</v>
      </c>
      <c r="L57" s="654">
        <v>17.399999999999999</v>
      </c>
      <c r="M57" s="548">
        <v>17.5</v>
      </c>
      <c r="N57" s="654">
        <v>14</v>
      </c>
      <c r="O57" s="548">
        <v>5.5</v>
      </c>
      <c r="P57" s="654">
        <v>0.1</v>
      </c>
      <c r="Q57" s="99">
        <f t="shared" si="16"/>
        <v>12.62857142857143</v>
      </c>
      <c r="R57" s="100">
        <f t="shared" si="17"/>
        <v>20.5</v>
      </c>
      <c r="S57" s="100">
        <f t="shared" si="3"/>
        <v>18.233333333333334</v>
      </c>
    </row>
    <row r="58" spans="1:19">
      <c r="A58" s="262" t="s">
        <v>152</v>
      </c>
      <c r="B58" s="654">
        <v>1.9</v>
      </c>
      <c r="C58" s="654"/>
      <c r="D58" s="654">
        <v>8.3000000000000007</v>
      </c>
      <c r="E58" s="612">
        <v>7.9</v>
      </c>
      <c r="F58" s="654">
        <v>11.2</v>
      </c>
      <c r="G58" s="654">
        <v>17.600000000000001</v>
      </c>
      <c r="H58" s="654">
        <v>20.5</v>
      </c>
      <c r="I58" s="654">
        <v>17.399999999999999</v>
      </c>
      <c r="J58" s="654">
        <v>18.100000000000001</v>
      </c>
      <c r="K58" s="654">
        <v>17.899999999999999</v>
      </c>
      <c r="L58" s="654">
        <v>17.399999999999999</v>
      </c>
      <c r="M58" s="548">
        <v>17.399999999999999</v>
      </c>
      <c r="N58" s="654">
        <v>13.9</v>
      </c>
      <c r="O58" s="548">
        <v>5.5</v>
      </c>
      <c r="P58" s="654">
        <v>0.4</v>
      </c>
      <c r="Q58" s="99">
        <f t="shared" si="16"/>
        <v>12.52857142857143</v>
      </c>
      <c r="R58" s="100">
        <f t="shared" si="17"/>
        <v>20.5</v>
      </c>
      <c r="S58" s="100">
        <f t="shared" si="3"/>
        <v>18.116666666666671</v>
      </c>
    </row>
    <row r="59" spans="1:19">
      <c r="A59" s="262" t="s">
        <v>272</v>
      </c>
      <c r="B59" s="654">
        <v>2.6</v>
      </c>
      <c r="C59" s="654"/>
      <c r="D59" s="654">
        <v>8.1999999999999993</v>
      </c>
      <c r="E59" s="612">
        <v>7.7</v>
      </c>
      <c r="F59" s="654">
        <v>11</v>
      </c>
      <c r="G59" s="654">
        <v>15.6</v>
      </c>
      <c r="H59" s="654">
        <v>20.5</v>
      </c>
      <c r="I59" s="654">
        <v>17.3</v>
      </c>
      <c r="J59" s="654">
        <v>17.8</v>
      </c>
      <c r="K59" s="654">
        <v>17.8</v>
      </c>
      <c r="L59" s="654">
        <v>17.2</v>
      </c>
      <c r="M59" s="548">
        <v>17.399999999999999</v>
      </c>
      <c r="N59" s="654">
        <v>13.9</v>
      </c>
      <c r="O59" s="548">
        <v>5.5</v>
      </c>
      <c r="P59" s="654">
        <v>2</v>
      </c>
      <c r="Q59" s="99">
        <f t="shared" si="16"/>
        <v>12.464285714285714</v>
      </c>
      <c r="R59" s="100">
        <f t="shared" si="17"/>
        <v>20.5</v>
      </c>
      <c r="S59" s="100">
        <f t="shared" si="3"/>
        <v>18</v>
      </c>
    </row>
    <row r="60" spans="1:19">
      <c r="A60" s="262" t="s">
        <v>153</v>
      </c>
      <c r="B60" s="654"/>
      <c r="C60" s="654"/>
      <c r="D60" s="654">
        <v>7.8</v>
      </c>
      <c r="E60" s="612">
        <v>7.7</v>
      </c>
      <c r="F60" s="654">
        <v>10.8</v>
      </c>
      <c r="G60" s="654">
        <v>15.2</v>
      </c>
      <c r="H60" s="654">
        <v>18.8</v>
      </c>
      <c r="I60" s="654">
        <v>17.100000000000001</v>
      </c>
      <c r="J60" s="654">
        <v>17.7</v>
      </c>
      <c r="K60" s="654">
        <v>17.7</v>
      </c>
      <c r="L60" s="654"/>
      <c r="M60" s="548">
        <v>17.399999999999999</v>
      </c>
      <c r="N60" s="654">
        <v>13.9</v>
      </c>
      <c r="O60" s="548">
        <v>5.4</v>
      </c>
      <c r="P60" s="654">
        <v>2.2000000000000002</v>
      </c>
      <c r="Q60" s="99">
        <f t="shared" si="16"/>
        <v>12.641666666666667</v>
      </c>
      <c r="R60" s="100">
        <f t="shared" si="17"/>
        <v>18.8</v>
      </c>
      <c r="S60" s="100">
        <f t="shared" si="3"/>
        <v>17.740000000000002</v>
      </c>
    </row>
    <row r="61" spans="1:19">
      <c r="A61" s="262" t="s">
        <v>273</v>
      </c>
      <c r="B61" s="654"/>
      <c r="C61" s="654"/>
      <c r="D61" s="654"/>
      <c r="E61" s="612">
        <v>7.5</v>
      </c>
      <c r="F61" s="654">
        <v>9.8000000000000007</v>
      </c>
      <c r="G61" s="654">
        <v>14.3</v>
      </c>
      <c r="H61" s="654">
        <v>18.399999999999999</v>
      </c>
      <c r="I61" s="654">
        <v>16.600000000000001</v>
      </c>
      <c r="J61" s="654">
        <v>17.7</v>
      </c>
      <c r="K61" s="654">
        <v>17.7</v>
      </c>
      <c r="L61" s="654"/>
      <c r="M61" s="548"/>
      <c r="N61" s="654">
        <v>13.9</v>
      </c>
      <c r="O61" s="548"/>
      <c r="P61" s="654"/>
      <c r="Q61" s="99">
        <f t="shared" si="16"/>
        <v>14.487500000000001</v>
      </c>
      <c r="R61" s="100">
        <f t="shared" si="17"/>
        <v>18.399999999999999</v>
      </c>
      <c r="S61" s="100">
        <f t="shared" si="3"/>
        <v>17.600000000000001</v>
      </c>
    </row>
    <row r="62" spans="1:19" s="710" customFormat="1">
      <c r="A62" s="409" t="s">
        <v>154</v>
      </c>
      <c r="B62" s="654"/>
      <c r="C62" s="654"/>
      <c r="D62" s="654"/>
      <c r="E62" s="612">
        <v>7.3</v>
      </c>
      <c r="F62" s="654">
        <v>9.5</v>
      </c>
      <c r="G62" s="654">
        <v>14.2</v>
      </c>
      <c r="H62" s="654">
        <v>17.7</v>
      </c>
      <c r="I62" s="654">
        <v>16</v>
      </c>
      <c r="J62" s="654">
        <v>17.7</v>
      </c>
      <c r="K62" s="654"/>
      <c r="L62" s="654"/>
      <c r="M62" s="548"/>
      <c r="N62" s="654"/>
      <c r="O62" s="548"/>
      <c r="P62" s="654"/>
      <c r="Q62" s="99">
        <f t="shared" si="16"/>
        <v>13.733333333333334</v>
      </c>
      <c r="R62" s="100">
        <f t="shared" si="17"/>
        <v>17.7</v>
      </c>
      <c r="S62" s="100">
        <f t="shared" si="3"/>
        <v>17.133333333333336</v>
      </c>
    </row>
    <row r="63" spans="1:19">
      <c r="A63" s="262" t="s">
        <v>155</v>
      </c>
      <c r="B63" s="654"/>
      <c r="C63" s="654"/>
      <c r="D63" s="654"/>
      <c r="E63" s="654"/>
      <c r="F63" s="654">
        <v>8.8000000000000007</v>
      </c>
      <c r="G63" s="654">
        <v>13.6</v>
      </c>
      <c r="H63" s="654">
        <v>16.8</v>
      </c>
      <c r="I63" s="654">
        <v>15.3</v>
      </c>
      <c r="J63" s="654"/>
      <c r="K63" s="654"/>
      <c r="L63" s="654"/>
      <c r="M63" s="548"/>
      <c r="N63" s="654"/>
      <c r="O63" s="548"/>
      <c r="P63" s="654"/>
      <c r="Q63" s="99">
        <f t="shared" si="16"/>
        <v>13.625</v>
      </c>
      <c r="R63" s="100">
        <f t="shared" si="17"/>
        <v>16.8</v>
      </c>
      <c r="S63" s="100">
        <f t="shared" si="3"/>
        <v>16.05</v>
      </c>
    </row>
    <row r="64" spans="1:19">
      <c r="A64" s="269" t="s">
        <v>364</v>
      </c>
      <c r="B64" s="273">
        <f>AVERAGE(B55:B59)</f>
        <v>1.28</v>
      </c>
      <c r="C64" s="273"/>
      <c r="D64" s="273">
        <f>AVERAGE(D55:D58)</f>
        <v>8.375</v>
      </c>
      <c r="E64" s="273">
        <f t="shared" ref="E64:P64" si="18">AVERAGE(E55:E58)</f>
        <v>8.2750000000000004</v>
      </c>
      <c r="F64" s="273">
        <f t="shared" si="18"/>
        <v>11.375</v>
      </c>
      <c r="G64" s="273">
        <f t="shared" si="18"/>
        <v>18.75</v>
      </c>
      <c r="H64" s="273">
        <f t="shared" si="18"/>
        <v>20.5</v>
      </c>
      <c r="I64" s="273">
        <f t="shared" si="18"/>
        <v>17.700000000000003</v>
      </c>
      <c r="J64" s="273">
        <f t="shared" si="18"/>
        <v>18.75</v>
      </c>
      <c r="K64" s="273">
        <f t="shared" si="18"/>
        <v>18</v>
      </c>
      <c r="L64" s="273">
        <f t="shared" si="18"/>
        <v>17.75</v>
      </c>
      <c r="M64" s="273">
        <f t="shared" si="18"/>
        <v>17.475000000000001</v>
      </c>
      <c r="N64" s="273">
        <f t="shared" si="18"/>
        <v>14.025</v>
      </c>
      <c r="O64" s="273">
        <f t="shared" si="18"/>
        <v>5.55</v>
      </c>
      <c r="P64" s="273">
        <f t="shared" si="18"/>
        <v>0.17500000000000002</v>
      </c>
      <c r="Q64" s="273"/>
      <c r="R64" s="100"/>
      <c r="S64" s="100"/>
    </row>
    <row r="65" spans="1:19">
      <c r="A65" s="262" t="s">
        <v>362</v>
      </c>
      <c r="B65" s="273">
        <f>AVERAGE(B55:B63)</f>
        <v>1.28</v>
      </c>
      <c r="C65" s="273"/>
      <c r="D65" s="273">
        <f t="shared" ref="D65:P65" si="19">AVERAGE(D55:D63)</f>
        <v>8.25</v>
      </c>
      <c r="E65" s="273">
        <f t="shared" si="19"/>
        <v>7.9125000000000005</v>
      </c>
      <c r="F65" s="273">
        <f t="shared" si="19"/>
        <v>10.6</v>
      </c>
      <c r="G65" s="273">
        <f t="shared" si="19"/>
        <v>16.43333333333333</v>
      </c>
      <c r="H65" s="273">
        <f t="shared" si="19"/>
        <v>19.355555555555554</v>
      </c>
      <c r="I65" s="273">
        <f t="shared" si="19"/>
        <v>17.011111111111113</v>
      </c>
      <c r="J65" s="273">
        <f t="shared" si="19"/>
        <v>18.237499999999997</v>
      </c>
      <c r="K65" s="273">
        <f t="shared" si="19"/>
        <v>17.885714285714286</v>
      </c>
      <c r="L65" s="273">
        <f t="shared" si="19"/>
        <v>17.64</v>
      </c>
      <c r="M65" s="273">
        <f t="shared" si="19"/>
        <v>17.450000000000003</v>
      </c>
      <c r="N65" s="273">
        <f t="shared" si="19"/>
        <v>13.971428571428573</v>
      </c>
      <c r="O65" s="273">
        <f t="shared" si="19"/>
        <v>5.5166666666666666</v>
      </c>
      <c r="P65" s="273">
        <f t="shared" si="19"/>
        <v>0.81666666666666676</v>
      </c>
      <c r="Q65" s="273"/>
      <c r="R65" s="100"/>
      <c r="S65" s="100"/>
    </row>
    <row r="66" spans="1:19" ht="15" customHeight="1">
      <c r="A66" s="1450" t="s">
        <v>353</v>
      </c>
      <c r="B66" s="1451"/>
      <c r="C66" s="1451"/>
      <c r="D66" s="1451"/>
      <c r="E66" s="1451"/>
      <c r="F66" s="1451"/>
      <c r="G66" s="1451"/>
      <c r="H66" s="1451"/>
      <c r="I66" s="1451"/>
      <c r="J66" s="1451"/>
      <c r="K66" s="1451"/>
      <c r="L66" s="1451"/>
      <c r="M66" s="1451"/>
      <c r="N66" s="1451"/>
      <c r="O66" s="1451"/>
      <c r="P66" s="1451"/>
      <c r="Q66" s="1451"/>
      <c r="R66" s="1451"/>
      <c r="S66" s="1452"/>
    </row>
    <row r="67" spans="1:19">
      <c r="A67" s="409" t="s">
        <v>270</v>
      </c>
      <c r="B67" s="654">
        <v>0.1</v>
      </c>
      <c r="C67" s="654"/>
      <c r="D67" s="654">
        <v>7.6</v>
      </c>
      <c r="E67" s="654">
        <v>9.4</v>
      </c>
      <c r="F67" s="654">
        <v>11.2</v>
      </c>
      <c r="G67" s="654">
        <v>18.899999999999999</v>
      </c>
      <c r="H67" s="654">
        <v>20.6</v>
      </c>
      <c r="I67" s="654">
        <v>19.100000000000001</v>
      </c>
      <c r="J67" s="654">
        <v>19.7</v>
      </c>
      <c r="K67" s="654">
        <v>19.100000000000001</v>
      </c>
      <c r="L67" s="654">
        <v>18.3</v>
      </c>
      <c r="M67" s="654">
        <v>17.7</v>
      </c>
      <c r="N67" s="654">
        <v>14.3</v>
      </c>
      <c r="O67" s="654">
        <v>5.5</v>
      </c>
      <c r="P67" s="612">
        <v>1.4</v>
      </c>
      <c r="Q67" s="99">
        <f t="shared" ref="Q67:Q78" si="20">AVERAGE(B67:P67)</f>
        <v>13.064285714285717</v>
      </c>
      <c r="R67" s="100">
        <f t="shared" ref="R67:R78" si="21">MAX(B67:P67)</f>
        <v>20.6</v>
      </c>
      <c r="S67" s="100">
        <f t="shared" si="3"/>
        <v>19.083333333333332</v>
      </c>
    </row>
    <row r="68" spans="1:19">
      <c r="A68" s="409" t="s">
        <v>151</v>
      </c>
      <c r="B68" s="654">
        <v>1</v>
      </c>
      <c r="C68" s="654"/>
      <c r="D68" s="654">
        <v>7.6</v>
      </c>
      <c r="E68" s="654">
        <v>8.9</v>
      </c>
      <c r="F68" s="654">
        <v>11.2</v>
      </c>
      <c r="G68" s="654">
        <v>18.899999999999999</v>
      </c>
      <c r="H68" s="654">
        <v>20.6</v>
      </c>
      <c r="I68" s="654">
        <v>18.8</v>
      </c>
      <c r="J68" s="654">
        <v>19.3</v>
      </c>
      <c r="K68" s="654">
        <v>18.2</v>
      </c>
      <c r="L68" s="654">
        <v>17.7</v>
      </c>
      <c r="M68" s="654">
        <v>17.600000000000001</v>
      </c>
      <c r="N68" s="654">
        <v>14.1</v>
      </c>
      <c r="O68" s="654">
        <v>5.5</v>
      </c>
      <c r="P68" s="612">
        <v>0.9</v>
      </c>
      <c r="Q68" s="99">
        <f t="shared" si="20"/>
        <v>12.878571428571428</v>
      </c>
      <c r="R68" s="100">
        <f t="shared" si="21"/>
        <v>20.6</v>
      </c>
      <c r="S68" s="100">
        <f t="shared" si="3"/>
        <v>18.700000000000003</v>
      </c>
    </row>
    <row r="69" spans="1:19">
      <c r="A69" s="409" t="s">
        <v>271</v>
      </c>
      <c r="B69" s="654">
        <v>1.4</v>
      </c>
      <c r="C69" s="654"/>
      <c r="D69" s="654">
        <v>7.6</v>
      </c>
      <c r="E69" s="654">
        <v>8.3000000000000007</v>
      </c>
      <c r="F69" s="654">
        <v>11.2</v>
      </c>
      <c r="G69" s="654">
        <v>18.2</v>
      </c>
      <c r="H69" s="654">
        <v>20.6</v>
      </c>
      <c r="I69" s="654">
        <v>18</v>
      </c>
      <c r="J69" s="654">
        <v>18.5</v>
      </c>
      <c r="K69" s="654">
        <v>18.100000000000001</v>
      </c>
      <c r="L69" s="654">
        <v>17.600000000000001</v>
      </c>
      <c r="M69" s="654">
        <v>17.5</v>
      </c>
      <c r="N69" s="654">
        <v>14</v>
      </c>
      <c r="O69" s="654">
        <v>5.5</v>
      </c>
      <c r="P69" s="612">
        <v>0.9</v>
      </c>
      <c r="Q69" s="99">
        <f t="shared" si="20"/>
        <v>12.671428571428573</v>
      </c>
      <c r="R69" s="100">
        <f t="shared" si="21"/>
        <v>20.6</v>
      </c>
      <c r="S69" s="100">
        <f t="shared" si="3"/>
        <v>18.383333333333336</v>
      </c>
    </row>
    <row r="70" spans="1:19">
      <c r="A70" s="409" t="s">
        <v>152</v>
      </c>
      <c r="B70" s="654">
        <v>2.4</v>
      </c>
      <c r="C70" s="654"/>
      <c r="D70" s="654">
        <v>7.5</v>
      </c>
      <c r="E70" s="654">
        <v>8.1</v>
      </c>
      <c r="F70" s="654">
        <v>11.1</v>
      </c>
      <c r="G70" s="654">
        <v>17.2</v>
      </c>
      <c r="H70" s="654">
        <v>20.5</v>
      </c>
      <c r="I70" s="654">
        <v>17.600000000000001</v>
      </c>
      <c r="J70" s="654">
        <v>18.2</v>
      </c>
      <c r="K70" s="654">
        <v>18</v>
      </c>
      <c r="L70" s="654">
        <v>17.399999999999999</v>
      </c>
      <c r="M70" s="654">
        <v>16.899999999999999</v>
      </c>
      <c r="N70" s="654">
        <v>14</v>
      </c>
      <c r="O70" s="654">
        <v>5.5</v>
      </c>
      <c r="P70" s="612">
        <v>0.9</v>
      </c>
      <c r="Q70" s="99">
        <f t="shared" si="20"/>
        <v>12.521428571428572</v>
      </c>
      <c r="R70" s="100">
        <f t="shared" si="21"/>
        <v>20.5</v>
      </c>
      <c r="S70" s="100">
        <f t="shared" si="3"/>
        <v>18.099999999999998</v>
      </c>
    </row>
    <row r="71" spans="1:19">
      <c r="A71" s="409" t="s">
        <v>272</v>
      </c>
      <c r="B71" s="654">
        <v>2.8</v>
      </c>
      <c r="C71" s="654"/>
      <c r="D71" s="654">
        <v>7.6</v>
      </c>
      <c r="E71" s="654">
        <v>8.1</v>
      </c>
      <c r="F71" s="654">
        <v>11</v>
      </c>
      <c r="G71" s="654">
        <v>16.5</v>
      </c>
      <c r="H71" s="654">
        <v>20.100000000000001</v>
      </c>
      <c r="I71" s="654">
        <v>17.3</v>
      </c>
      <c r="J71" s="654">
        <v>17.8</v>
      </c>
      <c r="K71" s="654">
        <v>17.8</v>
      </c>
      <c r="L71" s="654">
        <v>17.399999999999999</v>
      </c>
      <c r="M71" s="654">
        <v>16.8</v>
      </c>
      <c r="N71" s="654">
        <v>14</v>
      </c>
      <c r="O71" s="654">
        <v>5.4</v>
      </c>
      <c r="P71" s="612">
        <v>2.1</v>
      </c>
      <c r="Q71" s="99">
        <f t="shared" si="20"/>
        <v>12.478571428571428</v>
      </c>
      <c r="R71" s="100">
        <f t="shared" si="21"/>
        <v>20.100000000000001</v>
      </c>
      <c r="S71" s="100">
        <f t="shared" si="3"/>
        <v>17.866666666666667</v>
      </c>
    </row>
    <row r="72" spans="1:19">
      <c r="A72" s="409" t="s">
        <v>153</v>
      </c>
      <c r="B72" s="654">
        <v>3.1</v>
      </c>
      <c r="C72" s="654"/>
      <c r="D72" s="654">
        <v>7.6</v>
      </c>
      <c r="E72" s="654">
        <v>8</v>
      </c>
      <c r="F72" s="654">
        <v>11</v>
      </c>
      <c r="G72" s="654">
        <v>15.2</v>
      </c>
      <c r="H72" s="654">
        <v>18.7</v>
      </c>
      <c r="I72" s="654">
        <v>17.100000000000001</v>
      </c>
      <c r="J72" s="654">
        <v>17.7</v>
      </c>
      <c r="K72" s="654">
        <v>17.5</v>
      </c>
      <c r="L72" s="654">
        <v>17.3</v>
      </c>
      <c r="M72" s="654">
        <v>16.8</v>
      </c>
      <c r="N72" s="654">
        <v>14</v>
      </c>
      <c r="O72" s="654">
        <v>5.3</v>
      </c>
      <c r="P72" s="612">
        <v>2.4</v>
      </c>
      <c r="Q72" s="99">
        <f t="shared" si="20"/>
        <v>12.264285714285716</v>
      </c>
      <c r="R72" s="100">
        <f t="shared" si="21"/>
        <v>18.7</v>
      </c>
      <c r="S72" s="100">
        <f t="shared" si="3"/>
        <v>17.516666666666666</v>
      </c>
    </row>
    <row r="73" spans="1:19">
      <c r="A73" s="409" t="s">
        <v>273</v>
      </c>
      <c r="B73" s="654">
        <v>3.2</v>
      </c>
      <c r="C73" s="654"/>
      <c r="D73" s="654">
        <v>7.5</v>
      </c>
      <c r="E73" s="654">
        <v>8</v>
      </c>
      <c r="F73" s="654">
        <v>10.4</v>
      </c>
      <c r="G73" s="654">
        <v>14.5</v>
      </c>
      <c r="H73" s="654">
        <v>17.899999999999999</v>
      </c>
      <c r="I73" s="654">
        <v>16.8</v>
      </c>
      <c r="J73" s="654">
        <v>17.7</v>
      </c>
      <c r="K73" s="654">
        <v>17.5</v>
      </c>
      <c r="L73" s="654">
        <v>17.3</v>
      </c>
      <c r="M73" s="654">
        <v>16.8</v>
      </c>
      <c r="N73" s="654">
        <v>13.9</v>
      </c>
      <c r="O73" s="654">
        <v>5.3</v>
      </c>
      <c r="P73" s="612">
        <v>2.5</v>
      </c>
      <c r="Q73" s="99">
        <f t="shared" si="20"/>
        <v>12.092857142857145</v>
      </c>
      <c r="R73" s="100">
        <f t="shared" si="21"/>
        <v>17.899999999999999</v>
      </c>
      <c r="S73" s="100">
        <f t="shared" si="3"/>
        <v>17.333333333333332</v>
      </c>
    </row>
    <row r="74" spans="1:19">
      <c r="A74" s="409" t="s">
        <v>154</v>
      </c>
      <c r="B74" s="654">
        <v>3.1</v>
      </c>
      <c r="C74" s="654"/>
      <c r="D74" s="654">
        <v>7.4</v>
      </c>
      <c r="E74" s="654">
        <v>7.8</v>
      </c>
      <c r="F74" s="654">
        <v>9.5</v>
      </c>
      <c r="G74" s="654">
        <v>13.9</v>
      </c>
      <c r="H74" s="654">
        <v>17.600000000000001</v>
      </c>
      <c r="I74" s="654">
        <v>16.5</v>
      </c>
      <c r="J74" s="654">
        <v>17.7</v>
      </c>
      <c r="K74" s="654">
        <v>17.399999999999999</v>
      </c>
      <c r="L74" s="654">
        <v>17.3</v>
      </c>
      <c r="M74" s="654">
        <v>16.8</v>
      </c>
      <c r="N74" s="654">
        <v>13.9</v>
      </c>
      <c r="O74" s="654">
        <v>5.3</v>
      </c>
      <c r="P74" s="612">
        <v>2.6</v>
      </c>
      <c r="Q74" s="99">
        <f t="shared" si="20"/>
        <v>11.914285714285716</v>
      </c>
      <c r="R74" s="100">
        <f t="shared" si="21"/>
        <v>17.7</v>
      </c>
      <c r="S74" s="100">
        <f>AVERAGE(H74:M74)</f>
        <v>17.216666666666665</v>
      </c>
    </row>
    <row r="75" spans="1:19">
      <c r="A75" s="409" t="s">
        <v>155</v>
      </c>
      <c r="B75" s="654">
        <v>3</v>
      </c>
      <c r="C75" s="654"/>
      <c r="D75" s="654">
        <v>6.8</v>
      </c>
      <c r="E75" s="654">
        <v>7.7</v>
      </c>
      <c r="F75" s="654">
        <v>8.6999999999999993</v>
      </c>
      <c r="G75" s="654">
        <v>13.4</v>
      </c>
      <c r="H75" s="654">
        <v>16.8</v>
      </c>
      <c r="I75" s="654">
        <v>15.7</v>
      </c>
      <c r="J75" s="654">
        <v>17.100000000000001</v>
      </c>
      <c r="K75" s="654">
        <v>17.3</v>
      </c>
      <c r="L75" s="654">
        <v>17.2</v>
      </c>
      <c r="M75" s="654">
        <v>16.7</v>
      </c>
      <c r="N75" s="654">
        <v>13.9</v>
      </c>
      <c r="O75" s="654">
        <v>5.3</v>
      </c>
      <c r="P75" s="612">
        <v>2.1</v>
      </c>
      <c r="Q75" s="99">
        <f t="shared" si="20"/>
        <v>11.55</v>
      </c>
      <c r="R75" s="100">
        <f t="shared" si="21"/>
        <v>17.3</v>
      </c>
      <c r="S75" s="100">
        <f t="shared" si="3"/>
        <v>16.8</v>
      </c>
    </row>
    <row r="76" spans="1:19" s="710" customFormat="1">
      <c r="A76" s="409" t="s">
        <v>156</v>
      </c>
      <c r="B76" s="654">
        <v>3</v>
      </c>
      <c r="C76" s="654"/>
      <c r="D76" s="654">
        <v>4.9000000000000004</v>
      </c>
      <c r="E76" s="654">
        <v>7.7</v>
      </c>
      <c r="F76" s="654">
        <v>8.1999999999999993</v>
      </c>
      <c r="G76" s="654">
        <v>13</v>
      </c>
      <c r="H76" s="654">
        <v>16.399999999999999</v>
      </c>
      <c r="I76" s="654">
        <v>15.1</v>
      </c>
      <c r="J76" s="654">
        <v>16.7</v>
      </c>
      <c r="K76" s="654">
        <v>17.2</v>
      </c>
      <c r="L76" s="654">
        <v>16.8</v>
      </c>
      <c r="M76" s="654">
        <v>16.600000000000001</v>
      </c>
      <c r="N76" s="654">
        <v>13.9</v>
      </c>
      <c r="O76" s="654">
        <v>4.4000000000000004</v>
      </c>
      <c r="P76" s="612">
        <v>2.6</v>
      </c>
      <c r="Q76" s="99">
        <f t="shared" si="20"/>
        <v>11.178571428571429</v>
      </c>
      <c r="R76" s="100">
        <f t="shared" si="21"/>
        <v>17.2</v>
      </c>
      <c r="S76" s="100">
        <f t="shared" si="3"/>
        <v>16.466666666666669</v>
      </c>
    </row>
    <row r="77" spans="1:19" s="710" customFormat="1">
      <c r="A77" s="409" t="s">
        <v>157</v>
      </c>
      <c r="B77" s="654">
        <v>3.1</v>
      </c>
      <c r="C77" s="654"/>
      <c r="D77" s="654"/>
      <c r="E77" s="654"/>
      <c r="F77" s="654">
        <v>8</v>
      </c>
      <c r="G77" s="654">
        <v>13</v>
      </c>
      <c r="H77" s="654">
        <v>15.9</v>
      </c>
      <c r="I77" s="654">
        <v>15</v>
      </c>
      <c r="J77" s="654"/>
      <c r="K77" s="654"/>
      <c r="L77" s="654"/>
      <c r="M77" s="654"/>
      <c r="N77" s="654"/>
      <c r="O77" s="654"/>
      <c r="P77" s="612"/>
      <c r="Q77" s="99">
        <f t="shared" si="20"/>
        <v>11</v>
      </c>
      <c r="R77" s="100">
        <f t="shared" si="21"/>
        <v>15.9</v>
      </c>
      <c r="S77" s="100">
        <f t="shared" si="3"/>
        <v>15.45</v>
      </c>
    </row>
    <row r="78" spans="1:19">
      <c r="A78" s="262" t="s">
        <v>158</v>
      </c>
      <c r="B78" s="654"/>
      <c r="C78" s="654"/>
      <c r="D78" s="654"/>
      <c r="E78" s="654"/>
      <c r="F78" s="654">
        <v>7.8</v>
      </c>
      <c r="G78" s="654">
        <v>13</v>
      </c>
      <c r="H78" s="654">
        <v>15.7</v>
      </c>
      <c r="I78" s="654">
        <v>14.7</v>
      </c>
      <c r="J78" s="654"/>
      <c r="K78" s="654"/>
      <c r="L78" s="654"/>
      <c r="M78" s="654"/>
      <c r="N78" s="654"/>
      <c r="O78" s="654"/>
      <c r="P78" s="612"/>
      <c r="Q78" s="99">
        <f t="shared" si="20"/>
        <v>12.8</v>
      </c>
      <c r="R78" s="100">
        <f t="shared" si="21"/>
        <v>15.7</v>
      </c>
      <c r="S78" s="100">
        <f t="shared" si="3"/>
        <v>15.2</v>
      </c>
    </row>
    <row r="79" spans="1:19">
      <c r="A79" s="269" t="s">
        <v>364</v>
      </c>
      <c r="B79" s="273">
        <f>AVERAGE(B67:B78)</f>
        <v>2.3818181818181823</v>
      </c>
      <c r="C79" s="273"/>
      <c r="D79" s="273">
        <f>AVERAGE(D67:D70)</f>
        <v>7.5749999999999993</v>
      </c>
      <c r="E79" s="273">
        <f t="shared" ref="E79:P79" si="22">AVERAGE(E67:E70)</f>
        <v>8.6750000000000007</v>
      </c>
      <c r="F79" s="273">
        <f t="shared" si="22"/>
        <v>11.174999999999999</v>
      </c>
      <c r="G79" s="273">
        <f t="shared" si="22"/>
        <v>18.3</v>
      </c>
      <c r="H79" s="273">
        <f t="shared" si="22"/>
        <v>20.575000000000003</v>
      </c>
      <c r="I79" s="273">
        <f t="shared" si="22"/>
        <v>18.375</v>
      </c>
      <c r="J79" s="273">
        <f t="shared" si="22"/>
        <v>18.925000000000001</v>
      </c>
      <c r="K79" s="273">
        <f t="shared" si="22"/>
        <v>18.350000000000001</v>
      </c>
      <c r="L79" s="273">
        <f t="shared" si="22"/>
        <v>17.75</v>
      </c>
      <c r="M79" s="273">
        <f t="shared" si="22"/>
        <v>17.424999999999997</v>
      </c>
      <c r="N79" s="273">
        <f t="shared" si="22"/>
        <v>14.1</v>
      </c>
      <c r="O79" s="273">
        <f t="shared" si="22"/>
        <v>5.5</v>
      </c>
      <c r="P79" s="273">
        <f t="shared" si="22"/>
        <v>1.0249999999999999</v>
      </c>
    </row>
    <row r="80" spans="1:19">
      <c r="A80" s="262" t="s">
        <v>362</v>
      </c>
      <c r="B80" s="273">
        <f t="shared" ref="B80:P80" si="23">AVERAGE(B67:B78)</f>
        <v>2.3818181818181823</v>
      </c>
      <c r="C80" s="273"/>
      <c r="D80" s="273">
        <f t="shared" si="23"/>
        <v>7.2100000000000009</v>
      </c>
      <c r="E80" s="273">
        <f t="shared" si="23"/>
        <v>8.2000000000000011</v>
      </c>
      <c r="F80" s="273">
        <f t="shared" si="23"/>
        <v>9.9416666666666664</v>
      </c>
      <c r="G80" s="273">
        <f t="shared" si="23"/>
        <v>15.475000000000001</v>
      </c>
      <c r="H80" s="273">
        <f t="shared" si="23"/>
        <v>18.45</v>
      </c>
      <c r="I80" s="273">
        <f t="shared" si="23"/>
        <v>16.80833333333333</v>
      </c>
      <c r="J80" s="273">
        <f t="shared" si="23"/>
        <v>18.04</v>
      </c>
      <c r="K80" s="273">
        <f t="shared" si="23"/>
        <v>17.809999999999999</v>
      </c>
      <c r="L80" s="273">
        <f t="shared" si="23"/>
        <v>17.43</v>
      </c>
      <c r="M80" s="273">
        <f t="shared" si="23"/>
        <v>17.019999999999996</v>
      </c>
      <c r="N80" s="273">
        <f t="shared" si="23"/>
        <v>14.000000000000004</v>
      </c>
      <c r="O80" s="273">
        <f t="shared" si="23"/>
        <v>5.2999999999999989</v>
      </c>
      <c r="P80" s="273">
        <f t="shared" si="23"/>
        <v>1.8399999999999999</v>
      </c>
    </row>
  </sheetData>
  <mergeCells count="6">
    <mergeCell ref="A66:S66"/>
    <mergeCell ref="A1:P1"/>
    <mergeCell ref="A6:S6"/>
    <mergeCell ref="A24:S24"/>
    <mergeCell ref="A39:S39"/>
    <mergeCell ref="A54:S54"/>
  </mergeCells>
  <phoneticPr fontId="0" type="noConversion"/>
  <pageMargins left="0.75" right="0.75" top="1" bottom="1" header="0.5" footer="0.5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17</vt:i4>
      </vt:variant>
    </vt:vector>
  </HeadingPairs>
  <TitlesOfParts>
    <vt:vector size="54" baseType="lpstr">
      <vt:lpstr>Reservoir Summary Stats</vt:lpstr>
      <vt:lpstr>Annual Reservoir Trends</vt:lpstr>
      <vt:lpstr>Nitrogen Trends</vt:lpstr>
      <vt:lpstr>Phosphorus Trends</vt:lpstr>
      <vt:lpstr>Loading</vt:lpstr>
      <vt:lpstr>Carlson</vt:lpstr>
      <vt:lpstr>Walker</vt:lpstr>
      <vt:lpstr>Monthly Discharge</vt:lpstr>
      <vt:lpstr>Temperature</vt:lpstr>
      <vt:lpstr>Conductance</vt:lpstr>
      <vt:lpstr>pH</vt:lpstr>
      <vt:lpstr>Oxygen</vt:lpstr>
      <vt:lpstr>Temp DO Comp</vt:lpstr>
      <vt:lpstr>T &amp; Diss Phosphorus</vt:lpstr>
      <vt:lpstr>Nitrate &amp; T Nitrogen</vt:lpstr>
      <vt:lpstr>TSS</vt:lpstr>
      <vt:lpstr>Chlsecchi</vt:lpstr>
      <vt:lpstr>GEI P1 Sites</vt:lpstr>
      <vt:lpstr>P1 Summary</vt:lpstr>
      <vt:lpstr>GEI Coyote Gulch</vt:lpstr>
      <vt:lpstr>Coyote Summary</vt:lpstr>
      <vt:lpstr>GEI Kerr Swede Lab</vt:lpstr>
      <vt:lpstr>GEI Mt Evans</vt:lpstr>
      <vt:lpstr>Mt Evans Summary</vt:lpstr>
      <vt:lpstr>Fen Study</vt:lpstr>
      <vt:lpstr>GEI Watershed</vt:lpstr>
      <vt:lpstr>MWS 2015 Field</vt:lpstr>
      <vt:lpstr>MWS 2015 chemistry</vt:lpstr>
      <vt:lpstr>GEI EGL</vt:lpstr>
      <vt:lpstr>EGL Summary</vt:lpstr>
      <vt:lpstr>2015 Sediment</vt:lpstr>
      <vt:lpstr>Macro</vt:lpstr>
      <vt:lpstr>2015 Sites </vt:lpstr>
      <vt:lpstr>Parameters 2015</vt:lpstr>
      <vt:lpstr>Methods Labratory</vt:lpstr>
      <vt:lpstr>P1 Field Sheet</vt:lpstr>
      <vt:lpstr>Field WS</vt:lpstr>
      <vt:lpstr>'2015 Sediment'!Print_Area</vt:lpstr>
      <vt:lpstr>Carlson!Print_Area</vt:lpstr>
      <vt:lpstr>Chlsecchi!Print_Area</vt:lpstr>
      <vt:lpstr>Conductance!Print_Area</vt:lpstr>
      <vt:lpstr>'Field WS'!Print_Area</vt:lpstr>
      <vt:lpstr>Loading!Print_Area</vt:lpstr>
      <vt:lpstr>'Mt Evans Summary'!Print_Area</vt:lpstr>
      <vt:lpstr>'Nitrate &amp; T Nitrogen'!Print_Area</vt:lpstr>
      <vt:lpstr>Oxygen!Print_Area</vt:lpstr>
      <vt:lpstr>'P1 Field Sheet'!Print_Area</vt:lpstr>
      <vt:lpstr>'P1 Summary'!Print_Area</vt:lpstr>
      <vt:lpstr>pH!Print_Area</vt:lpstr>
      <vt:lpstr>'T &amp; Diss Phosphorus'!Print_Area</vt:lpstr>
      <vt:lpstr>'Temp DO Comp'!Print_Area</vt:lpstr>
      <vt:lpstr>Temperature!Print_Area</vt:lpstr>
      <vt:lpstr>TSS!Print_Area</vt:lpstr>
      <vt:lpstr>Walker!Print_Area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RNC Consulting LLC</cp:lastModifiedBy>
  <cp:lastPrinted>2016-01-26T18:12:07Z</cp:lastPrinted>
  <dcterms:created xsi:type="dcterms:W3CDTF">2000-11-21T22:42:26Z</dcterms:created>
  <dcterms:modified xsi:type="dcterms:W3CDTF">2020-03-03T20:07:41Z</dcterms:modified>
</cp:coreProperties>
</file>