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6.xml" ContentType="application/vnd.openxmlformats-officedocument.drawing+xml"/>
  <Override PartName="/xl/charts/chart22.xml" ContentType="application/vnd.openxmlformats-officedocument.drawingml.chart+xml"/>
  <Override PartName="/xl/drawings/drawing7.xml" ContentType="application/vnd.openxmlformats-officedocument.drawingml.chartshapes+xml"/>
  <Override PartName="/xl/charts/chart2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24.xml" ContentType="application/vnd.openxmlformats-officedocument.drawingml.chart+xml"/>
  <Override PartName="/xl/drawings/drawing10.xml" ContentType="application/vnd.openxmlformats-officedocument.drawingml.chartshapes+xml"/>
  <Override PartName="/xl/charts/chart25.xml" ContentType="application/vnd.openxmlformats-officedocument.drawingml.chart+xml"/>
  <Override PartName="/xl/drawings/drawing1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2.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drawings/drawing13.xml" ContentType="application/vnd.openxmlformats-officedocument.drawing+xml"/>
  <Override PartName="/xl/charts/chart33.xml" ContentType="application/vnd.openxmlformats-officedocument.drawingml.chart+xml"/>
  <Override PartName="/xl/charts/chart34.xml" ContentType="application/vnd.openxmlformats-officedocument.drawingml.chart+xml"/>
  <Override PartName="/xl/drawings/drawing14.xml" ContentType="application/vnd.openxmlformats-officedocument.drawing+xml"/>
  <Override PartName="/xl/charts/chart35.xml" ContentType="application/vnd.openxmlformats-officedocument.drawingml.chart+xml"/>
  <Override PartName="/xl/charts/chart36.xml" ContentType="application/vnd.openxmlformats-officedocument.drawingml.chart+xml"/>
  <Override PartName="/xl/drawings/drawing1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16.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17.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8.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drawings/drawing19.xml" ContentType="application/vnd.openxmlformats-officedocument.drawing+xml"/>
  <Override PartName="/xl/charts/chart48.xml" ContentType="application/vnd.openxmlformats-officedocument.drawingml.chart+xml"/>
  <Override PartName="/xl/drawings/drawing20.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drawings/drawing21.xml" ContentType="application/vnd.openxmlformats-officedocument.drawing+xml"/>
  <Override PartName="/xl/charts/chart51.xml" ContentType="application/vnd.openxmlformats-officedocument.drawingml.chart+xml"/>
  <Override PartName="/xl/charts/chart52.xml" ContentType="application/vnd.openxmlformats-officedocument.drawingml.chart+xml"/>
  <Override PartName="/xl/drawings/drawing22.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drawings/drawing24.xml" ContentType="application/vnd.openxmlformats-officedocument.drawing+xml"/>
  <Override PartName="/xl/charts/chart63.xml" ContentType="application/vnd.openxmlformats-officedocument.drawingml.chart+xml"/>
  <Override PartName="/xl/drawings/drawing2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drawings/drawing26.xml" ContentType="application/vnd.openxmlformats-officedocument.drawing+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7.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C:\Users\RNC Consulting LLC\Documents\BCWA Working\BCWA Watershed Plan Working\MSD-Year P1 P4 Master Spreadsheets\"/>
    </mc:Choice>
  </mc:AlternateContent>
  <xr:revisionPtr revIDLastSave="0" documentId="13_ncr:1_{9BBBFE65-1236-4048-882B-6C2981DC268C}" xr6:coauthVersionLast="45" xr6:coauthVersionMax="45" xr10:uidLastSave="{00000000-0000-0000-0000-000000000000}"/>
  <bookViews>
    <workbookView xWindow="-110" yWindow="-110" windowWidth="19420" windowHeight="10420" tabRatio="930" firstSheet="18" activeTab="25" xr2:uid="{00000000-000D-0000-FFFF-FFFF00000000}"/>
  </bookViews>
  <sheets>
    <sheet name="Reservoir Sample Sites" sheetId="30" r:id="rId1"/>
    <sheet name="2012 Reservoir Summary Stats" sheetId="19" r:id="rId2"/>
    <sheet name="Annual Reservoir Trends" sheetId="24" r:id="rId3"/>
    <sheet name="Nitrate Trends" sheetId="23" r:id="rId4"/>
    <sheet name="Phosphorus Trends" sheetId="22" r:id="rId5"/>
    <sheet name="Loading" sheetId="21" r:id="rId6"/>
    <sheet name="Carlson" sheetId="20" r:id="rId7"/>
    <sheet name="Walker" sheetId="25" r:id="rId8"/>
    <sheet name="Monthly Discharge" sheetId="26" r:id="rId9"/>
    <sheet name="Temperature" sheetId="13" r:id="rId10"/>
    <sheet name="Conductance" sheetId="1" r:id="rId11"/>
    <sheet name="pH" sheetId="7" r:id="rId12"/>
    <sheet name="Oxygen" sheetId="8" r:id="rId13"/>
    <sheet name="Temp DO Comp" sheetId="49" r:id="rId14"/>
    <sheet name="T &amp; Diss Phosphorus" sheetId="3" r:id="rId15"/>
    <sheet name="Nitrate &amp; T Nitrogen" sheetId="15" r:id="rId16"/>
    <sheet name="TSS" sheetId="12" r:id="rId17"/>
    <sheet name="Chlsecchi" sheetId="14" r:id="rId18"/>
    <sheet name="Phytoplankton" sheetId="18" r:id="rId19"/>
    <sheet name="Monthly Chemistry" sheetId="34" r:id="rId20"/>
    <sheet name="WS 2012 chemistry" sheetId="56" r:id="rId21"/>
    <sheet name="WS 2012 Field" sheetId="72" r:id="rId22"/>
    <sheet name="2012 WS Flow" sheetId="66" r:id="rId23"/>
    <sheet name="Genesee Reservoir" sheetId="65" r:id="rId24"/>
    <sheet name="Soda Lake " sheetId="73" r:id="rId25"/>
    <sheet name="Evergreen Lake" sheetId="64" r:id="rId26"/>
    <sheet name="Sediment" sheetId="57" r:id="rId27"/>
    <sheet name="Grain Size" sheetId="58" r:id="rId28"/>
    <sheet name="T Standards" sheetId="59" r:id="rId29"/>
    <sheet name="Rec Use" sheetId="60" r:id="rId30"/>
    <sheet name="Transition" sheetId="62" r:id="rId31"/>
    <sheet name="303d List " sheetId="63" r:id="rId32"/>
    <sheet name="Field Sheet" sheetId="31" r:id="rId33"/>
    <sheet name="Temp analysis" sheetId="67" r:id="rId34"/>
    <sheet name="Air T Evergreen" sheetId="68" r:id="rId35"/>
    <sheet name="Horse Manure" sheetId="70" r:id="rId36"/>
    <sheet name="Mt Evans" sheetId="71" r:id="rId37"/>
    <sheet name="Monitoring Parametrs 2013" sheetId="77" r:id="rId38"/>
    <sheet name="2013 P3 Monitoring Sites" sheetId="74" r:id="rId39"/>
    <sheet name="WWTP" sheetId="76" r:id="rId40"/>
    <sheet name="Monitoring Costs" sheetId="78" r:id="rId41"/>
    <sheet name="Sheet1" sheetId="79" r:id="rId42"/>
  </sheets>
  <externalReferences>
    <externalReference r:id="rId43"/>
  </externalReferences>
  <definedNames>
    <definedName name="_xlnm.Print_Area" localSheetId="38">'2013 P3 Monitoring Sites'!$A$2:$G$75</definedName>
    <definedName name="_xlnm.Print_Area" localSheetId="6">Carlson!$M$52:$Y$93</definedName>
    <definedName name="_xlnm.Print_Area" localSheetId="17">Chlsecchi!$A$1:$P$62</definedName>
    <definedName name="_xlnm.Print_Area" localSheetId="10">Conductance!$A$1:$P$22</definedName>
    <definedName name="_xlnm.Print_Area" localSheetId="32">'Field Sheet'!$A$56:$H$108</definedName>
    <definedName name="_xlnm.Print_Area" localSheetId="5">Loading!$A$81:$N$113</definedName>
    <definedName name="_xlnm.Print_Area" localSheetId="19">'Monthly Chemistry'!$A$2:$M$29</definedName>
    <definedName name="_xlnm.Print_Area" localSheetId="36">'Mt Evans'!$V$3:$AC$26</definedName>
    <definedName name="_xlnm.Print_Area" localSheetId="15">'Nitrate &amp; T Nitrogen'!#REF!</definedName>
    <definedName name="_xlnm.Print_Area" localSheetId="12">Oxygen!$A$1:$Q$24</definedName>
    <definedName name="_xlnm.Print_Area" localSheetId="11">pH!$A$1:$Q$10</definedName>
    <definedName name="_xlnm.Print_Area" localSheetId="29">'Rec Use'!$S$1:$AF$40</definedName>
    <definedName name="_xlnm.Print_Area" localSheetId="26">Sediment!$A$1:$H$24</definedName>
    <definedName name="_xlnm.Print_Area" localSheetId="14">'T &amp; Diss Phosphorus'!#REF!</definedName>
    <definedName name="_xlnm.Print_Area" localSheetId="13">'Temp DO Comp'!$S$1:$AJ$8</definedName>
    <definedName name="_xlnm.Print_Area" localSheetId="9">Temperature!$A$2:$T$74</definedName>
    <definedName name="_xlnm.Print_Area" localSheetId="16">TSS!$A$1:$T$21</definedName>
    <definedName name="_xlnm.Print_Area" localSheetId="7">Walker!$M$50:$AL$86</definedName>
    <definedName name="_xlnm.Print_Area" localSheetId="20">'WS 2012 chemistry'!#REF!</definedName>
    <definedName name="_xlnm.Print_Titles" localSheetId="18">Phytoplankton!#REF!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6" i="64" l="1"/>
  <c r="F5" i="64"/>
  <c r="F6" i="64"/>
  <c r="F7" i="64"/>
  <c r="F8" i="64"/>
  <c r="F9" i="64"/>
  <c r="F4" i="64"/>
  <c r="D76" i="18" l="1"/>
  <c r="D9" i="58"/>
  <c r="E9" i="58"/>
  <c r="F9" i="58"/>
  <c r="G9" i="58"/>
  <c r="D10" i="58"/>
  <c r="E10" i="58"/>
  <c r="F10" i="58"/>
  <c r="G10" i="58"/>
  <c r="D11" i="58"/>
  <c r="E11" i="58"/>
  <c r="F11" i="58"/>
  <c r="G11" i="58"/>
  <c r="D12" i="58"/>
  <c r="E12" i="58"/>
  <c r="F12" i="58"/>
  <c r="G12" i="58"/>
  <c r="D13" i="58"/>
  <c r="E13" i="58"/>
  <c r="F13" i="58"/>
  <c r="G13" i="58"/>
  <c r="D14" i="58"/>
  <c r="E14" i="58"/>
  <c r="F14" i="58"/>
  <c r="G14" i="58"/>
  <c r="D15" i="58"/>
  <c r="E15" i="58"/>
  <c r="F15" i="58"/>
  <c r="G15" i="58"/>
  <c r="D16" i="58"/>
  <c r="E16" i="58"/>
  <c r="F16" i="58"/>
  <c r="G16" i="58"/>
  <c r="D17" i="58"/>
  <c r="E17" i="58"/>
  <c r="F17" i="58"/>
  <c r="G17" i="58"/>
  <c r="D18" i="58"/>
  <c r="E18" i="58"/>
  <c r="F18" i="58"/>
  <c r="G18" i="58"/>
  <c r="D19" i="58"/>
  <c r="E19" i="58"/>
  <c r="F19" i="58"/>
  <c r="G19" i="58"/>
  <c r="D20" i="58"/>
  <c r="E20" i="58"/>
  <c r="F20" i="58"/>
  <c r="G20" i="58"/>
  <c r="C10" i="58"/>
  <c r="C11" i="58"/>
  <c r="C12" i="58"/>
  <c r="C13" i="58"/>
  <c r="C14" i="58"/>
  <c r="C15" i="58"/>
  <c r="C16" i="58"/>
  <c r="C17" i="58"/>
  <c r="C18" i="58"/>
  <c r="C19" i="58"/>
  <c r="C20" i="58"/>
  <c r="C9" i="58"/>
  <c r="D7" i="58"/>
  <c r="E7" i="58"/>
  <c r="F7" i="58"/>
  <c r="G7" i="58"/>
  <c r="C7" i="58"/>
  <c r="D6" i="58"/>
  <c r="E6" i="58"/>
  <c r="F6" i="58"/>
  <c r="G6" i="58"/>
  <c r="C6" i="58"/>
  <c r="D5" i="58"/>
  <c r="E5" i="58"/>
  <c r="F5" i="58"/>
  <c r="G5" i="58"/>
  <c r="C5" i="58"/>
  <c r="D4" i="58"/>
  <c r="E4" i="58"/>
  <c r="F4" i="58"/>
  <c r="G4" i="58"/>
  <c r="C4" i="58"/>
  <c r="Q5" i="26"/>
  <c r="Q6" i="26"/>
  <c r="G96" i="22" l="1"/>
  <c r="G120" i="22" s="1"/>
  <c r="C120" i="23"/>
  <c r="G119" i="23" s="1"/>
  <c r="C9" i="18"/>
  <c r="C10" i="18"/>
  <c r="D9" i="18"/>
  <c r="D10" i="18"/>
  <c r="E9" i="18"/>
  <c r="E10" i="18"/>
  <c r="F9" i="18"/>
  <c r="F10" i="18"/>
  <c r="F8" i="18"/>
  <c r="E8" i="18"/>
  <c r="D8" i="18"/>
  <c r="C8" i="18"/>
  <c r="B9" i="18"/>
  <c r="B10" i="18"/>
  <c r="B8" i="18"/>
  <c r="C8" i="21"/>
  <c r="D8" i="21"/>
  <c r="E8" i="21"/>
  <c r="F8" i="21"/>
  <c r="G8" i="21"/>
  <c r="H8" i="21"/>
  <c r="I8" i="21"/>
  <c r="J8" i="21"/>
  <c r="K8" i="21"/>
  <c r="L8" i="21"/>
  <c r="M8" i="21"/>
  <c r="B8" i="21"/>
  <c r="C61" i="21"/>
  <c r="D61" i="21"/>
  <c r="E61" i="21"/>
  <c r="F61" i="21"/>
  <c r="G61" i="21"/>
  <c r="H61" i="21"/>
  <c r="I61" i="21"/>
  <c r="J61" i="21"/>
  <c r="K61" i="21"/>
  <c r="L61" i="21"/>
  <c r="M61" i="21"/>
  <c r="B61" i="21"/>
  <c r="N53" i="21"/>
  <c r="C33" i="21"/>
  <c r="D33" i="21"/>
  <c r="E33" i="21"/>
  <c r="F33" i="21"/>
  <c r="G33" i="21"/>
  <c r="H33" i="21"/>
  <c r="I33" i="21"/>
  <c r="J33" i="21"/>
  <c r="K33" i="21"/>
  <c r="L33" i="21"/>
  <c r="M33" i="21"/>
  <c r="B33" i="21"/>
  <c r="N27" i="21"/>
  <c r="C20" i="21"/>
  <c r="D20" i="21"/>
  <c r="E20" i="21"/>
  <c r="F20" i="21"/>
  <c r="G20" i="21"/>
  <c r="H20" i="21"/>
  <c r="I20" i="21"/>
  <c r="J20" i="21"/>
  <c r="K20" i="21"/>
  <c r="L20" i="21"/>
  <c r="M20" i="21"/>
  <c r="B20" i="21"/>
  <c r="N13" i="21"/>
  <c r="C46" i="21"/>
  <c r="D46" i="21"/>
  <c r="E46" i="21"/>
  <c r="F46" i="21"/>
  <c r="G46" i="21"/>
  <c r="H46" i="21"/>
  <c r="I46" i="21"/>
  <c r="J46" i="21"/>
  <c r="K46" i="21"/>
  <c r="L46" i="21"/>
  <c r="M46" i="21"/>
  <c r="B46" i="21"/>
  <c r="N40" i="21"/>
  <c r="N7" i="21"/>
  <c r="B37" i="7"/>
  <c r="C37" i="7"/>
  <c r="D37" i="7"/>
  <c r="E37" i="7"/>
  <c r="F37" i="7"/>
  <c r="G37" i="7"/>
  <c r="H37" i="7"/>
  <c r="I37" i="7"/>
  <c r="J37" i="7"/>
  <c r="K37" i="7"/>
  <c r="L37" i="7"/>
  <c r="M37" i="7"/>
  <c r="N37" i="7"/>
  <c r="O37" i="7"/>
  <c r="P37" i="7"/>
  <c r="B38" i="7"/>
  <c r="C38" i="7"/>
  <c r="D38" i="7"/>
  <c r="E38" i="7"/>
  <c r="F38" i="7"/>
  <c r="G38" i="7"/>
  <c r="H38" i="7"/>
  <c r="I38" i="7"/>
  <c r="J38" i="7"/>
  <c r="K38" i="7"/>
  <c r="L38" i="7"/>
  <c r="M38" i="7"/>
  <c r="N38" i="7"/>
  <c r="O38" i="7"/>
  <c r="P38" i="7"/>
  <c r="AF17" i="60"/>
  <c r="Q17" i="60"/>
  <c r="AE9" i="60"/>
  <c r="AD9" i="60"/>
  <c r="AC9" i="60"/>
  <c r="AB9" i="60"/>
  <c r="AA9" i="60"/>
  <c r="Z9" i="60"/>
  <c r="Y9" i="60"/>
  <c r="X9" i="60"/>
  <c r="W9" i="60"/>
  <c r="V9" i="60"/>
  <c r="U9" i="60"/>
  <c r="T9" i="60"/>
  <c r="AE4" i="60"/>
  <c r="AE5" i="60"/>
  <c r="AE6" i="60"/>
  <c r="AE7" i="60"/>
  <c r="AE8" i="60"/>
  <c r="AE11" i="60"/>
  <c r="AE12" i="60"/>
  <c r="AE13" i="60"/>
  <c r="AE14" i="60"/>
  <c r="AE15" i="60"/>
  <c r="AE16" i="60"/>
  <c r="AD4" i="60"/>
  <c r="AD5" i="60"/>
  <c r="AD6" i="60"/>
  <c r="AD7" i="60"/>
  <c r="AD8" i="60"/>
  <c r="AD11" i="60"/>
  <c r="AD12" i="60"/>
  <c r="AD13" i="60"/>
  <c r="AD14" i="60"/>
  <c r="AD15" i="60"/>
  <c r="AD16" i="60"/>
  <c r="AE3" i="60"/>
  <c r="AD3" i="60"/>
  <c r="AC4" i="60"/>
  <c r="AC5" i="60"/>
  <c r="AC6" i="60"/>
  <c r="AC7" i="60"/>
  <c r="AC8" i="60"/>
  <c r="AC11" i="60"/>
  <c r="AC12" i="60"/>
  <c r="AC13" i="60"/>
  <c r="AC14" i="60"/>
  <c r="AC15" i="60"/>
  <c r="AC16" i="60"/>
  <c r="AC3" i="60"/>
  <c r="AB4" i="60"/>
  <c r="AB5" i="60"/>
  <c r="AB6" i="60"/>
  <c r="AB7" i="60"/>
  <c r="AB8" i="60"/>
  <c r="AB11" i="60"/>
  <c r="AB12" i="60"/>
  <c r="AB13" i="60"/>
  <c r="AB14" i="60"/>
  <c r="AB15" i="60"/>
  <c r="AB16" i="60"/>
  <c r="AB3" i="60"/>
  <c r="AA4" i="60"/>
  <c r="AA5" i="60"/>
  <c r="AA6" i="60"/>
  <c r="AA7" i="60"/>
  <c r="AA8" i="60"/>
  <c r="AA11" i="60"/>
  <c r="AA12" i="60"/>
  <c r="AA13" i="60"/>
  <c r="AA14" i="60"/>
  <c r="AA15" i="60"/>
  <c r="AA16" i="60"/>
  <c r="AA3" i="60"/>
  <c r="Z4" i="60"/>
  <c r="Z5" i="60"/>
  <c r="Z6" i="60"/>
  <c r="Z7" i="60"/>
  <c r="Z8" i="60"/>
  <c r="Z11" i="60"/>
  <c r="Z12" i="60"/>
  <c r="Z13" i="60"/>
  <c r="Z14" i="60"/>
  <c r="Z15" i="60"/>
  <c r="Z16" i="60"/>
  <c r="Z3" i="60"/>
  <c r="Y4" i="60"/>
  <c r="Y5" i="60"/>
  <c r="Y6" i="60"/>
  <c r="Y7" i="60"/>
  <c r="Y8" i="60"/>
  <c r="Y11" i="60"/>
  <c r="Y12" i="60"/>
  <c r="Y13" i="60"/>
  <c r="Y14" i="60"/>
  <c r="Y15" i="60"/>
  <c r="Y16" i="60"/>
  <c r="Y3" i="60"/>
  <c r="X4" i="60"/>
  <c r="X5" i="60"/>
  <c r="X6" i="60"/>
  <c r="X7" i="60"/>
  <c r="X8" i="60"/>
  <c r="X11" i="60"/>
  <c r="X12" i="60"/>
  <c r="X13" i="60"/>
  <c r="X14" i="60"/>
  <c r="X15" i="60"/>
  <c r="X16" i="60"/>
  <c r="X3" i="60"/>
  <c r="W4" i="60"/>
  <c r="W5" i="60"/>
  <c r="W6" i="60"/>
  <c r="W7" i="60"/>
  <c r="W8" i="60"/>
  <c r="W11" i="60"/>
  <c r="W12" i="60"/>
  <c r="W13" i="60"/>
  <c r="W14" i="60"/>
  <c r="W15" i="60"/>
  <c r="W16" i="60"/>
  <c r="W3" i="60"/>
  <c r="V4" i="60"/>
  <c r="V5" i="60"/>
  <c r="V6" i="60"/>
  <c r="V7" i="60"/>
  <c r="V8" i="60"/>
  <c r="V11" i="60"/>
  <c r="V12" i="60"/>
  <c r="V13" i="60"/>
  <c r="V14" i="60"/>
  <c r="V15" i="60"/>
  <c r="V16" i="60"/>
  <c r="V3" i="60"/>
  <c r="U4" i="60"/>
  <c r="U5" i="60"/>
  <c r="U6" i="60"/>
  <c r="U7" i="60"/>
  <c r="U8" i="60"/>
  <c r="U11" i="60"/>
  <c r="U12" i="60"/>
  <c r="U13" i="60"/>
  <c r="U14" i="60"/>
  <c r="U15" i="60"/>
  <c r="U16" i="60"/>
  <c r="U3" i="60"/>
  <c r="T4" i="60"/>
  <c r="T5" i="60"/>
  <c r="T6" i="60"/>
  <c r="T7" i="60"/>
  <c r="T8" i="60"/>
  <c r="T11" i="60"/>
  <c r="T12" i="60"/>
  <c r="T13" i="60"/>
  <c r="T14" i="60"/>
  <c r="T15" i="60"/>
  <c r="T16" i="60"/>
  <c r="T3" i="60"/>
  <c r="G19" i="78"/>
  <c r="H19" i="78" s="1"/>
  <c r="G18" i="78"/>
  <c r="H18" i="78" s="1"/>
  <c r="G17" i="78"/>
  <c r="H17" i="78" s="1"/>
  <c r="G16" i="78"/>
  <c r="H16" i="78" s="1"/>
  <c r="G15" i="78"/>
  <c r="H15" i="78" s="1"/>
  <c r="G14" i="78"/>
  <c r="H14" i="78" s="1"/>
  <c r="G13" i="78"/>
  <c r="H13" i="78" s="1"/>
  <c r="G12" i="78"/>
  <c r="H12" i="78" s="1"/>
  <c r="G11" i="78"/>
  <c r="H11" i="78" s="1"/>
  <c r="G10" i="78"/>
  <c r="H10" i="78" s="1"/>
  <c r="G9" i="78"/>
  <c r="H9" i="78" s="1"/>
  <c r="G8" i="78"/>
  <c r="H8" i="78" s="1"/>
  <c r="G7" i="78"/>
  <c r="H7" i="78" s="1"/>
  <c r="G6" i="78"/>
  <c r="H6" i="78" s="1"/>
  <c r="G5" i="78"/>
  <c r="H5" i="78" s="1"/>
  <c r="R4" i="78"/>
  <c r="G4" i="78"/>
  <c r="Q3" i="78"/>
  <c r="Q4" i="78" s="1"/>
  <c r="P3" i="78"/>
  <c r="P4" i="78" s="1"/>
  <c r="O3" i="78"/>
  <c r="O4" i="78" s="1"/>
  <c r="N3" i="78"/>
  <c r="N4" i="78" s="1"/>
  <c r="M3" i="78"/>
  <c r="M4" i="78" s="1"/>
  <c r="L3" i="78"/>
  <c r="L4" i="78" s="1"/>
  <c r="K3" i="78"/>
  <c r="K4" i="78" s="1"/>
  <c r="AW26" i="25"/>
  <c r="AW27" i="25" s="1"/>
  <c r="AW23" i="25"/>
  <c r="AW24" i="25" s="1"/>
  <c r="AW20" i="25"/>
  <c r="AW21" i="25" s="1"/>
  <c r="AW17" i="25"/>
  <c r="AW18" i="25" s="1"/>
  <c r="AW12" i="25"/>
  <c r="AW9" i="25"/>
  <c r="AW10" i="25" s="1"/>
  <c r="AW6" i="25"/>
  <c r="AW7" i="25" s="1"/>
  <c r="AW3" i="25"/>
  <c r="AW4" i="25" s="1"/>
  <c r="X36" i="20"/>
  <c r="X37" i="20" s="1"/>
  <c r="X33" i="20"/>
  <c r="X34" i="20" s="1"/>
  <c r="X30" i="20"/>
  <c r="X31" i="20" s="1"/>
  <c r="X25" i="20"/>
  <c r="X26" i="20" s="1"/>
  <c r="X22" i="20"/>
  <c r="X23" i="20" s="1"/>
  <c r="X19" i="20"/>
  <c r="X20" i="20" s="1"/>
  <c r="R5" i="14"/>
  <c r="X9" i="24"/>
  <c r="Y22" i="24"/>
  <c r="X21" i="24"/>
  <c r="AJ36" i="24" s="1"/>
  <c r="X17" i="24"/>
  <c r="AJ33" i="24" s="1"/>
  <c r="X13" i="24"/>
  <c r="AJ30" i="24" s="1"/>
  <c r="Y4" i="24"/>
  <c r="X6" i="24"/>
  <c r="Y12" i="24"/>
  <c r="Y10" i="24"/>
  <c r="Q14" i="14"/>
  <c r="Q15" i="14" s="1"/>
  <c r="Q73" i="8"/>
  <c r="Q74" i="8"/>
  <c r="Q60" i="8"/>
  <c r="Q61" i="8"/>
  <c r="Q22" i="8"/>
  <c r="Q23" i="8"/>
  <c r="Q22" i="7"/>
  <c r="Q23" i="7"/>
  <c r="Q73" i="7"/>
  <c r="Q74" i="7"/>
  <c r="Q60" i="7"/>
  <c r="Q61" i="7"/>
  <c r="Q74" i="1"/>
  <c r="Q75" i="1"/>
  <c r="Q61" i="1"/>
  <c r="Q62" i="1"/>
  <c r="Q22" i="1"/>
  <c r="Q23" i="1"/>
  <c r="Q73" i="13"/>
  <c r="Q74" i="13"/>
  <c r="Q61" i="13"/>
  <c r="Q60" i="13"/>
  <c r="Q23" i="13"/>
  <c r="Q22" i="13"/>
  <c r="B30" i="21"/>
  <c r="C30" i="21"/>
  <c r="D30" i="21"/>
  <c r="E30" i="21"/>
  <c r="F30" i="21"/>
  <c r="G30" i="21"/>
  <c r="H30" i="21"/>
  <c r="I30" i="21"/>
  <c r="J30" i="21"/>
  <c r="K30" i="21"/>
  <c r="K31" i="21"/>
  <c r="B31" i="21"/>
  <c r="C31" i="21"/>
  <c r="D31" i="21"/>
  <c r="E31" i="21"/>
  <c r="F31" i="21"/>
  <c r="G31" i="21"/>
  <c r="H31" i="21"/>
  <c r="I31" i="21"/>
  <c r="J31" i="21"/>
  <c r="W4" i="26"/>
  <c r="W5" i="26"/>
  <c r="P14" i="14"/>
  <c r="P15" i="14" s="1"/>
  <c r="P73" i="8"/>
  <c r="P74" i="8"/>
  <c r="P60" i="8"/>
  <c r="P61" i="8"/>
  <c r="P49" i="8"/>
  <c r="P50" i="8"/>
  <c r="P37" i="8"/>
  <c r="P38" i="8"/>
  <c r="P22" i="8"/>
  <c r="P23" i="8"/>
  <c r="P73" i="7"/>
  <c r="P74" i="7"/>
  <c r="P60" i="7"/>
  <c r="P61" i="7"/>
  <c r="P49" i="7"/>
  <c r="P50" i="7"/>
  <c r="P22" i="7"/>
  <c r="P23" i="7"/>
  <c r="P74" i="1"/>
  <c r="P75" i="1"/>
  <c r="P61" i="1"/>
  <c r="P62" i="1"/>
  <c r="P50" i="1"/>
  <c r="P51" i="1"/>
  <c r="P37" i="1"/>
  <c r="P38" i="1"/>
  <c r="P22" i="1"/>
  <c r="P23" i="1"/>
  <c r="P73" i="13"/>
  <c r="P74" i="13"/>
  <c r="P60" i="13"/>
  <c r="P61" i="13"/>
  <c r="P49" i="13"/>
  <c r="P50" i="13"/>
  <c r="P37" i="13"/>
  <c r="P38" i="13"/>
  <c r="P22" i="13"/>
  <c r="P23" i="13"/>
  <c r="W11" i="26"/>
  <c r="W23" i="57"/>
  <c r="W22" i="57"/>
  <c r="B29" i="15"/>
  <c r="C29" i="15"/>
  <c r="D29" i="15"/>
  <c r="E29" i="15"/>
  <c r="F29" i="15"/>
  <c r="G29" i="15"/>
  <c r="H29" i="15"/>
  <c r="I29" i="15"/>
  <c r="J29" i="15"/>
  <c r="K29" i="15"/>
  <c r="L29" i="15"/>
  <c r="M29" i="15"/>
  <c r="B30" i="15"/>
  <c r="C30" i="15"/>
  <c r="D30" i="15"/>
  <c r="E30" i="15"/>
  <c r="F30" i="15"/>
  <c r="G30" i="15"/>
  <c r="H30" i="15"/>
  <c r="I30" i="15"/>
  <c r="J30" i="15"/>
  <c r="K30" i="15"/>
  <c r="L30" i="15"/>
  <c r="M30" i="15"/>
  <c r="B31" i="15"/>
  <c r="C31" i="15"/>
  <c r="D31" i="15"/>
  <c r="E31" i="15"/>
  <c r="F31" i="15"/>
  <c r="G31" i="15"/>
  <c r="H31" i="15"/>
  <c r="I31" i="15"/>
  <c r="J31" i="15"/>
  <c r="K31" i="15"/>
  <c r="L31" i="15"/>
  <c r="M31" i="15"/>
  <c r="B32" i="15"/>
  <c r="C32" i="15"/>
  <c r="D32" i="15"/>
  <c r="E32" i="15"/>
  <c r="F32" i="15"/>
  <c r="G32" i="15"/>
  <c r="H32" i="15"/>
  <c r="I32" i="15"/>
  <c r="J32" i="15"/>
  <c r="K32" i="15"/>
  <c r="L32" i="15"/>
  <c r="M32" i="15"/>
  <c r="M28" i="15"/>
  <c r="L28" i="15"/>
  <c r="K28" i="15"/>
  <c r="J28" i="15"/>
  <c r="I28" i="15"/>
  <c r="H28" i="15"/>
  <c r="G28" i="15"/>
  <c r="F28" i="15"/>
  <c r="E28" i="15"/>
  <c r="D28" i="15"/>
  <c r="C28" i="15"/>
  <c r="B28" i="15"/>
  <c r="L13" i="15"/>
  <c r="M13" i="15"/>
  <c r="L14" i="15"/>
  <c r="M14" i="15"/>
  <c r="L15" i="15"/>
  <c r="M15" i="15"/>
  <c r="L16" i="15"/>
  <c r="M16" i="15"/>
  <c r="L17" i="15"/>
  <c r="M17" i="15"/>
  <c r="K14" i="15"/>
  <c r="K15" i="15"/>
  <c r="K16" i="15"/>
  <c r="K17" i="15"/>
  <c r="K13" i="15"/>
  <c r="J14" i="15"/>
  <c r="J15" i="15"/>
  <c r="J16" i="15"/>
  <c r="J17" i="15"/>
  <c r="J13" i="15"/>
  <c r="I14" i="15"/>
  <c r="I15" i="15"/>
  <c r="I16" i="15"/>
  <c r="I17" i="15"/>
  <c r="I13" i="15"/>
  <c r="H14" i="15"/>
  <c r="H15" i="15"/>
  <c r="H16" i="15"/>
  <c r="H17" i="15"/>
  <c r="H13" i="15"/>
  <c r="C13" i="15"/>
  <c r="D13" i="15"/>
  <c r="E13" i="15"/>
  <c r="F13" i="15"/>
  <c r="G13" i="15"/>
  <c r="C14" i="15"/>
  <c r="D14" i="15"/>
  <c r="E14" i="15"/>
  <c r="F14" i="15"/>
  <c r="G14" i="15"/>
  <c r="C15" i="15"/>
  <c r="D15" i="15"/>
  <c r="E15" i="15"/>
  <c r="F15" i="15"/>
  <c r="G15" i="15"/>
  <c r="C16" i="15"/>
  <c r="D16" i="15"/>
  <c r="E16" i="15"/>
  <c r="F16" i="15"/>
  <c r="G16" i="15"/>
  <c r="C17" i="15"/>
  <c r="D17" i="15"/>
  <c r="E17" i="15"/>
  <c r="F17" i="15"/>
  <c r="G17" i="15"/>
  <c r="B14" i="15"/>
  <c r="B15" i="15"/>
  <c r="B16" i="15"/>
  <c r="B17" i="15"/>
  <c r="B13" i="15"/>
  <c r="N33" i="21" l="1"/>
  <c r="N61" i="21"/>
  <c r="N8" i="21"/>
  <c r="G20" i="78"/>
  <c r="N46" i="21"/>
  <c r="N20" i="21"/>
  <c r="K5" i="78"/>
  <c r="H4" i="78"/>
  <c r="H20" i="78" s="1"/>
  <c r="M3" i="66"/>
  <c r="N3" i="66" s="1"/>
  <c r="M12" i="66"/>
  <c r="N12" i="66" s="1"/>
  <c r="M5" i="66"/>
  <c r="N5" i="66" s="1"/>
  <c r="M4" i="66"/>
  <c r="I8" i="73"/>
  <c r="I7" i="73"/>
  <c r="I6" i="73"/>
  <c r="I5" i="73"/>
  <c r="O74" i="1"/>
  <c r="O75" i="1"/>
  <c r="O61" i="1"/>
  <c r="O62" i="1"/>
  <c r="O50" i="1"/>
  <c r="O51" i="1"/>
  <c r="O37" i="1"/>
  <c r="O38" i="1"/>
  <c r="O22" i="1"/>
  <c r="O23" i="1"/>
  <c r="O22" i="7"/>
  <c r="O23" i="7"/>
  <c r="O73" i="7"/>
  <c r="O74" i="7"/>
  <c r="O60" i="7"/>
  <c r="O61" i="7"/>
  <c r="O49" i="7"/>
  <c r="O50" i="7"/>
  <c r="O73" i="8"/>
  <c r="O74" i="8"/>
  <c r="O60" i="8"/>
  <c r="O61" i="8"/>
  <c r="O49" i="8"/>
  <c r="O50" i="8"/>
  <c r="O37" i="8"/>
  <c r="O38" i="8"/>
  <c r="O22" i="8"/>
  <c r="O23" i="8"/>
  <c r="N73" i="8"/>
  <c r="N74" i="8"/>
  <c r="N49" i="8"/>
  <c r="N50" i="8"/>
  <c r="N37" i="8"/>
  <c r="N38" i="8"/>
  <c r="N60" i="8"/>
  <c r="N61" i="8"/>
  <c r="N73" i="7"/>
  <c r="N74" i="7"/>
  <c r="N49" i="7"/>
  <c r="N50" i="7"/>
  <c r="N60" i="7"/>
  <c r="N61" i="7"/>
  <c r="N74" i="1"/>
  <c r="N75" i="1"/>
  <c r="N50" i="1"/>
  <c r="N51" i="1"/>
  <c r="N37" i="1"/>
  <c r="N38" i="1"/>
  <c r="N61" i="1"/>
  <c r="N62" i="1"/>
  <c r="N22" i="8"/>
  <c r="N23" i="8"/>
  <c r="N22" i="7"/>
  <c r="N23" i="7"/>
  <c r="N22" i="1"/>
  <c r="N23" i="1"/>
  <c r="M74" i="1"/>
  <c r="M75" i="1"/>
  <c r="M61" i="1"/>
  <c r="M62" i="1"/>
  <c r="M50" i="1"/>
  <c r="M51" i="1"/>
  <c r="M37" i="1"/>
  <c r="M38" i="1"/>
  <c r="M73" i="7"/>
  <c r="M74" i="7"/>
  <c r="M60" i="7"/>
  <c r="M61" i="7"/>
  <c r="M49" i="7"/>
  <c r="M50" i="7"/>
  <c r="M73" i="8"/>
  <c r="M74" i="8"/>
  <c r="M60" i="8"/>
  <c r="M61" i="8"/>
  <c r="M49" i="8"/>
  <c r="M50" i="8"/>
  <c r="M37" i="8"/>
  <c r="M38" i="8"/>
  <c r="M22" i="1"/>
  <c r="M23" i="1"/>
  <c r="M22" i="7"/>
  <c r="M23" i="7"/>
  <c r="M22" i="8"/>
  <c r="M23" i="8"/>
  <c r="L73" i="7"/>
  <c r="L74" i="7"/>
  <c r="L60" i="7"/>
  <c r="L61" i="7"/>
  <c r="L49" i="7"/>
  <c r="L50" i="7"/>
  <c r="L22" i="7"/>
  <c r="L23" i="7"/>
  <c r="L73" i="8"/>
  <c r="L74" i="8"/>
  <c r="L60" i="8"/>
  <c r="L61" i="8"/>
  <c r="L49" i="8"/>
  <c r="L50" i="8"/>
  <c r="L37" i="8"/>
  <c r="L38" i="8"/>
  <c r="L22" i="8"/>
  <c r="L23" i="8"/>
  <c r="L74" i="1"/>
  <c r="L75" i="1"/>
  <c r="L61" i="1"/>
  <c r="L62" i="1"/>
  <c r="L50" i="1"/>
  <c r="L51" i="1"/>
  <c r="L37" i="1"/>
  <c r="L38" i="1"/>
  <c r="L22" i="1"/>
  <c r="L23" i="1"/>
  <c r="K74" i="1"/>
  <c r="K75" i="1"/>
  <c r="K61" i="1"/>
  <c r="K62" i="1"/>
  <c r="K50" i="1"/>
  <c r="K51" i="1"/>
  <c r="K37" i="1"/>
  <c r="K38" i="1"/>
  <c r="K22" i="1"/>
  <c r="K23" i="1"/>
  <c r="K73" i="7"/>
  <c r="K74" i="7"/>
  <c r="K60" i="7"/>
  <c r="K61" i="7"/>
  <c r="K49" i="7"/>
  <c r="K50" i="7"/>
  <c r="K22" i="7"/>
  <c r="K23" i="7"/>
  <c r="K73" i="8"/>
  <c r="K74" i="8"/>
  <c r="K60" i="8"/>
  <c r="K61" i="8"/>
  <c r="K49" i="8"/>
  <c r="K50" i="8"/>
  <c r="K37" i="8"/>
  <c r="K38" i="8"/>
  <c r="K22" i="8"/>
  <c r="K23" i="8"/>
  <c r="J73" i="8"/>
  <c r="J74" i="8"/>
  <c r="J60" i="8"/>
  <c r="J61" i="8"/>
  <c r="J49" i="8"/>
  <c r="J50" i="8"/>
  <c r="J37" i="8"/>
  <c r="J38" i="8"/>
  <c r="J22" i="8"/>
  <c r="J23" i="8"/>
  <c r="J22" i="7"/>
  <c r="J23" i="7"/>
  <c r="J73" i="7"/>
  <c r="J74" i="7"/>
  <c r="J60" i="7"/>
  <c r="J61" i="7"/>
  <c r="J49" i="7"/>
  <c r="J50" i="7"/>
  <c r="J74" i="1"/>
  <c r="J75" i="1"/>
  <c r="J61" i="1"/>
  <c r="J62" i="1"/>
  <c r="J50" i="1"/>
  <c r="J51" i="1"/>
  <c r="J37" i="1"/>
  <c r="J38" i="1"/>
  <c r="J22" i="1"/>
  <c r="J23" i="1"/>
  <c r="I73" i="8"/>
  <c r="I74" i="8"/>
  <c r="I60" i="8"/>
  <c r="I61" i="8"/>
  <c r="I49" i="8"/>
  <c r="I50" i="8"/>
  <c r="I37" i="8"/>
  <c r="I38" i="8"/>
  <c r="I22" i="8"/>
  <c r="I23" i="8"/>
  <c r="I22" i="7"/>
  <c r="I23" i="7"/>
  <c r="I73" i="7"/>
  <c r="I74" i="7"/>
  <c r="I60" i="7"/>
  <c r="I61" i="7"/>
  <c r="I49" i="7"/>
  <c r="I50" i="7"/>
  <c r="I74" i="1"/>
  <c r="I75" i="1"/>
  <c r="I61" i="1"/>
  <c r="I62" i="1"/>
  <c r="I50" i="1"/>
  <c r="I51" i="1"/>
  <c r="I37" i="1"/>
  <c r="I38" i="1"/>
  <c r="I22" i="1"/>
  <c r="I23" i="1"/>
  <c r="H22" i="8"/>
  <c r="H23" i="8"/>
  <c r="T21" i="8"/>
  <c r="H73" i="8"/>
  <c r="H74" i="8"/>
  <c r="H60" i="8"/>
  <c r="H61" i="8"/>
  <c r="T59" i="8"/>
  <c r="H49" i="8"/>
  <c r="H50" i="8"/>
  <c r="H37" i="8"/>
  <c r="H38" i="8"/>
  <c r="T36" i="8"/>
  <c r="H73" i="7"/>
  <c r="H74" i="7"/>
  <c r="H60" i="7"/>
  <c r="H61" i="7"/>
  <c r="H49" i="7"/>
  <c r="H50" i="7"/>
  <c r="T36" i="7"/>
  <c r="H22" i="7"/>
  <c r="H23" i="7"/>
  <c r="T21" i="7"/>
  <c r="H74" i="1"/>
  <c r="H75" i="1"/>
  <c r="H61" i="1"/>
  <c r="H62" i="1"/>
  <c r="T60" i="1"/>
  <c r="H50" i="1"/>
  <c r="H51" i="1"/>
  <c r="H37" i="1"/>
  <c r="H38" i="1"/>
  <c r="H22" i="1"/>
  <c r="H23" i="1"/>
  <c r="T21" i="1"/>
  <c r="G74" i="1"/>
  <c r="G75" i="1"/>
  <c r="G61" i="1"/>
  <c r="G62" i="1"/>
  <c r="G50" i="1"/>
  <c r="G51" i="1"/>
  <c r="G37" i="1"/>
  <c r="G38" i="1"/>
  <c r="G22" i="1"/>
  <c r="G23" i="1"/>
  <c r="G73" i="7"/>
  <c r="G74" i="7"/>
  <c r="G60" i="7"/>
  <c r="G61" i="7"/>
  <c r="G49" i="7"/>
  <c r="G50" i="7"/>
  <c r="G22" i="7"/>
  <c r="G23" i="7"/>
  <c r="G73" i="8"/>
  <c r="G74" i="8"/>
  <c r="G60" i="8"/>
  <c r="G61" i="8"/>
  <c r="G49" i="8"/>
  <c r="G50" i="8"/>
  <c r="G37" i="8"/>
  <c r="G38" i="8"/>
  <c r="G22" i="8"/>
  <c r="G23" i="8"/>
  <c r="F73" i="8"/>
  <c r="F74" i="8"/>
  <c r="F60" i="8"/>
  <c r="F61" i="8"/>
  <c r="F49" i="8"/>
  <c r="F50" i="8"/>
  <c r="F37" i="8"/>
  <c r="F38" i="8"/>
  <c r="F22" i="8"/>
  <c r="F23" i="8"/>
  <c r="F73" i="7"/>
  <c r="F74" i="7"/>
  <c r="F60" i="7"/>
  <c r="F61" i="7"/>
  <c r="F49" i="7"/>
  <c r="F50" i="7"/>
  <c r="F22" i="7"/>
  <c r="F23" i="7"/>
  <c r="F74" i="1"/>
  <c r="F75" i="1"/>
  <c r="F61" i="1"/>
  <c r="F62" i="1"/>
  <c r="F50" i="1"/>
  <c r="F51" i="1"/>
  <c r="F37" i="1"/>
  <c r="F38" i="1"/>
  <c r="F22" i="1"/>
  <c r="F23" i="1"/>
  <c r="E73" i="8"/>
  <c r="E74" i="8"/>
  <c r="E60" i="8"/>
  <c r="E61" i="8"/>
  <c r="E49" i="8"/>
  <c r="E50" i="8"/>
  <c r="E37" i="8"/>
  <c r="E38" i="8"/>
  <c r="E22" i="8"/>
  <c r="E23" i="8"/>
  <c r="E73" i="7"/>
  <c r="E74" i="7"/>
  <c r="E60" i="7"/>
  <c r="E61" i="7"/>
  <c r="E49" i="7"/>
  <c r="E50" i="7"/>
  <c r="E22" i="7"/>
  <c r="E23" i="7"/>
  <c r="E74" i="1"/>
  <c r="E75" i="1"/>
  <c r="E61" i="1"/>
  <c r="E62" i="1"/>
  <c r="E50" i="1"/>
  <c r="E51" i="1"/>
  <c r="E37" i="1"/>
  <c r="E38" i="1"/>
  <c r="E22" i="1"/>
  <c r="E23" i="1"/>
  <c r="D73" i="8"/>
  <c r="D74" i="8"/>
  <c r="D60" i="8"/>
  <c r="D61" i="8"/>
  <c r="C60" i="8"/>
  <c r="D49" i="8"/>
  <c r="D50" i="8"/>
  <c r="C49" i="8"/>
  <c r="D37" i="8"/>
  <c r="D38" i="8"/>
  <c r="D22" i="8"/>
  <c r="D23" i="8"/>
  <c r="D73" i="7"/>
  <c r="D74" i="7"/>
  <c r="D60" i="7"/>
  <c r="C60" i="7"/>
  <c r="D61" i="7"/>
  <c r="D49" i="7"/>
  <c r="D50" i="7"/>
  <c r="D22" i="7"/>
  <c r="D23" i="7"/>
  <c r="D74" i="1"/>
  <c r="D75" i="1"/>
  <c r="D61" i="1"/>
  <c r="D62" i="1"/>
  <c r="C61" i="1"/>
  <c r="D50" i="1"/>
  <c r="D51" i="1"/>
  <c r="D37" i="1"/>
  <c r="D38" i="1"/>
  <c r="D22" i="1"/>
  <c r="D23" i="1"/>
  <c r="C60" i="3"/>
  <c r="C52" i="3"/>
  <c r="D52" i="3"/>
  <c r="D60" i="3" s="1"/>
  <c r="E52" i="3"/>
  <c r="E60" i="3" s="1"/>
  <c r="F52" i="3"/>
  <c r="F60" i="3" s="1"/>
  <c r="G52" i="3"/>
  <c r="G60" i="3" s="1"/>
  <c r="H52" i="3"/>
  <c r="H60" i="3" s="1"/>
  <c r="I52" i="3"/>
  <c r="J52" i="3"/>
  <c r="K52" i="3"/>
  <c r="L52" i="3"/>
  <c r="M52" i="3"/>
  <c r="N52" i="3"/>
  <c r="K60" i="3" s="1"/>
  <c r="O52" i="3"/>
  <c r="L60" i="3" s="1"/>
  <c r="P52" i="3"/>
  <c r="M60" i="3" s="1"/>
  <c r="B52" i="3"/>
  <c r="B60" i="3" s="1"/>
  <c r="C10" i="3"/>
  <c r="C20" i="3" s="1"/>
  <c r="D10" i="3"/>
  <c r="D20" i="3" s="1"/>
  <c r="E10" i="3"/>
  <c r="E20" i="3" s="1"/>
  <c r="F10" i="3"/>
  <c r="F20" i="3" s="1"/>
  <c r="G10" i="3"/>
  <c r="G20" i="3" s="1"/>
  <c r="H10" i="3"/>
  <c r="I10" i="3"/>
  <c r="J10" i="3"/>
  <c r="K10" i="3"/>
  <c r="I20" i="3" s="1"/>
  <c r="L10" i="3"/>
  <c r="M10" i="3"/>
  <c r="J20" i="3" s="1"/>
  <c r="N10" i="3"/>
  <c r="K20" i="3" s="1"/>
  <c r="O10" i="3"/>
  <c r="L20" i="3" s="1"/>
  <c r="P10" i="3"/>
  <c r="M20" i="3" s="1"/>
  <c r="B10" i="3"/>
  <c r="B20" i="3" s="1"/>
  <c r="M17" i="66"/>
  <c r="N17" i="66" s="1"/>
  <c r="M16" i="66"/>
  <c r="N16" i="66" s="1"/>
  <c r="M15" i="66"/>
  <c r="N15" i="66" s="1"/>
  <c r="M14" i="66"/>
  <c r="N14" i="66" s="1"/>
  <c r="M13" i="66"/>
  <c r="N13" i="66" s="1"/>
  <c r="M11" i="66"/>
  <c r="N11" i="66" s="1"/>
  <c r="M10" i="66"/>
  <c r="N10" i="66" s="1"/>
  <c r="M9" i="66"/>
  <c r="N9" i="66" s="1"/>
  <c r="M8" i="66"/>
  <c r="N8" i="66" s="1"/>
  <c r="M7" i="66"/>
  <c r="N7" i="66" s="1"/>
  <c r="M6" i="66"/>
  <c r="N6" i="66" s="1"/>
  <c r="N4" i="66"/>
  <c r="K20" i="14"/>
  <c r="C25" i="15"/>
  <c r="C33" i="15" s="1"/>
  <c r="D25" i="15"/>
  <c r="D33" i="15" s="1"/>
  <c r="E25" i="15"/>
  <c r="E33" i="15" s="1"/>
  <c r="F25" i="15"/>
  <c r="F33" i="15" s="1"/>
  <c r="G25" i="15"/>
  <c r="G33" i="15" s="1"/>
  <c r="H25" i="15"/>
  <c r="I25" i="15"/>
  <c r="J25" i="15"/>
  <c r="K25" i="15"/>
  <c r="L25" i="15"/>
  <c r="M25" i="15"/>
  <c r="N25" i="15"/>
  <c r="K33" i="15" s="1"/>
  <c r="O25" i="15"/>
  <c r="L33" i="15" s="1"/>
  <c r="P25" i="15"/>
  <c r="M33" i="15" s="1"/>
  <c r="B25" i="15"/>
  <c r="B33" i="15" s="1"/>
  <c r="U20" i="15"/>
  <c r="T20" i="15"/>
  <c r="S21" i="15"/>
  <c r="S22" i="15"/>
  <c r="S23" i="15"/>
  <c r="S24" i="15"/>
  <c r="S20" i="15"/>
  <c r="R21" i="15"/>
  <c r="R22" i="15"/>
  <c r="R23" i="15"/>
  <c r="R24" i="15"/>
  <c r="R20" i="15"/>
  <c r="Q21" i="15"/>
  <c r="Q22" i="15"/>
  <c r="Q23" i="15"/>
  <c r="Q24" i="15"/>
  <c r="Q20" i="15"/>
  <c r="C10" i="15"/>
  <c r="C18" i="15" s="1"/>
  <c r="D10" i="15"/>
  <c r="D18" i="15" s="1"/>
  <c r="E10" i="15"/>
  <c r="E18" i="15" s="1"/>
  <c r="F10" i="15"/>
  <c r="F18" i="15" s="1"/>
  <c r="G10" i="15"/>
  <c r="G18" i="15" s="1"/>
  <c r="H10" i="15"/>
  <c r="I10" i="15"/>
  <c r="J10" i="15"/>
  <c r="K10" i="15"/>
  <c r="L10" i="15"/>
  <c r="M10" i="15"/>
  <c r="J18" i="15" s="1"/>
  <c r="N10" i="15"/>
  <c r="K18" i="15" s="1"/>
  <c r="O10" i="15"/>
  <c r="L18" i="15" s="1"/>
  <c r="P10" i="15"/>
  <c r="M18" i="15" s="1"/>
  <c r="B10" i="15"/>
  <c r="U5" i="15"/>
  <c r="T5" i="15"/>
  <c r="S6" i="15"/>
  <c r="S7" i="15"/>
  <c r="S8" i="15"/>
  <c r="S9" i="15"/>
  <c r="S5" i="15"/>
  <c r="R6" i="15"/>
  <c r="R7" i="15"/>
  <c r="R8" i="15"/>
  <c r="R9" i="15"/>
  <c r="R5" i="15"/>
  <c r="Q6" i="15"/>
  <c r="Q7" i="15"/>
  <c r="Q8" i="15"/>
  <c r="Q5" i="15"/>
  <c r="Q9" i="15"/>
  <c r="O73" i="13"/>
  <c r="O37" i="13"/>
  <c r="N73" i="13"/>
  <c r="N49" i="13"/>
  <c r="N37" i="13"/>
  <c r="N60" i="13"/>
  <c r="N22" i="13"/>
  <c r="M60" i="13"/>
  <c r="L49" i="13"/>
  <c r="M49" i="13"/>
  <c r="L73" i="13"/>
  <c r="L37" i="13"/>
  <c r="K22" i="13"/>
  <c r="L22" i="13"/>
  <c r="I60" i="13"/>
  <c r="J60" i="13"/>
  <c r="K60" i="13"/>
  <c r="K37" i="13"/>
  <c r="G60" i="13"/>
  <c r="H60" i="13"/>
  <c r="D37" i="13"/>
  <c r="E37" i="13"/>
  <c r="F37" i="13"/>
  <c r="G37" i="13"/>
  <c r="H37" i="13"/>
  <c r="I37" i="13"/>
  <c r="J37" i="13"/>
  <c r="H22" i="13"/>
  <c r="I22" i="13"/>
  <c r="J22" i="13"/>
  <c r="I73" i="13"/>
  <c r="I49" i="13"/>
  <c r="G49" i="13"/>
  <c r="H49" i="13"/>
  <c r="T59" i="13"/>
  <c r="T36" i="13"/>
  <c r="T21" i="13"/>
  <c r="G22" i="13"/>
  <c r="E73" i="13"/>
  <c r="F73" i="13"/>
  <c r="D60" i="13"/>
  <c r="E60" i="13"/>
  <c r="F60" i="13"/>
  <c r="D49" i="13"/>
  <c r="E49" i="13"/>
  <c r="F49" i="13"/>
  <c r="F22" i="13"/>
  <c r="M37" i="13"/>
  <c r="E22" i="13"/>
  <c r="M22" i="13"/>
  <c r="O22" i="13"/>
  <c r="D22" i="13"/>
  <c r="C73" i="8"/>
  <c r="C37" i="8"/>
  <c r="C22" i="8"/>
  <c r="S8" i="8"/>
  <c r="S9" i="8"/>
  <c r="S10" i="8"/>
  <c r="S11" i="8"/>
  <c r="S12" i="8"/>
  <c r="S13" i="8"/>
  <c r="S14" i="8"/>
  <c r="S15" i="8"/>
  <c r="S16" i="8"/>
  <c r="S17" i="8"/>
  <c r="S18" i="8"/>
  <c r="S19" i="8"/>
  <c r="S20" i="8"/>
  <c r="S21" i="8"/>
  <c r="S26" i="8"/>
  <c r="S27" i="8"/>
  <c r="S28" i="8"/>
  <c r="S29" i="8"/>
  <c r="S30" i="8"/>
  <c r="S31" i="8"/>
  <c r="S32" i="8"/>
  <c r="S33" i="8"/>
  <c r="S34" i="8"/>
  <c r="S35" i="8"/>
  <c r="S36" i="8"/>
  <c r="S41" i="8"/>
  <c r="S42" i="8"/>
  <c r="S43" i="8"/>
  <c r="S44" i="8"/>
  <c r="S45" i="8"/>
  <c r="S46" i="8"/>
  <c r="S47" i="8"/>
  <c r="S48" i="8"/>
  <c r="S53" i="8"/>
  <c r="S54" i="8"/>
  <c r="S55" i="8"/>
  <c r="S56" i="8"/>
  <c r="S57" i="8"/>
  <c r="S58" i="8"/>
  <c r="S59" i="8"/>
  <c r="S64" i="8"/>
  <c r="S65" i="8"/>
  <c r="S66" i="8"/>
  <c r="S67" i="8"/>
  <c r="S68" i="8"/>
  <c r="S69" i="8"/>
  <c r="S70" i="8"/>
  <c r="S71" i="8"/>
  <c r="S72" i="8"/>
  <c r="S63" i="8"/>
  <c r="S52" i="8"/>
  <c r="S40" i="8"/>
  <c r="S25" i="8"/>
  <c r="S7" i="8"/>
  <c r="S4" i="8"/>
  <c r="S5" i="8"/>
  <c r="S3" i="8"/>
  <c r="R8" i="8"/>
  <c r="R9" i="8"/>
  <c r="R10" i="8"/>
  <c r="R11" i="8"/>
  <c r="R12" i="8"/>
  <c r="R13" i="8"/>
  <c r="R14" i="8"/>
  <c r="R15" i="8"/>
  <c r="R16" i="8"/>
  <c r="R17" i="8"/>
  <c r="R18" i="8"/>
  <c r="R19" i="8"/>
  <c r="R20" i="8"/>
  <c r="R21" i="8"/>
  <c r="R26" i="8"/>
  <c r="R27" i="8"/>
  <c r="R28" i="8"/>
  <c r="R29" i="8"/>
  <c r="R30" i="8"/>
  <c r="R31" i="8"/>
  <c r="R32" i="8"/>
  <c r="R33" i="8"/>
  <c r="R34" i="8"/>
  <c r="R35" i="8"/>
  <c r="R36" i="8"/>
  <c r="R41" i="8"/>
  <c r="R42" i="8"/>
  <c r="R43" i="8"/>
  <c r="R44" i="8"/>
  <c r="R45" i="8"/>
  <c r="R46" i="8"/>
  <c r="R47" i="8"/>
  <c r="R48" i="8"/>
  <c r="R64" i="8"/>
  <c r="R65" i="8"/>
  <c r="R66" i="8"/>
  <c r="R67" i="8"/>
  <c r="R68" i="8"/>
  <c r="R69" i="8"/>
  <c r="R70" i="8"/>
  <c r="R71" i="8"/>
  <c r="R72" i="8"/>
  <c r="R53" i="8"/>
  <c r="R54" i="8"/>
  <c r="R55" i="8"/>
  <c r="R56" i="8"/>
  <c r="R57" i="8"/>
  <c r="R58" i="8"/>
  <c r="R59" i="8"/>
  <c r="R63" i="8"/>
  <c r="R52" i="8"/>
  <c r="R40" i="8"/>
  <c r="R25" i="8"/>
  <c r="R7" i="8"/>
  <c r="R4" i="8"/>
  <c r="R5" i="8"/>
  <c r="R3" i="8"/>
  <c r="C74" i="1"/>
  <c r="C50" i="1"/>
  <c r="C73" i="7"/>
  <c r="C49" i="7"/>
  <c r="C22" i="7"/>
  <c r="S8" i="7"/>
  <c r="S9" i="7"/>
  <c r="S10" i="7"/>
  <c r="S11" i="7"/>
  <c r="S12" i="7"/>
  <c r="S13" i="7"/>
  <c r="S14" i="7"/>
  <c r="S15" i="7"/>
  <c r="S16" i="7"/>
  <c r="S17" i="7"/>
  <c r="S18" i="7"/>
  <c r="S19" i="7"/>
  <c r="S20" i="7"/>
  <c r="S21" i="7"/>
  <c r="S26" i="7"/>
  <c r="S27" i="7"/>
  <c r="S28" i="7"/>
  <c r="S29" i="7"/>
  <c r="S30" i="7"/>
  <c r="S31" i="7"/>
  <c r="S32" i="7"/>
  <c r="S33" i="7"/>
  <c r="S34" i="7"/>
  <c r="S35" i="7"/>
  <c r="S36" i="7"/>
  <c r="S41" i="7"/>
  <c r="S42" i="7"/>
  <c r="S43" i="7"/>
  <c r="S44" i="7"/>
  <c r="S45" i="7"/>
  <c r="S46" i="7"/>
  <c r="S47" i="7"/>
  <c r="S48" i="7"/>
  <c r="S53" i="7"/>
  <c r="S54" i="7"/>
  <c r="S55" i="7"/>
  <c r="S56" i="7"/>
  <c r="S57" i="7"/>
  <c r="S58" i="7"/>
  <c r="S59" i="7"/>
  <c r="S64" i="7"/>
  <c r="S65" i="7"/>
  <c r="S66" i="7"/>
  <c r="S67" i="7"/>
  <c r="S68" i="7"/>
  <c r="S69" i="7"/>
  <c r="S70" i="7"/>
  <c r="S71" i="7"/>
  <c r="S72" i="7"/>
  <c r="S63" i="7"/>
  <c r="S52" i="7"/>
  <c r="S40" i="7"/>
  <c r="S25" i="7"/>
  <c r="S7" i="7"/>
  <c r="S4" i="7"/>
  <c r="S5" i="7"/>
  <c r="S3" i="7"/>
  <c r="R4" i="7"/>
  <c r="R5" i="7"/>
  <c r="R8" i="7"/>
  <c r="R9" i="7"/>
  <c r="R10" i="7"/>
  <c r="R11" i="7"/>
  <c r="R12" i="7"/>
  <c r="R13" i="7"/>
  <c r="R14" i="7"/>
  <c r="R15" i="7"/>
  <c r="R16" i="7"/>
  <c r="R17" i="7"/>
  <c r="R18" i="7"/>
  <c r="R19" i="7"/>
  <c r="R20" i="7"/>
  <c r="R21" i="7"/>
  <c r="R26" i="7"/>
  <c r="R27" i="7"/>
  <c r="R28" i="7"/>
  <c r="R29" i="7"/>
  <c r="R30" i="7"/>
  <c r="R31" i="7"/>
  <c r="R32" i="7"/>
  <c r="R33" i="7"/>
  <c r="R34" i="7"/>
  <c r="R35" i="7"/>
  <c r="R36" i="7"/>
  <c r="R41" i="7"/>
  <c r="R42" i="7"/>
  <c r="R43" i="7"/>
  <c r="R44" i="7"/>
  <c r="R45" i="7"/>
  <c r="R46" i="7"/>
  <c r="R47" i="7"/>
  <c r="R48" i="7"/>
  <c r="R53" i="7"/>
  <c r="R54" i="7"/>
  <c r="R55" i="7"/>
  <c r="R56" i="7"/>
  <c r="R57" i="7"/>
  <c r="R58" i="7"/>
  <c r="R59" i="7"/>
  <c r="R64" i="7"/>
  <c r="R65" i="7"/>
  <c r="R66" i="7"/>
  <c r="R67" i="7"/>
  <c r="R68" i="7"/>
  <c r="R69" i="7"/>
  <c r="R70" i="7"/>
  <c r="R71" i="7"/>
  <c r="R72" i="7"/>
  <c r="R63" i="7"/>
  <c r="R52" i="7"/>
  <c r="R40" i="7"/>
  <c r="R25" i="7"/>
  <c r="R7" i="7"/>
  <c r="R3" i="7"/>
  <c r="S4" i="13"/>
  <c r="S5" i="13"/>
  <c r="S3" i="13"/>
  <c r="S8" i="13"/>
  <c r="S9" i="13"/>
  <c r="S10" i="13"/>
  <c r="S11" i="13"/>
  <c r="S12" i="13"/>
  <c r="S13" i="13"/>
  <c r="S14" i="13"/>
  <c r="S15" i="13"/>
  <c r="S16" i="13"/>
  <c r="S17" i="13"/>
  <c r="S18" i="13"/>
  <c r="S19" i="13"/>
  <c r="S20" i="13"/>
  <c r="S21" i="13"/>
  <c r="S26" i="13"/>
  <c r="S27" i="13"/>
  <c r="S28" i="13"/>
  <c r="S29" i="13"/>
  <c r="S30" i="13"/>
  <c r="S31" i="13"/>
  <c r="S32" i="13"/>
  <c r="S33" i="13"/>
  <c r="S34" i="13"/>
  <c r="S35" i="13"/>
  <c r="S36" i="13"/>
  <c r="S41" i="13"/>
  <c r="S42" i="13"/>
  <c r="S43" i="13"/>
  <c r="S44" i="13"/>
  <c r="S45" i="13"/>
  <c r="S46" i="13"/>
  <c r="S47" i="13"/>
  <c r="S48" i="13"/>
  <c r="S53" i="13"/>
  <c r="S54" i="13"/>
  <c r="S55" i="13"/>
  <c r="S56" i="13"/>
  <c r="S57" i="13"/>
  <c r="S58" i="13"/>
  <c r="S59" i="13"/>
  <c r="S64" i="13"/>
  <c r="S65" i="13"/>
  <c r="S66" i="13"/>
  <c r="S67" i="13"/>
  <c r="S68" i="13"/>
  <c r="S69" i="13"/>
  <c r="S70" i="13"/>
  <c r="S71" i="13"/>
  <c r="S72" i="13"/>
  <c r="S63" i="13"/>
  <c r="S52" i="13"/>
  <c r="S40" i="13"/>
  <c r="S25" i="13"/>
  <c r="S7" i="13"/>
  <c r="R8" i="13"/>
  <c r="R9" i="13"/>
  <c r="R10" i="13"/>
  <c r="R11" i="13"/>
  <c r="R12" i="13"/>
  <c r="R13" i="13"/>
  <c r="R14" i="13"/>
  <c r="R15" i="13"/>
  <c r="R16" i="13"/>
  <c r="R17" i="13"/>
  <c r="R18" i="13"/>
  <c r="R19" i="13"/>
  <c r="R20" i="13"/>
  <c r="R21" i="13"/>
  <c r="R26" i="13"/>
  <c r="R27" i="13"/>
  <c r="R28" i="13"/>
  <c r="R29" i="13"/>
  <c r="R30" i="13"/>
  <c r="R31" i="13"/>
  <c r="R32" i="13"/>
  <c r="R33" i="13"/>
  <c r="R34" i="13"/>
  <c r="R35" i="13"/>
  <c r="R36" i="13"/>
  <c r="R41" i="13"/>
  <c r="R42" i="13"/>
  <c r="R43" i="13"/>
  <c r="R44" i="13"/>
  <c r="R45" i="13"/>
  <c r="R46" i="13"/>
  <c r="R47" i="13"/>
  <c r="R48" i="13"/>
  <c r="R53" i="13"/>
  <c r="R54" i="13"/>
  <c r="R55" i="13"/>
  <c r="R56" i="13"/>
  <c r="R57" i="13"/>
  <c r="R58" i="13"/>
  <c r="R59" i="13"/>
  <c r="R64" i="13"/>
  <c r="R65" i="13"/>
  <c r="R66" i="13"/>
  <c r="R67" i="13"/>
  <c r="R68" i="13"/>
  <c r="R69" i="13"/>
  <c r="R70" i="13"/>
  <c r="R71" i="13"/>
  <c r="R72" i="13"/>
  <c r="R63" i="13"/>
  <c r="R52" i="13"/>
  <c r="R40" i="13"/>
  <c r="R25" i="13"/>
  <c r="R7" i="13"/>
  <c r="R4" i="13"/>
  <c r="R5" i="13"/>
  <c r="R3" i="13"/>
  <c r="S65" i="1"/>
  <c r="S66" i="1"/>
  <c r="S67" i="1"/>
  <c r="S68" i="1"/>
  <c r="S69" i="1"/>
  <c r="S70" i="1"/>
  <c r="S71" i="1"/>
  <c r="S72" i="1"/>
  <c r="S73" i="1"/>
  <c r="S54" i="1"/>
  <c r="S55" i="1"/>
  <c r="S56" i="1"/>
  <c r="S57" i="1"/>
  <c r="S58" i="1"/>
  <c r="S59" i="1"/>
  <c r="S64" i="1"/>
  <c r="S53" i="1"/>
  <c r="S41" i="1"/>
  <c r="S42" i="1"/>
  <c r="S43" i="1"/>
  <c r="S44" i="1"/>
  <c r="S45" i="1"/>
  <c r="S46" i="1"/>
  <c r="S47" i="1"/>
  <c r="S48" i="1"/>
  <c r="S40" i="1"/>
  <c r="R36" i="1"/>
  <c r="S26" i="1"/>
  <c r="S27" i="1"/>
  <c r="S28" i="1"/>
  <c r="S29" i="1"/>
  <c r="S30" i="1"/>
  <c r="S31" i="1"/>
  <c r="S32" i="1"/>
  <c r="S33" i="1"/>
  <c r="S34" i="1"/>
  <c r="S35" i="1"/>
  <c r="S36" i="1"/>
  <c r="S25" i="1"/>
  <c r="R65" i="1"/>
  <c r="R66" i="1"/>
  <c r="R67" i="1"/>
  <c r="R68" i="1"/>
  <c r="R69" i="1"/>
  <c r="R70" i="1"/>
  <c r="R71" i="1"/>
  <c r="R72" i="1"/>
  <c r="R73" i="1"/>
  <c r="R64" i="1"/>
  <c r="R54" i="1"/>
  <c r="R55" i="1"/>
  <c r="R56" i="1"/>
  <c r="R57" i="1"/>
  <c r="R58" i="1"/>
  <c r="R59" i="1"/>
  <c r="R53" i="1"/>
  <c r="R41" i="1"/>
  <c r="R42" i="1"/>
  <c r="R43" i="1"/>
  <c r="R44" i="1"/>
  <c r="R45" i="1"/>
  <c r="R46" i="1"/>
  <c r="R47" i="1"/>
  <c r="R48" i="1"/>
  <c r="R40" i="1"/>
  <c r="R26" i="1"/>
  <c r="R27" i="1"/>
  <c r="R28" i="1"/>
  <c r="R29" i="1"/>
  <c r="R30" i="1"/>
  <c r="R31" i="1"/>
  <c r="R32" i="1"/>
  <c r="R33" i="1"/>
  <c r="R34" i="1"/>
  <c r="R35" i="1"/>
  <c r="R25" i="1"/>
  <c r="S8" i="1"/>
  <c r="S9" i="1"/>
  <c r="S10" i="1"/>
  <c r="S11" i="1"/>
  <c r="S12" i="1"/>
  <c r="S13" i="1"/>
  <c r="S14" i="1"/>
  <c r="S15" i="1"/>
  <c r="S16" i="1"/>
  <c r="S17" i="1"/>
  <c r="S18" i="1"/>
  <c r="S19" i="1"/>
  <c r="S20" i="1"/>
  <c r="S7" i="1"/>
  <c r="R8" i="1"/>
  <c r="R9" i="1"/>
  <c r="R10" i="1"/>
  <c r="R11" i="1"/>
  <c r="R12" i="1"/>
  <c r="R13" i="1"/>
  <c r="R14" i="1"/>
  <c r="R15" i="1"/>
  <c r="R16" i="1"/>
  <c r="R17" i="1"/>
  <c r="R18" i="1"/>
  <c r="R19" i="1"/>
  <c r="R20" i="1"/>
  <c r="R7" i="1"/>
  <c r="R4" i="1"/>
  <c r="R5" i="1"/>
  <c r="S3" i="1"/>
  <c r="R3" i="1"/>
  <c r="C37" i="1"/>
  <c r="C22" i="1"/>
  <c r="C73" i="13"/>
  <c r="D73" i="13"/>
  <c r="G73" i="13"/>
  <c r="H73" i="13"/>
  <c r="J73" i="13"/>
  <c r="K73" i="13"/>
  <c r="M73" i="13"/>
  <c r="C60" i="13"/>
  <c r="L60" i="13"/>
  <c r="O60" i="13"/>
  <c r="C49" i="13"/>
  <c r="J49" i="13"/>
  <c r="K49" i="13"/>
  <c r="O49" i="13"/>
  <c r="C37" i="13"/>
  <c r="C22" i="13"/>
  <c r="X4" i="26"/>
  <c r="W10" i="26"/>
  <c r="X10" i="26" s="1"/>
  <c r="W6" i="26"/>
  <c r="X6" i="26" s="1"/>
  <c r="W7" i="26"/>
  <c r="X7" i="26" s="1"/>
  <c r="X11" i="26"/>
  <c r="X5" i="26"/>
  <c r="W8" i="26"/>
  <c r="X8" i="26" s="1"/>
  <c r="W9" i="26"/>
  <c r="X9" i="26" s="1"/>
  <c r="W12" i="26"/>
  <c r="X12" i="26" s="1"/>
  <c r="W13" i="26"/>
  <c r="X13" i="26" s="1"/>
  <c r="W14" i="26"/>
  <c r="X14" i="26" s="1"/>
  <c r="W15" i="26"/>
  <c r="X15" i="26" s="1"/>
  <c r="W16" i="26"/>
  <c r="X16" i="26" s="1"/>
  <c r="W17" i="26"/>
  <c r="X17" i="26" s="1"/>
  <c r="W18" i="26"/>
  <c r="X18" i="26" s="1"/>
  <c r="H20" i="3" l="1"/>
  <c r="R25" i="15"/>
  <c r="J33" i="15"/>
  <c r="I60" i="3"/>
  <c r="R50" i="1"/>
  <c r="R51" i="1"/>
  <c r="R74" i="1"/>
  <c r="R75" i="1"/>
  <c r="S62" i="1"/>
  <c r="S61" i="1"/>
  <c r="R22" i="7"/>
  <c r="R23" i="7"/>
  <c r="R74" i="7"/>
  <c r="R73" i="7"/>
  <c r="S37" i="7"/>
  <c r="S38" i="7"/>
  <c r="R61" i="8"/>
  <c r="R60" i="8"/>
  <c r="S49" i="8"/>
  <c r="S50" i="8"/>
  <c r="B18" i="15"/>
  <c r="Q10" i="15"/>
  <c r="S51" i="1"/>
  <c r="S50" i="1"/>
  <c r="R60" i="7"/>
  <c r="R61" i="7"/>
  <c r="R22" i="1"/>
  <c r="R23" i="1"/>
  <c r="R38" i="1"/>
  <c r="R37" i="1"/>
  <c r="R62" i="1"/>
  <c r="R61" i="1"/>
  <c r="S75" i="1"/>
  <c r="S74" i="1"/>
  <c r="R38" i="7"/>
  <c r="R37" i="7"/>
  <c r="S50" i="7"/>
  <c r="S49" i="7"/>
  <c r="R22" i="8"/>
  <c r="R23" i="8"/>
  <c r="R73" i="8"/>
  <c r="R74" i="8"/>
  <c r="S60" i="8"/>
  <c r="S61" i="8"/>
  <c r="S10" i="15"/>
  <c r="H18" i="15"/>
  <c r="Q25" i="15"/>
  <c r="H33" i="15"/>
  <c r="S23" i="7"/>
  <c r="S22" i="7"/>
  <c r="S38" i="1"/>
  <c r="S37" i="1"/>
  <c r="R50" i="7"/>
  <c r="R49" i="7"/>
  <c r="S61" i="7"/>
  <c r="S60" i="7"/>
  <c r="R38" i="8"/>
  <c r="R37" i="8"/>
  <c r="S22" i="8"/>
  <c r="S23" i="8"/>
  <c r="S73" i="8"/>
  <c r="S74" i="8"/>
  <c r="S23" i="1"/>
  <c r="S22" i="1"/>
  <c r="S74" i="7"/>
  <c r="S73" i="7"/>
  <c r="R49" i="8"/>
  <c r="R50" i="8"/>
  <c r="S37" i="8"/>
  <c r="S38" i="8"/>
  <c r="I18" i="15"/>
  <c r="S25" i="15"/>
  <c r="I33" i="15"/>
  <c r="J60" i="3"/>
  <c r="N19" i="66"/>
  <c r="X19" i="26"/>
  <c r="C10" i="60" l="1"/>
  <c r="U10" i="60" s="1"/>
  <c r="D10" i="60"/>
  <c r="V10" i="60" s="1"/>
  <c r="E10" i="60"/>
  <c r="W10" i="60" s="1"/>
  <c r="F10" i="60"/>
  <c r="X10" i="60" s="1"/>
  <c r="G10" i="60"/>
  <c r="Y10" i="60" s="1"/>
  <c r="H10" i="60"/>
  <c r="I10" i="60"/>
  <c r="J10" i="60"/>
  <c r="AA10" i="60" s="1"/>
  <c r="K10" i="60"/>
  <c r="L10" i="60"/>
  <c r="M10" i="60"/>
  <c r="N10" i="60"/>
  <c r="AC10" i="60" s="1"/>
  <c r="O10" i="60"/>
  <c r="AD10" i="60" s="1"/>
  <c r="P10" i="60"/>
  <c r="AE10" i="60" s="1"/>
  <c r="B10" i="60"/>
  <c r="T10" i="60" s="1"/>
  <c r="Z10" i="60" l="1"/>
  <c r="AB10" i="60"/>
  <c r="AC5" i="71"/>
  <c r="AC6" i="71"/>
  <c r="AC7" i="71"/>
  <c r="AC8" i="71"/>
  <c r="AC9" i="71"/>
  <c r="AC10" i="71"/>
  <c r="AC11" i="71"/>
  <c r="AC12" i="71"/>
  <c r="AC13" i="71"/>
  <c r="AC14" i="71"/>
  <c r="AC15" i="71"/>
  <c r="AC16" i="71"/>
  <c r="AC17" i="71"/>
  <c r="AC18" i="71"/>
  <c r="AC19" i="71"/>
  <c r="AC20" i="71"/>
  <c r="AC21" i="71"/>
  <c r="AC22" i="71"/>
  <c r="AC23" i="71"/>
  <c r="AC24" i="71"/>
  <c r="AC25" i="71"/>
  <c r="AC26" i="71"/>
  <c r="AC4" i="71"/>
  <c r="S4" i="34"/>
  <c r="S5" i="34"/>
  <c r="S6" i="34"/>
  <c r="S7" i="34"/>
  <c r="S8" i="34"/>
  <c r="S9" i="34"/>
  <c r="S10" i="34"/>
  <c r="S11" i="34"/>
  <c r="S12" i="34"/>
  <c r="S13" i="34"/>
  <c r="S14" i="34"/>
  <c r="S15" i="34"/>
  <c r="S16" i="34"/>
  <c r="S17" i="34"/>
  <c r="S18" i="34"/>
  <c r="S19" i="34"/>
  <c r="S20" i="34"/>
  <c r="S21" i="34"/>
  <c r="S22" i="34"/>
  <c r="S23" i="34"/>
  <c r="S24" i="34"/>
  <c r="S25" i="34"/>
  <c r="S26" i="34"/>
  <c r="S27" i="34"/>
  <c r="S28" i="34"/>
  <c r="S3" i="34"/>
  <c r="C74" i="8"/>
  <c r="B74" i="8"/>
  <c r="B73" i="8"/>
  <c r="T72" i="8"/>
  <c r="T71" i="8"/>
  <c r="T70" i="8"/>
  <c r="T69" i="8"/>
  <c r="T68" i="8"/>
  <c r="T67" i="8"/>
  <c r="T66" i="8"/>
  <c r="T65" i="8"/>
  <c r="T64" i="8"/>
  <c r="T63" i="8"/>
  <c r="C61" i="8"/>
  <c r="B61" i="8"/>
  <c r="B60" i="8"/>
  <c r="T58" i="8"/>
  <c r="T57" i="8"/>
  <c r="T56" i="8"/>
  <c r="T55" i="8"/>
  <c r="T54" i="8"/>
  <c r="T53" i="8"/>
  <c r="T52" i="8"/>
  <c r="C50" i="8"/>
  <c r="B50" i="8"/>
  <c r="B49" i="8"/>
  <c r="T48" i="8"/>
  <c r="T47" i="8"/>
  <c r="T46" i="8"/>
  <c r="T45" i="8"/>
  <c r="T44" i="8"/>
  <c r="T43" i="8"/>
  <c r="T42" i="8"/>
  <c r="T41" i="8"/>
  <c r="T40" i="8"/>
  <c r="C38" i="8"/>
  <c r="B38" i="8"/>
  <c r="B37" i="8"/>
  <c r="T35" i="8"/>
  <c r="T34" i="8"/>
  <c r="T33" i="8"/>
  <c r="T32" i="8"/>
  <c r="T31" i="8"/>
  <c r="T30" i="8"/>
  <c r="T29" i="8"/>
  <c r="T28" i="8"/>
  <c r="T27" i="8"/>
  <c r="T26" i="8"/>
  <c r="T25" i="8"/>
  <c r="C23" i="8"/>
  <c r="B23" i="8"/>
  <c r="B22" i="8"/>
  <c r="T20" i="8"/>
  <c r="T19" i="8"/>
  <c r="T18" i="8"/>
  <c r="T17" i="8"/>
  <c r="T16" i="8"/>
  <c r="T15" i="8"/>
  <c r="T14" i="8"/>
  <c r="T13" i="8"/>
  <c r="T12" i="8"/>
  <c r="T11" i="8"/>
  <c r="T10" i="8"/>
  <c r="T9" i="8"/>
  <c r="T8" i="8"/>
  <c r="T7" i="8"/>
  <c r="T5" i="8"/>
  <c r="T4" i="8"/>
  <c r="T3" i="8"/>
  <c r="C74" i="7"/>
  <c r="B74" i="7"/>
  <c r="B73" i="7"/>
  <c r="T72" i="7"/>
  <c r="T71" i="7"/>
  <c r="T70" i="7"/>
  <c r="T69" i="7"/>
  <c r="T68" i="7"/>
  <c r="T67" i="7"/>
  <c r="T66" i="7"/>
  <c r="T65" i="7"/>
  <c r="T64" i="7"/>
  <c r="T63" i="7"/>
  <c r="C61" i="7"/>
  <c r="B61" i="7"/>
  <c r="B60" i="7"/>
  <c r="T58" i="7"/>
  <c r="T57" i="7"/>
  <c r="T56" i="7"/>
  <c r="T55" i="7"/>
  <c r="T54" i="7"/>
  <c r="T53" i="7"/>
  <c r="T52" i="7"/>
  <c r="C50" i="7"/>
  <c r="B50" i="7"/>
  <c r="B49" i="7"/>
  <c r="T48" i="7"/>
  <c r="T47" i="7"/>
  <c r="T46" i="7"/>
  <c r="T45" i="7"/>
  <c r="T44" i="7"/>
  <c r="T43" i="7"/>
  <c r="T42" i="7"/>
  <c r="T41" i="7"/>
  <c r="T40" i="7"/>
  <c r="T35" i="7"/>
  <c r="T34" i="7"/>
  <c r="T33" i="7"/>
  <c r="T32" i="7"/>
  <c r="T31" i="7"/>
  <c r="T30" i="7"/>
  <c r="T29" i="7"/>
  <c r="T28" i="7"/>
  <c r="T27" i="7"/>
  <c r="T26" i="7"/>
  <c r="T25" i="7"/>
  <c r="C23" i="7"/>
  <c r="B23" i="7"/>
  <c r="B22" i="7"/>
  <c r="T20" i="7"/>
  <c r="T19" i="7"/>
  <c r="T18" i="7"/>
  <c r="T17" i="7"/>
  <c r="T16" i="7"/>
  <c r="T15" i="7"/>
  <c r="T14" i="7"/>
  <c r="T13" i="7"/>
  <c r="T12" i="7"/>
  <c r="T11" i="7"/>
  <c r="T10" i="7"/>
  <c r="T9" i="7"/>
  <c r="T8" i="7"/>
  <c r="T7" i="7"/>
  <c r="T5" i="7"/>
  <c r="T4" i="7"/>
  <c r="T3" i="7"/>
  <c r="C75" i="1"/>
  <c r="B75" i="1"/>
  <c r="B74" i="1"/>
  <c r="T73" i="1"/>
  <c r="T72" i="1"/>
  <c r="T71" i="1"/>
  <c r="T70" i="1"/>
  <c r="T69" i="1"/>
  <c r="T68" i="1"/>
  <c r="T67" i="1"/>
  <c r="T66" i="1"/>
  <c r="T65" i="1"/>
  <c r="T64" i="1"/>
  <c r="C62" i="1"/>
  <c r="B62" i="1"/>
  <c r="B61" i="1"/>
  <c r="T59" i="1"/>
  <c r="T58" i="1"/>
  <c r="T57" i="1"/>
  <c r="T56" i="1"/>
  <c r="T55" i="1"/>
  <c r="T54" i="1"/>
  <c r="T53" i="1"/>
  <c r="C51" i="1"/>
  <c r="B51" i="1"/>
  <c r="B50" i="1"/>
  <c r="T48" i="1"/>
  <c r="T47" i="1"/>
  <c r="T46" i="1"/>
  <c r="T45" i="1"/>
  <c r="T44" i="1"/>
  <c r="T43" i="1"/>
  <c r="T42" i="1"/>
  <c r="T41" i="1"/>
  <c r="T40" i="1"/>
  <c r="C38" i="1"/>
  <c r="B38" i="1"/>
  <c r="B37" i="1"/>
  <c r="T35" i="1"/>
  <c r="T34" i="1"/>
  <c r="T33" i="1"/>
  <c r="T32" i="1"/>
  <c r="T31" i="1"/>
  <c r="T30" i="1"/>
  <c r="T29" i="1"/>
  <c r="T28" i="1"/>
  <c r="T27" i="1"/>
  <c r="T26" i="1"/>
  <c r="T25" i="1"/>
  <c r="C23" i="1"/>
  <c r="B23" i="1"/>
  <c r="B22" i="1"/>
  <c r="T20" i="1"/>
  <c r="T19" i="1"/>
  <c r="T18" i="1"/>
  <c r="T17" i="1"/>
  <c r="T16" i="1"/>
  <c r="T15" i="1"/>
  <c r="T14" i="1"/>
  <c r="T13" i="1"/>
  <c r="T12" i="1"/>
  <c r="T11" i="1"/>
  <c r="T10" i="1"/>
  <c r="T9" i="1"/>
  <c r="T8" i="1"/>
  <c r="T7" i="1"/>
  <c r="T5" i="1"/>
  <c r="S5" i="1"/>
  <c r="T4" i="1"/>
  <c r="S4" i="1"/>
  <c r="T3" i="1"/>
  <c r="C74" i="13"/>
  <c r="D74" i="13"/>
  <c r="E74" i="13"/>
  <c r="F74" i="13"/>
  <c r="G74" i="13"/>
  <c r="H74" i="13"/>
  <c r="I74" i="13"/>
  <c r="J74" i="13"/>
  <c r="K74" i="13"/>
  <c r="L74" i="13"/>
  <c r="M74" i="13"/>
  <c r="N74" i="13"/>
  <c r="O74" i="13"/>
  <c r="C61" i="13"/>
  <c r="D61" i="13"/>
  <c r="E61" i="13"/>
  <c r="F61" i="13"/>
  <c r="G61" i="13"/>
  <c r="H61" i="13"/>
  <c r="I61" i="13"/>
  <c r="J61" i="13"/>
  <c r="K61" i="13"/>
  <c r="L61" i="13"/>
  <c r="M61" i="13"/>
  <c r="N61" i="13"/>
  <c r="O61" i="13"/>
  <c r="B74" i="13"/>
  <c r="B73" i="13"/>
  <c r="B61" i="13"/>
  <c r="B60" i="13"/>
  <c r="C50" i="13"/>
  <c r="D50" i="13"/>
  <c r="E50" i="13"/>
  <c r="F50" i="13"/>
  <c r="G50" i="13"/>
  <c r="H50" i="13"/>
  <c r="I50" i="13"/>
  <c r="J50" i="13"/>
  <c r="K50" i="13"/>
  <c r="L50" i="13"/>
  <c r="M50" i="13"/>
  <c r="N50" i="13"/>
  <c r="O50" i="13"/>
  <c r="B50" i="13"/>
  <c r="B49" i="13"/>
  <c r="C38" i="13"/>
  <c r="D38" i="13"/>
  <c r="E38" i="13"/>
  <c r="F38" i="13"/>
  <c r="G38" i="13"/>
  <c r="H38" i="13"/>
  <c r="I38" i="13"/>
  <c r="J38" i="13"/>
  <c r="K38" i="13"/>
  <c r="L38" i="13"/>
  <c r="M38" i="13"/>
  <c r="N38" i="13"/>
  <c r="O38" i="13"/>
  <c r="B38" i="13"/>
  <c r="B37" i="13"/>
  <c r="C23" i="13"/>
  <c r="D23" i="13"/>
  <c r="E23" i="13"/>
  <c r="F23" i="13"/>
  <c r="G23" i="13"/>
  <c r="H23" i="13"/>
  <c r="I23" i="13"/>
  <c r="J23" i="13"/>
  <c r="K23" i="13"/>
  <c r="L23" i="13"/>
  <c r="M23" i="13"/>
  <c r="N23" i="13"/>
  <c r="O23" i="13"/>
  <c r="B23" i="13"/>
  <c r="B22" i="13"/>
  <c r="M21" i="14"/>
  <c r="L21" i="14"/>
  <c r="R14" i="14"/>
  <c r="S10" i="14"/>
  <c r="S11" i="14"/>
  <c r="S12" i="14"/>
  <c r="S13" i="14"/>
  <c r="S9" i="14"/>
  <c r="T10" i="14"/>
  <c r="T11" i="14"/>
  <c r="T12" i="14"/>
  <c r="T13" i="14"/>
  <c r="T9" i="14"/>
  <c r="R10" i="14"/>
  <c r="R11" i="14"/>
  <c r="R12" i="14"/>
  <c r="R13" i="14"/>
  <c r="R9" i="14"/>
  <c r="C14" i="14"/>
  <c r="C15" i="14" s="1"/>
  <c r="D14" i="14"/>
  <c r="D15" i="14" s="1"/>
  <c r="E14" i="14"/>
  <c r="F14" i="14"/>
  <c r="F15" i="14" s="1"/>
  <c r="G14" i="14"/>
  <c r="G15" i="14" s="1"/>
  <c r="H14" i="14"/>
  <c r="H15" i="14" s="1"/>
  <c r="I14" i="14"/>
  <c r="J14" i="14"/>
  <c r="J15" i="14" s="1"/>
  <c r="K14" i="14"/>
  <c r="K15" i="14" s="1"/>
  <c r="L14" i="14"/>
  <c r="L15" i="14" s="1"/>
  <c r="M14" i="14"/>
  <c r="N14" i="14"/>
  <c r="N15" i="14" s="1"/>
  <c r="O14" i="14"/>
  <c r="O15" i="14" s="1"/>
  <c r="B14" i="14"/>
  <c r="B15" i="14" s="1"/>
  <c r="E15" i="14"/>
  <c r="I15" i="14"/>
  <c r="M15" i="14"/>
  <c r="T25" i="13"/>
  <c r="T26" i="13"/>
  <c r="T27" i="13"/>
  <c r="T28" i="13"/>
  <c r="T29" i="13"/>
  <c r="T30" i="13"/>
  <c r="T31" i="13"/>
  <c r="T32" i="13"/>
  <c r="T33" i="13"/>
  <c r="T34" i="13"/>
  <c r="T35" i="13"/>
  <c r="T40" i="13"/>
  <c r="T41" i="13"/>
  <c r="T42" i="13"/>
  <c r="T43" i="13"/>
  <c r="T44" i="13"/>
  <c r="T45" i="13"/>
  <c r="T46" i="13"/>
  <c r="T47" i="13"/>
  <c r="T48" i="13"/>
  <c r="T52" i="13"/>
  <c r="T53" i="13"/>
  <c r="T54" i="13"/>
  <c r="T55" i="13"/>
  <c r="T56" i="13"/>
  <c r="T57" i="13"/>
  <c r="T58" i="13"/>
  <c r="T63" i="13"/>
  <c r="T64" i="13"/>
  <c r="T65" i="13"/>
  <c r="T66" i="13"/>
  <c r="T67" i="13"/>
  <c r="T68" i="13"/>
  <c r="T69" i="13"/>
  <c r="T70" i="13"/>
  <c r="T71" i="13"/>
  <c r="T72" i="13"/>
  <c r="M28" i="57"/>
  <c r="M27" i="57"/>
  <c r="M26" i="57"/>
  <c r="V23" i="57"/>
  <c r="V22" i="57"/>
  <c r="O17" i="57"/>
  <c r="O18" i="57"/>
  <c r="O19" i="57"/>
  <c r="O20" i="57"/>
  <c r="O21" i="57"/>
  <c r="O16" i="57"/>
  <c r="O13" i="57"/>
  <c r="O6" i="57"/>
  <c r="O7" i="57"/>
  <c r="O8" i="57"/>
  <c r="O9" i="57"/>
  <c r="O10" i="57"/>
  <c r="O11" i="57"/>
  <c r="O12" i="57"/>
  <c r="O14" i="57"/>
  <c r="O15" i="57"/>
  <c r="O5" i="57"/>
  <c r="L27" i="57"/>
  <c r="L28" i="57"/>
  <c r="L26" i="57"/>
  <c r="U22" i="57"/>
  <c r="U23" i="57"/>
  <c r="K21" i="14" l="1"/>
  <c r="T37" i="7"/>
  <c r="T38" i="7"/>
  <c r="T50" i="8"/>
  <c r="T49" i="8"/>
  <c r="T60" i="8"/>
  <c r="T61" i="8"/>
  <c r="T51" i="1"/>
  <c r="T50" i="1"/>
  <c r="T61" i="1"/>
  <c r="T62" i="1"/>
  <c r="T73" i="7"/>
  <c r="T74" i="7"/>
  <c r="T23" i="8"/>
  <c r="T22" i="8"/>
  <c r="S14" i="14"/>
  <c r="T23" i="1"/>
  <c r="T22" i="1"/>
  <c r="T37" i="8"/>
  <c r="T38" i="8"/>
  <c r="T74" i="8"/>
  <c r="T73" i="8"/>
  <c r="T37" i="1"/>
  <c r="T38" i="1"/>
  <c r="T75" i="1"/>
  <c r="T74" i="1"/>
  <c r="T23" i="7"/>
  <c r="T22" i="7"/>
  <c r="T49" i="7"/>
  <c r="T50" i="7"/>
  <c r="T61" i="7"/>
  <c r="T60" i="7"/>
  <c r="R6" i="34"/>
  <c r="M11" i="70"/>
  <c r="L10" i="70"/>
  <c r="L14" i="70" s="1"/>
  <c r="M10" i="70"/>
  <c r="M14" i="70" s="1"/>
  <c r="K10" i="70"/>
  <c r="K14" i="70" s="1"/>
  <c r="F10" i="70"/>
  <c r="F14" i="70" s="1"/>
  <c r="G10" i="70"/>
  <c r="G14" i="70" s="1"/>
  <c r="H10" i="70"/>
  <c r="H14" i="70" s="1"/>
  <c r="I10" i="70"/>
  <c r="I14" i="70" s="1"/>
  <c r="J10" i="70"/>
  <c r="J14" i="70" s="1"/>
  <c r="E10" i="70"/>
  <c r="E14" i="70" s="1"/>
  <c r="C10" i="70"/>
  <c r="C14" i="70" s="1"/>
  <c r="D10" i="70"/>
  <c r="D14" i="70" s="1"/>
  <c r="B10" i="70"/>
  <c r="B14" i="70" s="1"/>
  <c r="F20" i="70"/>
  <c r="G20" i="70"/>
  <c r="H20" i="70"/>
  <c r="I20" i="70"/>
  <c r="J20" i="70"/>
  <c r="E20" i="70"/>
  <c r="F19" i="70"/>
  <c r="G19" i="70"/>
  <c r="H19" i="70"/>
  <c r="I19" i="70"/>
  <c r="J19" i="70"/>
  <c r="E19" i="70"/>
  <c r="M12" i="70" l="1"/>
  <c r="N14" i="70"/>
  <c r="I11" i="70"/>
  <c r="E11" i="70"/>
  <c r="I12" i="70"/>
  <c r="E12" i="70"/>
  <c r="M13" i="70"/>
  <c r="I13" i="70"/>
  <c r="E13" i="70"/>
  <c r="L11" i="70"/>
  <c r="H11" i="70"/>
  <c r="D11" i="70"/>
  <c r="L12" i="70"/>
  <c r="H12" i="70"/>
  <c r="D12" i="70"/>
  <c r="L13" i="70"/>
  <c r="H13" i="70"/>
  <c r="D13" i="70"/>
  <c r="K11" i="70"/>
  <c r="G11" i="70"/>
  <c r="C11" i="70"/>
  <c r="K12" i="70"/>
  <c r="G12" i="70"/>
  <c r="C12" i="70"/>
  <c r="K13" i="70"/>
  <c r="G13" i="70"/>
  <c r="C13" i="70"/>
  <c r="B11" i="70"/>
  <c r="J11" i="70"/>
  <c r="F11" i="70"/>
  <c r="B12" i="70"/>
  <c r="J12" i="70"/>
  <c r="F12" i="70"/>
  <c r="B13" i="70"/>
  <c r="J13" i="70"/>
  <c r="F13" i="70"/>
  <c r="N10" i="70"/>
  <c r="N4" i="70"/>
  <c r="N5" i="70"/>
  <c r="N3" i="70"/>
  <c r="C20" i="70"/>
  <c r="D20" i="70"/>
  <c r="K20" i="70"/>
  <c r="L20" i="70"/>
  <c r="M20" i="70"/>
  <c r="B20" i="70"/>
  <c r="C19" i="70"/>
  <c r="D19" i="70"/>
  <c r="K19" i="70"/>
  <c r="L19" i="70"/>
  <c r="M19" i="70"/>
  <c r="B19" i="70"/>
  <c r="C18" i="70"/>
  <c r="D18" i="70"/>
  <c r="E18" i="70"/>
  <c r="F18" i="70"/>
  <c r="G18" i="70"/>
  <c r="H18" i="70"/>
  <c r="I18" i="70"/>
  <c r="J18" i="70"/>
  <c r="K18" i="70"/>
  <c r="L18" i="70"/>
  <c r="M18" i="70"/>
  <c r="B18" i="70"/>
  <c r="W21" i="24"/>
  <c r="W17" i="24"/>
  <c r="W13" i="24"/>
  <c r="W6" i="24"/>
  <c r="C119" i="23"/>
  <c r="G118" i="23" s="1"/>
  <c r="G95" i="22"/>
  <c r="G119" i="22" s="1"/>
  <c r="AV26" i="25"/>
  <c r="AV27" i="25"/>
  <c r="AV23" i="25"/>
  <c r="AV24" i="25" s="1"/>
  <c r="AV20" i="25"/>
  <c r="AV21" i="25" s="1"/>
  <c r="AV17" i="25"/>
  <c r="AV18" i="25" s="1"/>
  <c r="AV9" i="25"/>
  <c r="AV10" i="25" s="1"/>
  <c r="AV6" i="25"/>
  <c r="AV7" i="25" s="1"/>
  <c r="AV3" i="25"/>
  <c r="AV4" i="25" s="1"/>
  <c r="W36" i="20"/>
  <c r="W37" i="20" s="1"/>
  <c r="W34" i="20"/>
  <c r="W33" i="20"/>
  <c r="W30" i="20"/>
  <c r="W31" i="20" s="1"/>
  <c r="W25" i="20"/>
  <c r="W26" i="20" s="1"/>
  <c r="W22" i="20"/>
  <c r="W23" i="20" s="1"/>
  <c r="W19" i="20"/>
  <c r="W20" i="20" s="1"/>
  <c r="T5" i="14"/>
  <c r="L30" i="21"/>
  <c r="M30" i="21"/>
  <c r="L31" i="21"/>
  <c r="M31" i="21"/>
  <c r="C17" i="21"/>
  <c r="D17" i="21"/>
  <c r="E17" i="21"/>
  <c r="F17" i="21"/>
  <c r="G17" i="21"/>
  <c r="H17" i="21"/>
  <c r="I17" i="21"/>
  <c r="J17" i="21"/>
  <c r="K17" i="21"/>
  <c r="L17" i="21"/>
  <c r="M17" i="21"/>
  <c r="C18" i="21"/>
  <c r="D18" i="21"/>
  <c r="E18" i="21"/>
  <c r="F18" i="21"/>
  <c r="G18" i="21"/>
  <c r="H18" i="21"/>
  <c r="I18" i="21"/>
  <c r="J18" i="21"/>
  <c r="K18" i="21"/>
  <c r="L18" i="21"/>
  <c r="M18" i="21"/>
  <c r="B18" i="21"/>
  <c r="B17" i="21"/>
  <c r="I32" i="21"/>
  <c r="I34" i="21" s="1"/>
  <c r="E32" i="21"/>
  <c r="E34" i="21" s="1"/>
  <c r="N26" i="21"/>
  <c r="N25" i="21"/>
  <c r="Q47" i="3"/>
  <c r="Q5" i="3"/>
  <c r="N11" i="70" l="1"/>
  <c r="M32" i="21"/>
  <c r="M34" i="21" s="1"/>
  <c r="N12" i="70"/>
  <c r="AV12" i="25"/>
  <c r="N13" i="70"/>
  <c r="N19" i="70"/>
  <c r="L32" i="21"/>
  <c r="L34" i="21" s="1"/>
  <c r="K32" i="21"/>
  <c r="K34" i="21" s="1"/>
  <c r="G32" i="21"/>
  <c r="G34" i="21" s="1"/>
  <c r="C32" i="21"/>
  <c r="C34" i="21" s="1"/>
  <c r="N31" i="21"/>
  <c r="J32" i="21"/>
  <c r="J34" i="21" s="1"/>
  <c r="H32" i="21"/>
  <c r="H34" i="21" s="1"/>
  <c r="F32" i="21"/>
  <c r="F34" i="21" s="1"/>
  <c r="D32" i="21"/>
  <c r="D34" i="21" s="1"/>
  <c r="N18" i="70"/>
  <c r="N20" i="70"/>
  <c r="N30" i="21"/>
  <c r="B32" i="21"/>
  <c r="B34" i="21" s="1"/>
  <c r="T18" i="13"/>
  <c r="T19" i="13"/>
  <c r="T20" i="13"/>
  <c r="Z5" i="24"/>
  <c r="Z10" i="24"/>
  <c r="Z11" i="24"/>
  <c r="Z12" i="24"/>
  <c r="Z22" i="24"/>
  <c r="Z4" i="24"/>
  <c r="Y5" i="24"/>
  <c r="Y11" i="24"/>
  <c r="N34" i="21" l="1"/>
  <c r="N32" i="21"/>
  <c r="Q6" i="70"/>
  <c r="T6" i="70" s="1"/>
  <c r="Q5" i="70"/>
  <c r="U5" i="70" s="1"/>
  <c r="Q4" i="70"/>
  <c r="T4" i="70" s="1"/>
  <c r="Q10" i="60"/>
  <c r="AF6" i="60" l="1"/>
  <c r="T5" i="70"/>
  <c r="R5" i="70"/>
  <c r="S4" i="70"/>
  <c r="S6" i="70"/>
  <c r="U4" i="70"/>
  <c r="U6" i="70"/>
  <c r="R4" i="70"/>
  <c r="R6" i="70"/>
  <c r="S5" i="70"/>
  <c r="R20" i="34"/>
  <c r="AI58" i="68" l="1"/>
  <c r="I58" i="68"/>
  <c r="I57" i="68"/>
  <c r="V58" i="68"/>
  <c r="AI59" i="68"/>
  <c r="V59" i="68"/>
  <c r="H57" i="68"/>
  <c r="AK58" i="68"/>
  <c r="U58" i="68"/>
  <c r="AH58" i="68"/>
  <c r="X58" i="68"/>
  <c r="K42" i="67" l="1"/>
  <c r="J42" i="67"/>
  <c r="I42" i="67"/>
  <c r="L41" i="67"/>
  <c r="L40" i="67"/>
  <c r="C37" i="67"/>
  <c r="C44" i="67" s="1"/>
  <c r="E35" i="67" s="1"/>
  <c r="G57" i="68"/>
  <c r="AG58" i="68"/>
  <c r="T58" i="68"/>
  <c r="L42" i="67" l="1"/>
  <c r="D44" i="67"/>
  <c r="B37" i="67"/>
  <c r="B36" i="67"/>
  <c r="B44" i="67" s="1"/>
  <c r="E44" i="67" l="1"/>
  <c r="AF114" i="67" l="1"/>
  <c r="AD114" i="67"/>
  <c r="T156" i="67"/>
  <c r="T140" i="67"/>
  <c r="S140" i="67"/>
  <c r="R140" i="67"/>
  <c r="R156" i="67"/>
  <c r="S156" i="67"/>
  <c r="AF53" i="67"/>
  <c r="AD53" i="67"/>
  <c r="O9" i="67"/>
  <c r="N9" i="67"/>
  <c r="M9" i="67"/>
  <c r="H39" i="58" l="1"/>
  <c r="H40" i="58"/>
  <c r="H41" i="58"/>
  <c r="H42" i="58"/>
  <c r="H43" i="58"/>
  <c r="D8" i="58"/>
  <c r="E8" i="58"/>
  <c r="F8" i="58"/>
  <c r="G8" i="58"/>
  <c r="C8" i="58"/>
  <c r="H36" i="58"/>
  <c r="G50" i="58"/>
  <c r="F50" i="58"/>
  <c r="E50" i="58"/>
  <c r="D50" i="58"/>
  <c r="C50" i="58"/>
  <c r="H49" i="58"/>
  <c r="H48" i="58"/>
  <c r="H47" i="58"/>
  <c r="H46" i="58"/>
  <c r="H45" i="58"/>
  <c r="H44" i="58"/>
  <c r="H38" i="58"/>
  <c r="H37" i="58"/>
  <c r="H35" i="58"/>
  <c r="H34" i="58"/>
  <c r="H33" i="58"/>
  <c r="K28" i="57"/>
  <c r="K27" i="57"/>
  <c r="K26" i="57"/>
  <c r="T23" i="57" l="1"/>
  <c r="AB22" i="57" l="1"/>
  <c r="AC22" i="57"/>
  <c r="AD22" i="57"/>
  <c r="AA22" i="57"/>
  <c r="T22" i="57" l="1"/>
  <c r="J29" i="65" l="1"/>
  <c r="J28" i="65"/>
  <c r="J18" i="65"/>
  <c r="J17" i="65"/>
  <c r="J27" i="65"/>
  <c r="J26" i="65"/>
  <c r="J16" i="65"/>
  <c r="J15" i="65"/>
  <c r="J7" i="65"/>
  <c r="J6" i="65"/>
  <c r="J5" i="65"/>
  <c r="J4" i="65"/>
  <c r="O31" i="64" l="1"/>
  <c r="O30" i="64"/>
  <c r="O29" i="64"/>
  <c r="O28" i="64"/>
  <c r="O19" i="64"/>
  <c r="O18" i="64"/>
  <c r="O17" i="64"/>
  <c r="O16" i="64"/>
  <c r="O4" i="64"/>
  <c r="O5" i="64"/>
  <c r="O6" i="64"/>
  <c r="O7" i="64"/>
  <c r="Q6" i="60" l="1"/>
  <c r="B10" i="26" l="1"/>
  <c r="L9" i="26"/>
  <c r="M9" i="26"/>
  <c r="L10" i="26"/>
  <c r="M10" i="26"/>
  <c r="L11" i="26"/>
  <c r="M11" i="26"/>
  <c r="K10" i="26"/>
  <c r="K11" i="26"/>
  <c r="K9" i="26"/>
  <c r="C10" i="26"/>
  <c r="D10" i="26"/>
  <c r="E10" i="26"/>
  <c r="F10" i="26"/>
  <c r="G10" i="26"/>
  <c r="C11" i="26"/>
  <c r="D11" i="26"/>
  <c r="E11" i="26"/>
  <c r="F11" i="26"/>
  <c r="G11" i="26"/>
  <c r="D9" i="26"/>
  <c r="E9" i="26"/>
  <c r="F9" i="26"/>
  <c r="G9" i="26"/>
  <c r="R10" i="34"/>
  <c r="AU26" i="25" l="1"/>
  <c r="AU27" i="25" s="1"/>
  <c r="AU23" i="25"/>
  <c r="AU24" i="25" s="1"/>
  <c r="AU20" i="25"/>
  <c r="AU21" i="25" s="1"/>
  <c r="AU17" i="25"/>
  <c r="AU18" i="25" s="1"/>
  <c r="AU9" i="25"/>
  <c r="AU10" i="25" s="1"/>
  <c r="AU6" i="25"/>
  <c r="AU7" i="25" s="1"/>
  <c r="AU3" i="25"/>
  <c r="AU4" i="25" s="1"/>
  <c r="AU12" i="25" s="1"/>
  <c r="V19" i="20"/>
  <c r="V20" i="20" s="1"/>
  <c r="V22" i="20"/>
  <c r="V23" i="20" s="1"/>
  <c r="V25" i="20"/>
  <c r="V26" i="20" s="1"/>
  <c r="V30" i="20"/>
  <c r="V31" i="20" s="1"/>
  <c r="V36" i="20"/>
  <c r="V37" i="20" s="1"/>
  <c r="V33" i="20"/>
  <c r="V34" i="20" s="1"/>
  <c r="C118" i="23"/>
  <c r="G117" i="23" s="1"/>
  <c r="G94" i="22"/>
  <c r="G118" i="22" s="1"/>
  <c r="AK28" i="24"/>
  <c r="AK29" i="24"/>
  <c r="AK37" i="24"/>
  <c r="AK26" i="24"/>
  <c r="T4" i="13"/>
  <c r="T5" i="13"/>
  <c r="T7" i="13"/>
  <c r="T8" i="13"/>
  <c r="T9" i="13"/>
  <c r="T10" i="13"/>
  <c r="T11" i="13"/>
  <c r="T12" i="13"/>
  <c r="T13" i="13"/>
  <c r="T14" i="13"/>
  <c r="T15" i="13"/>
  <c r="T16" i="13"/>
  <c r="T17" i="13"/>
  <c r="T3" i="13"/>
  <c r="L16" i="12"/>
  <c r="M16" i="12"/>
  <c r="L17" i="12"/>
  <c r="M17" i="12"/>
  <c r="L18" i="12"/>
  <c r="M18" i="12"/>
  <c r="L19" i="12"/>
  <c r="M19" i="12"/>
  <c r="L20" i="12"/>
  <c r="M20" i="12"/>
  <c r="K17" i="12"/>
  <c r="K18" i="12"/>
  <c r="K19" i="12"/>
  <c r="K20" i="12"/>
  <c r="K16" i="12"/>
  <c r="C16" i="12"/>
  <c r="D16" i="12"/>
  <c r="E16" i="12"/>
  <c r="F16" i="12"/>
  <c r="G16" i="12"/>
  <c r="C17" i="12"/>
  <c r="D17" i="12"/>
  <c r="E17" i="12"/>
  <c r="F17" i="12"/>
  <c r="G17" i="12"/>
  <c r="C18" i="12"/>
  <c r="D18" i="12"/>
  <c r="E18" i="12"/>
  <c r="F18" i="12"/>
  <c r="G18" i="12"/>
  <c r="C19" i="12"/>
  <c r="D19" i="12"/>
  <c r="E19" i="12"/>
  <c r="F19" i="12"/>
  <c r="G19" i="12"/>
  <c r="C20" i="12"/>
  <c r="D20" i="12"/>
  <c r="E20" i="12"/>
  <c r="F20" i="12"/>
  <c r="G20" i="12"/>
  <c r="B17" i="12"/>
  <c r="B18" i="12"/>
  <c r="B19" i="12"/>
  <c r="B20" i="12"/>
  <c r="B16" i="12"/>
  <c r="L20" i="14"/>
  <c r="M20" i="14"/>
  <c r="C20" i="14"/>
  <c r="D20" i="14"/>
  <c r="E20" i="14"/>
  <c r="F20" i="14"/>
  <c r="G20" i="14"/>
  <c r="B20" i="14"/>
  <c r="L55" i="3"/>
  <c r="M55" i="3"/>
  <c r="L56" i="3"/>
  <c r="M56" i="3"/>
  <c r="L57" i="3"/>
  <c r="M57" i="3"/>
  <c r="L58" i="3"/>
  <c r="M58" i="3"/>
  <c r="L59" i="3"/>
  <c r="M59" i="3"/>
  <c r="K56" i="3"/>
  <c r="K57" i="3"/>
  <c r="K58" i="3"/>
  <c r="K59" i="3"/>
  <c r="K55" i="3"/>
  <c r="C55" i="3"/>
  <c r="D55" i="3"/>
  <c r="E55" i="3"/>
  <c r="F55" i="3"/>
  <c r="G55" i="3"/>
  <c r="C56" i="3"/>
  <c r="D56" i="3"/>
  <c r="E56" i="3"/>
  <c r="F56" i="3"/>
  <c r="G56" i="3"/>
  <c r="C57" i="3"/>
  <c r="D57" i="3"/>
  <c r="E57" i="3"/>
  <c r="F57" i="3"/>
  <c r="G57" i="3"/>
  <c r="C58" i="3"/>
  <c r="D58" i="3"/>
  <c r="E58" i="3"/>
  <c r="F58" i="3"/>
  <c r="G58" i="3"/>
  <c r="C59" i="3"/>
  <c r="D59" i="3"/>
  <c r="E59" i="3"/>
  <c r="F59" i="3"/>
  <c r="G59" i="3"/>
  <c r="B56" i="3"/>
  <c r="B57" i="3"/>
  <c r="B58" i="3"/>
  <c r="B59" i="3"/>
  <c r="B55" i="3"/>
  <c r="L15" i="3"/>
  <c r="M15" i="3"/>
  <c r="L16" i="3"/>
  <c r="M16" i="3"/>
  <c r="L17" i="3"/>
  <c r="M17" i="3"/>
  <c r="L18" i="3"/>
  <c r="M18" i="3"/>
  <c r="L19" i="3"/>
  <c r="M19" i="3"/>
  <c r="K16" i="3"/>
  <c r="K17" i="3"/>
  <c r="K18" i="3"/>
  <c r="K19" i="3"/>
  <c r="K15" i="3"/>
  <c r="C15" i="3"/>
  <c r="D15" i="3"/>
  <c r="E15" i="3"/>
  <c r="F15" i="3"/>
  <c r="G15" i="3"/>
  <c r="C16" i="3"/>
  <c r="D16" i="3"/>
  <c r="E16" i="3"/>
  <c r="F16" i="3"/>
  <c r="G16" i="3"/>
  <c r="C17" i="3"/>
  <c r="D17" i="3"/>
  <c r="E17" i="3"/>
  <c r="F17" i="3"/>
  <c r="G17" i="3"/>
  <c r="C18" i="3"/>
  <c r="D18" i="3"/>
  <c r="E18" i="3"/>
  <c r="F18" i="3"/>
  <c r="G18" i="3"/>
  <c r="C19" i="3"/>
  <c r="D19" i="3"/>
  <c r="E19" i="3"/>
  <c r="F19" i="3"/>
  <c r="G19" i="3"/>
  <c r="B16" i="3"/>
  <c r="B17" i="3"/>
  <c r="B18" i="3"/>
  <c r="B19" i="3"/>
  <c r="B15" i="3"/>
  <c r="V21" i="24"/>
  <c r="V17" i="24"/>
  <c r="V13" i="24"/>
  <c r="V6" i="24"/>
  <c r="M15" i="26"/>
  <c r="M23" i="26" s="1"/>
  <c r="L15" i="26"/>
  <c r="L23" i="26" s="1"/>
  <c r="K15" i="26"/>
  <c r="K23" i="26" s="1"/>
  <c r="J11" i="26"/>
  <c r="J15" i="26" s="1"/>
  <c r="J23" i="26" s="1"/>
  <c r="I11" i="26"/>
  <c r="I15" i="26" s="1"/>
  <c r="I23" i="26" s="1"/>
  <c r="H11" i="26"/>
  <c r="H15" i="26" s="1"/>
  <c r="H23" i="26" s="1"/>
  <c r="G15" i="26"/>
  <c r="G23" i="26" s="1"/>
  <c r="F15" i="26"/>
  <c r="F23" i="26" s="1"/>
  <c r="E15" i="26"/>
  <c r="E23" i="26" s="1"/>
  <c r="D15" i="26"/>
  <c r="D23" i="26" s="1"/>
  <c r="C15" i="26"/>
  <c r="C23" i="26" s="1"/>
  <c r="B11" i="26"/>
  <c r="B15" i="26" s="1"/>
  <c r="B23" i="26" s="1"/>
  <c r="M14" i="26"/>
  <c r="M21" i="26" s="1"/>
  <c r="L14" i="26"/>
  <c r="L21" i="26" s="1"/>
  <c r="K14" i="26"/>
  <c r="K21" i="26" s="1"/>
  <c r="J10" i="26"/>
  <c r="J14" i="26" s="1"/>
  <c r="J21" i="26" s="1"/>
  <c r="I10" i="26"/>
  <c r="I14" i="26" s="1"/>
  <c r="I21" i="26" s="1"/>
  <c r="H10" i="26"/>
  <c r="H14" i="26" s="1"/>
  <c r="H21" i="26" s="1"/>
  <c r="G14" i="26"/>
  <c r="G21" i="26" s="1"/>
  <c r="F14" i="26"/>
  <c r="F21" i="26" s="1"/>
  <c r="E14" i="26"/>
  <c r="E21" i="26" s="1"/>
  <c r="D14" i="26"/>
  <c r="D21" i="26" s="1"/>
  <c r="C14" i="26"/>
  <c r="C21" i="26" s="1"/>
  <c r="B14" i="26"/>
  <c r="B21" i="26" s="1"/>
  <c r="M13" i="26"/>
  <c r="M20" i="26" s="1"/>
  <c r="M22" i="26" s="1"/>
  <c r="L13" i="26"/>
  <c r="L20" i="26" s="1"/>
  <c r="L22" i="26" s="1"/>
  <c r="K13" i="26"/>
  <c r="K20" i="26" s="1"/>
  <c r="K22" i="26" s="1"/>
  <c r="J9" i="26"/>
  <c r="J13" i="26" s="1"/>
  <c r="J20" i="26" s="1"/>
  <c r="J22" i="26" s="1"/>
  <c r="I9" i="26"/>
  <c r="I13" i="26" s="1"/>
  <c r="I20" i="26" s="1"/>
  <c r="I22" i="26" s="1"/>
  <c r="H9" i="26"/>
  <c r="H13" i="26" s="1"/>
  <c r="H20" i="26" s="1"/>
  <c r="H22" i="26" s="1"/>
  <c r="G13" i="26"/>
  <c r="G20" i="26" s="1"/>
  <c r="G22" i="26" s="1"/>
  <c r="F13" i="26"/>
  <c r="F20" i="26" s="1"/>
  <c r="F22" i="26" s="1"/>
  <c r="E13" i="26"/>
  <c r="E20" i="26" s="1"/>
  <c r="E22" i="26" s="1"/>
  <c r="D13" i="26"/>
  <c r="D20" i="26" s="1"/>
  <c r="D22" i="26" s="1"/>
  <c r="C9" i="26"/>
  <c r="C13" i="26" s="1"/>
  <c r="C20" i="26" s="1"/>
  <c r="C22" i="26" s="1"/>
  <c r="B9" i="26"/>
  <c r="B13" i="26" s="1"/>
  <c r="B20" i="26" s="1"/>
  <c r="AT26" i="25"/>
  <c r="AT27" i="25" s="1"/>
  <c r="AS26" i="25"/>
  <c r="AS27" i="25" s="1"/>
  <c r="AR26" i="25"/>
  <c r="AR27" i="25" s="1"/>
  <c r="AQ26" i="25"/>
  <c r="AQ27" i="25" s="1"/>
  <c r="AP26" i="25"/>
  <c r="AP27" i="25" s="1"/>
  <c r="AO26" i="25"/>
  <c r="AO27" i="25" s="1"/>
  <c r="AN26" i="25"/>
  <c r="AN27" i="25" s="1"/>
  <c r="AM26" i="25"/>
  <c r="AM27" i="25" s="1"/>
  <c r="AL26" i="25"/>
  <c r="AL27" i="25" s="1"/>
  <c r="AK26" i="25"/>
  <c r="AK27" i="25" s="1"/>
  <c r="AJ26" i="25"/>
  <c r="AJ27" i="25" s="1"/>
  <c r="AI26" i="25"/>
  <c r="AI27" i="25" s="1"/>
  <c r="AH26" i="25"/>
  <c r="AH27" i="25" s="1"/>
  <c r="AG26" i="25"/>
  <c r="AG27" i="25" s="1"/>
  <c r="AF26" i="25"/>
  <c r="AF27" i="25" s="1"/>
  <c r="AE26" i="25"/>
  <c r="AE27" i="25" s="1"/>
  <c r="AD26" i="25"/>
  <c r="AD27" i="25" s="1"/>
  <c r="AC26" i="25"/>
  <c r="AC27" i="25" s="1"/>
  <c r="AB26" i="25"/>
  <c r="AB27" i="25" s="1"/>
  <c r="AT23" i="25"/>
  <c r="AT24" i="25" s="1"/>
  <c r="AS23" i="25"/>
  <c r="AS24" i="25" s="1"/>
  <c r="AR23" i="25"/>
  <c r="AR24" i="25" s="1"/>
  <c r="AQ23" i="25"/>
  <c r="AQ24" i="25" s="1"/>
  <c r="AP23" i="25"/>
  <c r="AP24" i="25" s="1"/>
  <c r="AO23" i="25"/>
  <c r="AO24" i="25" s="1"/>
  <c r="AN23" i="25"/>
  <c r="AN24" i="25" s="1"/>
  <c r="AM23" i="25"/>
  <c r="AM24" i="25" s="1"/>
  <c r="AL23" i="25"/>
  <c r="AL24" i="25" s="1"/>
  <c r="AK23" i="25"/>
  <c r="AK24" i="25" s="1"/>
  <c r="AJ23" i="25"/>
  <c r="AJ24" i="25" s="1"/>
  <c r="AI23" i="25"/>
  <c r="AI24" i="25" s="1"/>
  <c r="AH23" i="25"/>
  <c r="AH24" i="25" s="1"/>
  <c r="AG23" i="25"/>
  <c r="AG24" i="25" s="1"/>
  <c r="AF23" i="25"/>
  <c r="AF24" i="25" s="1"/>
  <c r="AE23" i="25"/>
  <c r="AE24" i="25" s="1"/>
  <c r="AD23" i="25"/>
  <c r="AD24" i="25" s="1"/>
  <c r="AC23" i="25"/>
  <c r="AC24" i="25" s="1"/>
  <c r="AB23" i="25"/>
  <c r="AB24" i="25" s="1"/>
  <c r="AT20" i="25"/>
  <c r="AT21" i="25" s="1"/>
  <c r="AS20" i="25"/>
  <c r="AS21" i="25" s="1"/>
  <c r="AR20" i="25"/>
  <c r="AR21" i="25" s="1"/>
  <c r="AQ20" i="25"/>
  <c r="AQ21" i="25" s="1"/>
  <c r="AP20" i="25"/>
  <c r="AP21" i="25" s="1"/>
  <c r="AO20" i="25"/>
  <c r="AO21" i="25" s="1"/>
  <c r="AN20" i="25"/>
  <c r="AN21" i="25" s="1"/>
  <c r="AM20" i="25"/>
  <c r="AM21" i="25" s="1"/>
  <c r="AL20" i="25"/>
  <c r="AL21" i="25" s="1"/>
  <c r="AK20" i="25"/>
  <c r="AK21" i="25" s="1"/>
  <c r="AJ20" i="25"/>
  <c r="AJ21" i="25" s="1"/>
  <c r="AI20" i="25"/>
  <c r="AI21" i="25" s="1"/>
  <c r="AH20" i="25"/>
  <c r="AH21" i="25" s="1"/>
  <c r="AG20" i="25"/>
  <c r="AG21" i="25" s="1"/>
  <c r="AF20" i="25"/>
  <c r="AF21" i="25" s="1"/>
  <c r="AE20" i="25"/>
  <c r="AE21" i="25" s="1"/>
  <c r="AD20" i="25"/>
  <c r="AD21" i="25" s="1"/>
  <c r="AC20" i="25"/>
  <c r="AC21" i="25" s="1"/>
  <c r="AB20" i="25"/>
  <c r="AB21" i="25" s="1"/>
  <c r="AT17" i="25"/>
  <c r="AT18" i="25" s="1"/>
  <c r="AS17" i="25"/>
  <c r="AS18" i="25" s="1"/>
  <c r="AR17" i="25"/>
  <c r="AR18" i="25" s="1"/>
  <c r="AR29" i="25" s="1"/>
  <c r="AQ17" i="25"/>
  <c r="AQ18" i="25" s="1"/>
  <c r="AP17" i="25"/>
  <c r="AP18" i="25" s="1"/>
  <c r="AO17" i="25"/>
  <c r="AO18" i="25" s="1"/>
  <c r="AN17" i="25"/>
  <c r="AN18" i="25" s="1"/>
  <c r="AN29" i="25" s="1"/>
  <c r="AM17" i="25"/>
  <c r="AM18" i="25" s="1"/>
  <c r="AL17" i="25"/>
  <c r="AL18" i="25" s="1"/>
  <c r="AK17" i="25"/>
  <c r="AK18" i="25" s="1"/>
  <c r="AJ17" i="25"/>
  <c r="AJ18" i="25" s="1"/>
  <c r="AJ29" i="25" s="1"/>
  <c r="AI17" i="25"/>
  <c r="AI18" i="25" s="1"/>
  <c r="AH17" i="25"/>
  <c r="AH18" i="25" s="1"/>
  <c r="AG17" i="25"/>
  <c r="AG18" i="25" s="1"/>
  <c r="AF17" i="25"/>
  <c r="AF18" i="25" s="1"/>
  <c r="AF29" i="25" s="1"/>
  <c r="AE17" i="25"/>
  <c r="AE18" i="25" s="1"/>
  <c r="AD17" i="25"/>
  <c r="AD18" i="25" s="1"/>
  <c r="AC17" i="25"/>
  <c r="AC18" i="25" s="1"/>
  <c r="AB17" i="25"/>
  <c r="AB18" i="25" s="1"/>
  <c r="AB29" i="25" s="1"/>
  <c r="AT9" i="25"/>
  <c r="AT10" i="25" s="1"/>
  <c r="AS9" i="25"/>
  <c r="AS10" i="25" s="1"/>
  <c r="AR9" i="25"/>
  <c r="AR10" i="25" s="1"/>
  <c r="AQ9" i="25"/>
  <c r="AQ10" i="25" s="1"/>
  <c r="AP9" i="25"/>
  <c r="AP10" i="25" s="1"/>
  <c r="AO9" i="25"/>
  <c r="AO10" i="25" s="1"/>
  <c r="AN9" i="25"/>
  <c r="AN10" i="25" s="1"/>
  <c r="AM9" i="25"/>
  <c r="AM10" i="25" s="1"/>
  <c r="AL9" i="25"/>
  <c r="AL10" i="25" s="1"/>
  <c r="AK9" i="25"/>
  <c r="AK10" i="25" s="1"/>
  <c r="AJ9" i="25"/>
  <c r="AJ10" i="25" s="1"/>
  <c r="AI9" i="25"/>
  <c r="AI10" i="25" s="1"/>
  <c r="AH9" i="25"/>
  <c r="AH10" i="25" s="1"/>
  <c r="AG9" i="25"/>
  <c r="AG10" i="25" s="1"/>
  <c r="AF9" i="25"/>
  <c r="AF10" i="25" s="1"/>
  <c r="AE9" i="25"/>
  <c r="AE10" i="25" s="1"/>
  <c r="AD9" i="25"/>
  <c r="AD10" i="25" s="1"/>
  <c r="AC9" i="25"/>
  <c r="AC10" i="25" s="1"/>
  <c r="AB9" i="25"/>
  <c r="AB10" i="25" s="1"/>
  <c r="AA9" i="25"/>
  <c r="AA10" i="25" s="1"/>
  <c r="AT6" i="25"/>
  <c r="AT7" i="25" s="1"/>
  <c r="AS6" i="25"/>
  <c r="AS7" i="25" s="1"/>
  <c r="AR6" i="25"/>
  <c r="AR7" i="25" s="1"/>
  <c r="AQ6" i="25"/>
  <c r="AQ7" i="25" s="1"/>
  <c r="AP6" i="25"/>
  <c r="AP7" i="25" s="1"/>
  <c r="AO6" i="25"/>
  <c r="AO7" i="25" s="1"/>
  <c r="AN6" i="25"/>
  <c r="AN7" i="25" s="1"/>
  <c r="AM6" i="25"/>
  <c r="AM7" i="25" s="1"/>
  <c r="AL6" i="25"/>
  <c r="AL7" i="25" s="1"/>
  <c r="AK6" i="25"/>
  <c r="AK7" i="25" s="1"/>
  <c r="AJ6" i="25"/>
  <c r="AJ7" i="25" s="1"/>
  <c r="AI6" i="25"/>
  <c r="AI7" i="25" s="1"/>
  <c r="AH6" i="25"/>
  <c r="AH7" i="25" s="1"/>
  <c r="AG6" i="25"/>
  <c r="AG7" i="25" s="1"/>
  <c r="AF6" i="25"/>
  <c r="AF7" i="25" s="1"/>
  <c r="AE6" i="25"/>
  <c r="AE7" i="25" s="1"/>
  <c r="AD6" i="25"/>
  <c r="AD7" i="25" s="1"/>
  <c r="AC6" i="25"/>
  <c r="AC7" i="25" s="1"/>
  <c r="AB6" i="25"/>
  <c r="AB7" i="25" s="1"/>
  <c r="AA6" i="25"/>
  <c r="AA7" i="25" s="1"/>
  <c r="AT3" i="25"/>
  <c r="AT4" i="25" s="1"/>
  <c r="AT12" i="25" s="1"/>
  <c r="AS3" i="25"/>
  <c r="AS4" i="25" s="1"/>
  <c r="AS12" i="25" s="1"/>
  <c r="AR3" i="25"/>
  <c r="AR4" i="25" s="1"/>
  <c r="AR12" i="25" s="1"/>
  <c r="AQ3" i="25"/>
  <c r="AQ4" i="25" s="1"/>
  <c r="AQ12" i="25" s="1"/>
  <c r="AP3" i="25"/>
  <c r="AP4" i="25" s="1"/>
  <c r="AP12" i="25" s="1"/>
  <c r="AO3" i="25"/>
  <c r="AO4" i="25" s="1"/>
  <c r="AO12" i="25" s="1"/>
  <c r="AN3" i="25"/>
  <c r="AN4" i="25" s="1"/>
  <c r="AN12" i="25" s="1"/>
  <c r="AM3" i="25"/>
  <c r="AM4" i="25" s="1"/>
  <c r="AM12" i="25" s="1"/>
  <c r="AL3" i="25"/>
  <c r="AL4" i="25" s="1"/>
  <c r="AL12" i="25" s="1"/>
  <c r="AK3" i="25"/>
  <c r="AK4" i="25" s="1"/>
  <c r="AK12" i="25" s="1"/>
  <c r="AJ3" i="25"/>
  <c r="AJ4" i="25" s="1"/>
  <c r="AJ12" i="25" s="1"/>
  <c r="AI3" i="25"/>
  <c r="AI4" i="25" s="1"/>
  <c r="AI12" i="25" s="1"/>
  <c r="AH3" i="25"/>
  <c r="AH4" i="25" s="1"/>
  <c r="AH12" i="25" s="1"/>
  <c r="AG3" i="25"/>
  <c r="AG4" i="25" s="1"/>
  <c r="AG12" i="25" s="1"/>
  <c r="AF3" i="25"/>
  <c r="AF4" i="25" s="1"/>
  <c r="AF12" i="25" s="1"/>
  <c r="AE3" i="25"/>
  <c r="AE4" i="25" s="1"/>
  <c r="AE12" i="25" s="1"/>
  <c r="AD3" i="25"/>
  <c r="AD4" i="25" s="1"/>
  <c r="AD12" i="25" s="1"/>
  <c r="AC3" i="25"/>
  <c r="AC4" i="25" s="1"/>
  <c r="AC12" i="25" s="1"/>
  <c r="AB3" i="25"/>
  <c r="AB4" i="25" s="1"/>
  <c r="AB12" i="25" s="1"/>
  <c r="AA3" i="25"/>
  <c r="AA4" i="25" s="1"/>
  <c r="AA12" i="25" s="1"/>
  <c r="U36" i="20"/>
  <c r="U37" i="20" s="1"/>
  <c r="T36" i="20"/>
  <c r="T37" i="20" s="1"/>
  <c r="S36" i="20"/>
  <c r="S37" i="20" s="1"/>
  <c r="R36" i="20"/>
  <c r="R37" i="20" s="1"/>
  <c r="Q36" i="20"/>
  <c r="Q37" i="20" s="1"/>
  <c r="P36" i="20"/>
  <c r="P37" i="20" s="1"/>
  <c r="O36" i="20"/>
  <c r="O37" i="20" s="1"/>
  <c r="N36" i="20"/>
  <c r="N37" i="20" s="1"/>
  <c r="M36" i="20"/>
  <c r="M37" i="20" s="1"/>
  <c r="L36" i="20"/>
  <c r="L37" i="20" s="1"/>
  <c r="K36" i="20"/>
  <c r="K37" i="20" s="1"/>
  <c r="J36" i="20"/>
  <c r="J37" i="20" s="1"/>
  <c r="I36" i="20"/>
  <c r="I37" i="20" s="1"/>
  <c r="H36" i="20"/>
  <c r="H37" i="20" s="1"/>
  <c r="G36" i="20"/>
  <c r="G37" i="20" s="1"/>
  <c r="F36" i="20"/>
  <c r="F37" i="20" s="1"/>
  <c r="E36" i="20"/>
  <c r="E37" i="20" s="1"/>
  <c r="D36" i="20"/>
  <c r="D37" i="20" s="1"/>
  <c r="C36" i="20"/>
  <c r="C37" i="20" s="1"/>
  <c r="U33" i="20"/>
  <c r="U34" i="20" s="1"/>
  <c r="T33" i="20"/>
  <c r="T34" i="20" s="1"/>
  <c r="S33" i="20"/>
  <c r="S34" i="20" s="1"/>
  <c r="R33" i="20"/>
  <c r="R34" i="20" s="1"/>
  <c r="Q33" i="20"/>
  <c r="Q34" i="20" s="1"/>
  <c r="P33" i="20"/>
  <c r="P34" i="20" s="1"/>
  <c r="O33" i="20"/>
  <c r="O34" i="20" s="1"/>
  <c r="N33" i="20"/>
  <c r="N34" i="20" s="1"/>
  <c r="M33" i="20"/>
  <c r="M34" i="20" s="1"/>
  <c r="L33" i="20"/>
  <c r="L34" i="20" s="1"/>
  <c r="K33" i="20"/>
  <c r="K34" i="20" s="1"/>
  <c r="J33" i="20"/>
  <c r="J34" i="20" s="1"/>
  <c r="I33" i="20"/>
  <c r="I34" i="20" s="1"/>
  <c r="H33" i="20"/>
  <c r="H34" i="20" s="1"/>
  <c r="G33" i="20"/>
  <c r="G34" i="20" s="1"/>
  <c r="F33" i="20"/>
  <c r="F34" i="20" s="1"/>
  <c r="E33" i="20"/>
  <c r="E34" i="20" s="1"/>
  <c r="D33" i="20"/>
  <c r="D34" i="20" s="1"/>
  <c r="C33" i="20"/>
  <c r="C34" i="20" s="1"/>
  <c r="U30" i="20"/>
  <c r="U31" i="20" s="1"/>
  <c r="T30" i="20"/>
  <c r="T31" i="20" s="1"/>
  <c r="S30" i="20"/>
  <c r="S31" i="20" s="1"/>
  <c r="R30" i="20"/>
  <c r="R31" i="20" s="1"/>
  <c r="Q30" i="20"/>
  <c r="Q31" i="20" s="1"/>
  <c r="P30" i="20"/>
  <c r="P31" i="20" s="1"/>
  <c r="O30" i="20"/>
  <c r="O31" i="20" s="1"/>
  <c r="N30" i="20"/>
  <c r="N31" i="20" s="1"/>
  <c r="M30" i="20"/>
  <c r="M31" i="20" s="1"/>
  <c r="L30" i="20"/>
  <c r="L31" i="20" s="1"/>
  <c r="K30" i="20"/>
  <c r="K31" i="20" s="1"/>
  <c r="J30" i="20"/>
  <c r="J31" i="20" s="1"/>
  <c r="I30" i="20"/>
  <c r="I31" i="20" s="1"/>
  <c r="H30" i="20"/>
  <c r="H31" i="20" s="1"/>
  <c r="G30" i="20"/>
  <c r="G31" i="20" s="1"/>
  <c r="F30" i="20"/>
  <c r="F31" i="20" s="1"/>
  <c r="E30" i="20"/>
  <c r="E31" i="20" s="1"/>
  <c r="D30" i="20"/>
  <c r="D31" i="20" s="1"/>
  <c r="C30" i="20"/>
  <c r="C31" i="20" s="1"/>
  <c r="U25" i="20"/>
  <c r="U26" i="20" s="1"/>
  <c r="T25" i="20"/>
  <c r="T26" i="20" s="1"/>
  <c r="S25" i="20"/>
  <c r="S26" i="20" s="1"/>
  <c r="R25" i="20"/>
  <c r="R26" i="20" s="1"/>
  <c r="Q25" i="20"/>
  <c r="Q26" i="20" s="1"/>
  <c r="P25" i="20"/>
  <c r="P26" i="20" s="1"/>
  <c r="O25" i="20"/>
  <c r="O26" i="20" s="1"/>
  <c r="N25" i="20"/>
  <c r="N26" i="20" s="1"/>
  <c r="M25" i="20"/>
  <c r="M26" i="20" s="1"/>
  <c r="L25" i="20"/>
  <c r="L26" i="20" s="1"/>
  <c r="K25" i="20"/>
  <c r="K26" i="20" s="1"/>
  <c r="J25" i="20"/>
  <c r="J26" i="20" s="1"/>
  <c r="I25" i="20"/>
  <c r="I26" i="20" s="1"/>
  <c r="H25" i="20"/>
  <c r="H26" i="20" s="1"/>
  <c r="G25" i="20"/>
  <c r="G26" i="20" s="1"/>
  <c r="F25" i="20"/>
  <c r="F26" i="20" s="1"/>
  <c r="E25" i="20"/>
  <c r="E26" i="20" s="1"/>
  <c r="D25" i="20"/>
  <c r="D26" i="20" s="1"/>
  <c r="C25" i="20"/>
  <c r="C26" i="20" s="1"/>
  <c r="B25" i="20"/>
  <c r="B26" i="20" s="1"/>
  <c r="U22" i="20"/>
  <c r="U23" i="20" s="1"/>
  <c r="T22" i="20"/>
  <c r="T23" i="20" s="1"/>
  <c r="S22" i="20"/>
  <c r="S23" i="20" s="1"/>
  <c r="R22" i="20"/>
  <c r="R23" i="20" s="1"/>
  <c r="Q22" i="20"/>
  <c r="Q23" i="20" s="1"/>
  <c r="P22" i="20"/>
  <c r="P23" i="20" s="1"/>
  <c r="O22" i="20"/>
  <c r="O23" i="20" s="1"/>
  <c r="N22" i="20"/>
  <c r="N23" i="20" s="1"/>
  <c r="M22" i="20"/>
  <c r="M23" i="20" s="1"/>
  <c r="L22" i="20"/>
  <c r="L23" i="20" s="1"/>
  <c r="K22" i="20"/>
  <c r="K23" i="20" s="1"/>
  <c r="J22" i="20"/>
  <c r="J23" i="20" s="1"/>
  <c r="I22" i="20"/>
  <c r="I23" i="20" s="1"/>
  <c r="H22" i="20"/>
  <c r="H23" i="20" s="1"/>
  <c r="G22" i="20"/>
  <c r="G23" i="20" s="1"/>
  <c r="F22" i="20"/>
  <c r="F23" i="20" s="1"/>
  <c r="E22" i="20"/>
  <c r="E23" i="20" s="1"/>
  <c r="D22" i="20"/>
  <c r="D23" i="20" s="1"/>
  <c r="C22" i="20"/>
  <c r="C23" i="20" s="1"/>
  <c r="B22" i="20"/>
  <c r="B23" i="20" s="1"/>
  <c r="U19" i="20"/>
  <c r="U20" i="20" s="1"/>
  <c r="T19" i="20"/>
  <c r="T20" i="20" s="1"/>
  <c r="S19" i="20"/>
  <c r="S20" i="20" s="1"/>
  <c r="R19" i="20"/>
  <c r="R20" i="20" s="1"/>
  <c r="Q19" i="20"/>
  <c r="Q20" i="20" s="1"/>
  <c r="P19" i="20"/>
  <c r="P20" i="20" s="1"/>
  <c r="O19" i="20"/>
  <c r="O20" i="20" s="1"/>
  <c r="N19" i="20"/>
  <c r="N20" i="20" s="1"/>
  <c r="M19" i="20"/>
  <c r="M20" i="20" s="1"/>
  <c r="L19" i="20"/>
  <c r="L20" i="20" s="1"/>
  <c r="K19" i="20"/>
  <c r="K20" i="20" s="1"/>
  <c r="J19" i="20"/>
  <c r="J20" i="20" s="1"/>
  <c r="I19" i="20"/>
  <c r="I20" i="20" s="1"/>
  <c r="H19" i="20"/>
  <c r="H20" i="20" s="1"/>
  <c r="G19" i="20"/>
  <c r="G20" i="20" s="1"/>
  <c r="F19" i="20"/>
  <c r="F20" i="20" s="1"/>
  <c r="E19" i="20"/>
  <c r="E20" i="20" s="1"/>
  <c r="D19" i="20"/>
  <c r="D20" i="20" s="1"/>
  <c r="C19" i="20"/>
  <c r="C20" i="20" s="1"/>
  <c r="B19" i="20"/>
  <c r="B20" i="20" s="1"/>
  <c r="M59" i="21"/>
  <c r="L59" i="21"/>
  <c r="K59" i="21"/>
  <c r="J59" i="21"/>
  <c r="I59" i="21"/>
  <c r="H59" i="21"/>
  <c r="G59" i="21"/>
  <c r="F59" i="21"/>
  <c r="E59" i="21"/>
  <c r="D59" i="21"/>
  <c r="C59" i="21"/>
  <c r="B59" i="21"/>
  <c r="M58" i="21"/>
  <c r="M60" i="21" s="1"/>
  <c r="M62" i="21" s="1"/>
  <c r="L58" i="21"/>
  <c r="L60" i="21" s="1"/>
  <c r="L62" i="21" s="1"/>
  <c r="K58" i="21"/>
  <c r="K60" i="21" s="1"/>
  <c r="K62" i="21" s="1"/>
  <c r="J58" i="21"/>
  <c r="J60" i="21" s="1"/>
  <c r="J62" i="21" s="1"/>
  <c r="I58" i="21"/>
  <c r="I60" i="21" s="1"/>
  <c r="I62" i="21" s="1"/>
  <c r="H58" i="21"/>
  <c r="H60" i="21" s="1"/>
  <c r="H62" i="21" s="1"/>
  <c r="G58" i="21"/>
  <c r="G60" i="21" s="1"/>
  <c r="G62" i="21" s="1"/>
  <c r="F58" i="21"/>
  <c r="F60" i="21" s="1"/>
  <c r="F62" i="21" s="1"/>
  <c r="E58" i="21"/>
  <c r="E60" i="21" s="1"/>
  <c r="E62" i="21" s="1"/>
  <c r="D58" i="21"/>
  <c r="D60" i="21" s="1"/>
  <c r="D62" i="21" s="1"/>
  <c r="C58" i="21"/>
  <c r="C60" i="21" s="1"/>
  <c r="C62" i="21" s="1"/>
  <c r="B58" i="21"/>
  <c r="B60" i="21" s="1"/>
  <c r="B62" i="21" s="1"/>
  <c r="N52" i="21"/>
  <c r="N51" i="21"/>
  <c r="M44" i="21"/>
  <c r="L44" i="21"/>
  <c r="K44" i="21"/>
  <c r="J44" i="21"/>
  <c r="I44" i="21"/>
  <c r="H44" i="21"/>
  <c r="G44" i="21"/>
  <c r="F44" i="21"/>
  <c r="E44" i="21"/>
  <c r="D44" i="21"/>
  <c r="C44" i="21"/>
  <c r="B44" i="21"/>
  <c r="M43" i="21"/>
  <c r="M45" i="21" s="1"/>
  <c r="M47" i="21" s="1"/>
  <c r="L43" i="21"/>
  <c r="L45" i="21" s="1"/>
  <c r="L47" i="21" s="1"/>
  <c r="K43" i="21"/>
  <c r="K45" i="21" s="1"/>
  <c r="K47" i="21" s="1"/>
  <c r="J43" i="21"/>
  <c r="J45" i="21" s="1"/>
  <c r="J47" i="21" s="1"/>
  <c r="I43" i="21"/>
  <c r="I45" i="21" s="1"/>
  <c r="I47" i="21" s="1"/>
  <c r="H43" i="21"/>
  <c r="H45" i="21" s="1"/>
  <c r="H47" i="21" s="1"/>
  <c r="G43" i="21"/>
  <c r="G45" i="21" s="1"/>
  <c r="G47" i="21" s="1"/>
  <c r="F43" i="21"/>
  <c r="F45" i="21" s="1"/>
  <c r="F47" i="21" s="1"/>
  <c r="E43" i="21"/>
  <c r="E45" i="21" s="1"/>
  <c r="E47" i="21" s="1"/>
  <c r="D43" i="21"/>
  <c r="D45" i="21" s="1"/>
  <c r="D47" i="21" s="1"/>
  <c r="C43" i="21"/>
  <c r="C45" i="21" s="1"/>
  <c r="C47" i="21" s="1"/>
  <c r="B43" i="21"/>
  <c r="B45" i="21" s="1"/>
  <c r="B47" i="21" s="1"/>
  <c r="N39" i="21"/>
  <c r="N38" i="21"/>
  <c r="M19" i="21"/>
  <c r="M21" i="21" s="1"/>
  <c r="L19" i="21"/>
  <c r="L21" i="21" s="1"/>
  <c r="K19" i="21"/>
  <c r="K21" i="21" s="1"/>
  <c r="J19" i="21"/>
  <c r="J21" i="21" s="1"/>
  <c r="I19" i="21"/>
  <c r="I21" i="21" s="1"/>
  <c r="H19" i="21"/>
  <c r="H21" i="21" s="1"/>
  <c r="G19" i="21"/>
  <c r="G21" i="21" s="1"/>
  <c r="F19" i="21"/>
  <c r="F21" i="21" s="1"/>
  <c r="E19" i="21"/>
  <c r="E21" i="21" s="1"/>
  <c r="D19" i="21"/>
  <c r="D21" i="21" s="1"/>
  <c r="C19" i="21"/>
  <c r="C21" i="21" s="1"/>
  <c r="B19" i="21"/>
  <c r="B21" i="21" s="1"/>
  <c r="N21" i="21" s="1"/>
  <c r="N12" i="21"/>
  <c r="N11" i="21"/>
  <c r="N5" i="21"/>
  <c r="N4" i="21"/>
  <c r="C112" i="22"/>
  <c r="C111" i="22"/>
  <c r="C110" i="22"/>
  <c r="C109" i="22"/>
  <c r="C108" i="22"/>
  <c r="C107" i="22"/>
  <c r="C106" i="22"/>
  <c r="C105" i="22"/>
  <c r="C104" i="22"/>
  <c r="C103" i="22"/>
  <c r="C102" i="22"/>
  <c r="C101" i="22"/>
  <c r="C100" i="22"/>
  <c r="C99" i="22"/>
  <c r="C98" i="22"/>
  <c r="G93" i="22"/>
  <c r="G117" i="22" s="1"/>
  <c r="G92" i="22"/>
  <c r="G116" i="22" s="1"/>
  <c r="G91" i="22"/>
  <c r="G115" i="22" s="1"/>
  <c r="G90" i="22"/>
  <c r="G114" i="22" s="1"/>
  <c r="G89" i="22"/>
  <c r="G113" i="22" s="1"/>
  <c r="G88" i="22"/>
  <c r="G112" i="22" s="1"/>
  <c r="G87" i="22"/>
  <c r="G111" i="22" s="1"/>
  <c r="G86" i="22"/>
  <c r="G110" i="22" s="1"/>
  <c r="G85" i="22"/>
  <c r="G109" i="22" s="1"/>
  <c r="G84" i="22"/>
  <c r="G108" i="22" s="1"/>
  <c r="G83" i="22"/>
  <c r="G107" i="22" s="1"/>
  <c r="G82" i="22"/>
  <c r="G106" i="22" s="1"/>
  <c r="G81" i="22"/>
  <c r="G105" i="22" s="1"/>
  <c r="G80" i="22"/>
  <c r="G104" i="22" s="1"/>
  <c r="G79" i="22"/>
  <c r="G103" i="22" s="1"/>
  <c r="G78" i="22"/>
  <c r="G102" i="22" s="1"/>
  <c r="G77" i="22"/>
  <c r="G101" i="22" s="1"/>
  <c r="G76" i="22"/>
  <c r="G100" i="22" s="1"/>
  <c r="G75" i="22"/>
  <c r="G99" i="22" s="1"/>
  <c r="G74" i="22"/>
  <c r="G98" i="22" s="1"/>
  <c r="C117" i="23"/>
  <c r="G116" i="23" s="1"/>
  <c r="C116" i="23"/>
  <c r="G115" i="23" s="1"/>
  <c r="C115" i="23"/>
  <c r="G114" i="23" s="1"/>
  <c r="C114" i="23"/>
  <c r="G113" i="23" s="1"/>
  <c r="C113" i="23"/>
  <c r="G112" i="23" s="1"/>
  <c r="C112" i="23"/>
  <c r="G111" i="23" s="1"/>
  <c r="C111" i="23"/>
  <c r="G110" i="23" s="1"/>
  <c r="C110" i="23"/>
  <c r="G109" i="23" s="1"/>
  <c r="C109" i="23"/>
  <c r="G108" i="23" s="1"/>
  <c r="C108" i="23"/>
  <c r="G107" i="23" s="1"/>
  <c r="C107" i="23"/>
  <c r="G106" i="23" s="1"/>
  <c r="C106" i="23"/>
  <c r="G105" i="23" s="1"/>
  <c r="C105" i="23"/>
  <c r="G104" i="23" s="1"/>
  <c r="C104" i="23"/>
  <c r="G103" i="23" s="1"/>
  <c r="C103" i="23"/>
  <c r="G102" i="23" s="1"/>
  <c r="C102" i="23"/>
  <c r="G101" i="23" s="1"/>
  <c r="C101" i="23"/>
  <c r="G100" i="23" s="1"/>
  <c r="C100" i="23"/>
  <c r="G99" i="23" s="1"/>
  <c r="C99" i="23"/>
  <c r="G98" i="23" s="1"/>
  <c r="C86" i="23"/>
  <c r="C85" i="23"/>
  <c r="C84" i="23"/>
  <c r="C83" i="23"/>
  <c r="C82" i="23"/>
  <c r="C81" i="23"/>
  <c r="C80" i="23"/>
  <c r="C79" i="23"/>
  <c r="C78" i="23"/>
  <c r="C77" i="23"/>
  <c r="C76" i="23"/>
  <c r="C75" i="23"/>
  <c r="U21" i="24"/>
  <c r="T21" i="24"/>
  <c r="S21" i="24"/>
  <c r="Q21" i="24"/>
  <c r="P21" i="24"/>
  <c r="O21" i="24"/>
  <c r="N21" i="24"/>
  <c r="K21" i="24"/>
  <c r="J21" i="24"/>
  <c r="I21" i="24"/>
  <c r="H21" i="24"/>
  <c r="G21" i="24"/>
  <c r="F21" i="24"/>
  <c r="E21" i="24"/>
  <c r="D21" i="24"/>
  <c r="C21" i="24"/>
  <c r="R20" i="24"/>
  <c r="Y20" i="24" s="1"/>
  <c r="R19" i="24"/>
  <c r="R18" i="24"/>
  <c r="Y18" i="24" s="1"/>
  <c r="U17" i="24"/>
  <c r="T17" i="24"/>
  <c r="S17" i="24"/>
  <c r="Q17" i="24"/>
  <c r="P17" i="24"/>
  <c r="O17" i="24"/>
  <c r="N17" i="24"/>
  <c r="K17" i="24"/>
  <c r="J17" i="24"/>
  <c r="I17" i="24"/>
  <c r="H17" i="24"/>
  <c r="G17" i="24"/>
  <c r="F17" i="24"/>
  <c r="E17" i="24"/>
  <c r="D17" i="24"/>
  <c r="C17" i="24"/>
  <c r="R16" i="24"/>
  <c r="Y16" i="24" s="1"/>
  <c r="R15" i="24"/>
  <c r="R14" i="24"/>
  <c r="Y14" i="24" s="1"/>
  <c r="U13" i="24"/>
  <c r="T13" i="24"/>
  <c r="S13" i="24"/>
  <c r="R13" i="24"/>
  <c r="Q13" i="24"/>
  <c r="P13" i="24"/>
  <c r="O13" i="24"/>
  <c r="N13" i="24"/>
  <c r="K13" i="24"/>
  <c r="J13" i="24"/>
  <c r="I13" i="24"/>
  <c r="H13" i="24"/>
  <c r="G13" i="24"/>
  <c r="F13" i="24"/>
  <c r="E13" i="24"/>
  <c r="D13" i="24"/>
  <c r="C13" i="24"/>
  <c r="U6" i="24"/>
  <c r="T6" i="24"/>
  <c r="S6" i="24"/>
  <c r="R6" i="24"/>
  <c r="Q6" i="24"/>
  <c r="P6" i="24"/>
  <c r="O6" i="24"/>
  <c r="N6" i="24"/>
  <c r="M6" i="24"/>
  <c r="L6" i="24"/>
  <c r="K6" i="24"/>
  <c r="J6" i="24"/>
  <c r="I6" i="24"/>
  <c r="H6" i="24"/>
  <c r="G6" i="24"/>
  <c r="F6" i="24"/>
  <c r="E6" i="24"/>
  <c r="D6" i="24"/>
  <c r="C6" i="24"/>
  <c r="N47" i="21" l="1"/>
  <c r="AD29" i="25"/>
  <c r="AH29" i="25"/>
  <c r="AL29" i="25"/>
  <c r="AP29" i="25"/>
  <c r="N62" i="21"/>
  <c r="AC29" i="25"/>
  <c r="AE29" i="25"/>
  <c r="AG29" i="25"/>
  <c r="AI29" i="25"/>
  <c r="AK29" i="25"/>
  <c r="AM29" i="25"/>
  <c r="AO29" i="25"/>
  <c r="AQ29" i="25"/>
  <c r="Z6" i="24"/>
  <c r="Y6" i="24"/>
  <c r="AK27" i="24" s="1"/>
  <c r="Z13" i="24"/>
  <c r="Y13" i="24"/>
  <c r="AK30" i="24" s="1"/>
  <c r="Z15" i="24"/>
  <c r="Y15" i="24"/>
  <c r="Z19" i="24"/>
  <c r="Y19" i="24"/>
  <c r="Z14" i="24"/>
  <c r="AK31" i="24"/>
  <c r="Z16" i="24"/>
  <c r="AK32" i="24"/>
  <c r="R21" i="24"/>
  <c r="Y21" i="24" s="1"/>
  <c r="AK36" i="24" s="1"/>
  <c r="AK34" i="24"/>
  <c r="Z18" i="24"/>
  <c r="Z20" i="24"/>
  <c r="AK35" i="24"/>
  <c r="R17" i="24"/>
  <c r="Y17" i="24" s="1"/>
  <c r="AK33" i="24" s="1"/>
  <c r="N6" i="21"/>
  <c r="N18" i="21"/>
  <c r="N44" i="21"/>
  <c r="N59" i="21"/>
  <c r="B22" i="26"/>
  <c r="N22" i="26" s="1"/>
  <c r="N20" i="26"/>
  <c r="C81" i="26" s="1"/>
  <c r="N21" i="26"/>
  <c r="N23" i="26"/>
  <c r="N17" i="21"/>
  <c r="N58" i="21"/>
  <c r="N43" i="21"/>
  <c r="AS29" i="25" l="1"/>
  <c r="AT29" i="25"/>
  <c r="B81" i="26"/>
  <c r="O22" i="26"/>
  <c r="N19" i="21"/>
  <c r="AU29" i="25"/>
  <c r="AV29" i="25"/>
  <c r="Z17" i="24"/>
  <c r="Z21" i="24"/>
  <c r="N60" i="21"/>
  <c r="N45" i="21"/>
  <c r="AF8" i="60"/>
  <c r="Q4" i="60"/>
  <c r="Q5" i="60"/>
  <c r="Q7" i="60"/>
  <c r="Q8" i="60"/>
  <c r="Q9" i="60"/>
  <c r="Q11" i="60"/>
  <c r="Q12" i="60"/>
  <c r="Q13" i="60"/>
  <c r="Q14" i="60"/>
  <c r="Q15" i="60"/>
  <c r="Q16" i="60"/>
  <c r="Q3" i="60"/>
  <c r="R4" i="34"/>
  <c r="R5" i="34"/>
  <c r="R7" i="34"/>
  <c r="R8" i="34"/>
  <c r="R9" i="34"/>
  <c r="R11" i="34"/>
  <c r="R12" i="34"/>
  <c r="R13" i="34"/>
  <c r="R14" i="34"/>
  <c r="R15" i="34"/>
  <c r="R16" i="34"/>
  <c r="R17" i="34"/>
  <c r="R18" i="34"/>
  <c r="R19" i="34"/>
  <c r="R21" i="34"/>
  <c r="R22" i="34"/>
  <c r="R23" i="34"/>
  <c r="R24" i="34"/>
  <c r="R25" i="34"/>
  <c r="R26" i="34"/>
  <c r="R27" i="34"/>
  <c r="R28" i="34"/>
  <c r="R3" i="34"/>
  <c r="AW29" i="25" l="1"/>
  <c r="AF10" i="60"/>
  <c r="AF14" i="60"/>
  <c r="AF12" i="60"/>
  <c r="AF16" i="60"/>
  <c r="AF15" i="60"/>
  <c r="AF13" i="60"/>
  <c r="AF9" i="60"/>
  <c r="AF3" i="60"/>
  <c r="AF11" i="60"/>
  <c r="AF7" i="60"/>
  <c r="AF5" i="60"/>
  <c r="AF4" i="60"/>
  <c r="D21" i="58"/>
  <c r="E21" i="58"/>
  <c r="F21" i="58"/>
  <c r="G21" i="58"/>
  <c r="C21" i="58"/>
  <c r="H5" i="58"/>
  <c r="H6" i="58"/>
  <c r="H7" i="58"/>
  <c r="H8" i="58"/>
  <c r="H9" i="58"/>
  <c r="H10" i="58"/>
  <c r="H11" i="58"/>
  <c r="H12" i="58"/>
  <c r="H13" i="58"/>
  <c r="H14" i="58"/>
  <c r="H15" i="58"/>
  <c r="H16" i="58"/>
  <c r="H17" i="58"/>
  <c r="H18" i="58"/>
  <c r="H19" i="58"/>
  <c r="H20" i="58"/>
  <c r="H4" i="58"/>
  <c r="M6" i="57" l="1"/>
  <c r="P6" i="57" s="1"/>
  <c r="M7" i="57"/>
  <c r="P7" i="57" s="1"/>
  <c r="M8" i="57"/>
  <c r="P8" i="57" s="1"/>
  <c r="M9" i="57"/>
  <c r="P9" i="57" s="1"/>
  <c r="M10" i="57"/>
  <c r="P10" i="57" s="1"/>
  <c r="M11" i="57"/>
  <c r="P11" i="57" s="1"/>
  <c r="M12" i="57"/>
  <c r="P12" i="57" s="1"/>
  <c r="M13" i="57"/>
  <c r="P13" i="57" s="1"/>
  <c r="M14" i="57"/>
  <c r="P14" i="57" s="1"/>
  <c r="M15" i="57"/>
  <c r="P15" i="57" s="1"/>
  <c r="M16" i="57"/>
  <c r="P16" i="57" s="1"/>
  <c r="M17" i="57"/>
  <c r="P17" i="57" s="1"/>
  <c r="M18" i="57"/>
  <c r="P18" i="57" s="1"/>
  <c r="M19" i="57"/>
  <c r="P19" i="57" s="1"/>
  <c r="M20" i="57"/>
  <c r="P20" i="57" s="1"/>
  <c r="M21" i="57"/>
  <c r="P21" i="57" s="1"/>
  <c r="M5" i="57"/>
  <c r="P5" i="57" s="1"/>
  <c r="J20" i="14" l="1"/>
  <c r="I20" i="14"/>
  <c r="H20" i="14"/>
  <c r="H21" i="14"/>
  <c r="G21" i="14"/>
  <c r="F21" i="14"/>
  <c r="E21" i="14"/>
  <c r="D21" i="14"/>
  <c r="C21" i="14"/>
  <c r="B21" i="14"/>
  <c r="S5" i="14"/>
  <c r="J20" i="12"/>
  <c r="I20" i="12"/>
  <c r="H20" i="12"/>
  <c r="J19" i="12"/>
  <c r="I19" i="12"/>
  <c r="H19" i="12"/>
  <c r="J18" i="12"/>
  <c r="I18" i="12"/>
  <c r="H18" i="12"/>
  <c r="J17" i="12"/>
  <c r="I17" i="12"/>
  <c r="H17" i="12"/>
  <c r="J16" i="12"/>
  <c r="I16" i="12"/>
  <c r="H16" i="12"/>
  <c r="S10" i="12"/>
  <c r="R10" i="12"/>
  <c r="Q10" i="12"/>
  <c r="S9" i="12"/>
  <c r="R9" i="12"/>
  <c r="Q9" i="12"/>
  <c r="S8" i="12"/>
  <c r="R8" i="12"/>
  <c r="Q8" i="12"/>
  <c r="S7" i="12"/>
  <c r="R7" i="12"/>
  <c r="Q7" i="12"/>
  <c r="U6" i="12"/>
  <c r="T6" i="12"/>
  <c r="S6" i="12"/>
  <c r="R6" i="12"/>
  <c r="Q6" i="12"/>
  <c r="J59" i="3"/>
  <c r="I59" i="3"/>
  <c r="H59" i="3"/>
  <c r="J58" i="3"/>
  <c r="I58" i="3"/>
  <c r="H58" i="3"/>
  <c r="J57" i="3"/>
  <c r="I57" i="3"/>
  <c r="H57" i="3"/>
  <c r="J56" i="3"/>
  <c r="I56" i="3"/>
  <c r="H56" i="3"/>
  <c r="J55" i="3"/>
  <c r="I55" i="3"/>
  <c r="H55" i="3"/>
  <c r="S51" i="3"/>
  <c r="R51" i="3"/>
  <c r="Q51" i="3"/>
  <c r="S50" i="3"/>
  <c r="R50" i="3"/>
  <c r="Q50" i="3"/>
  <c r="S49" i="3"/>
  <c r="R49" i="3"/>
  <c r="Q49" i="3"/>
  <c r="S48" i="3"/>
  <c r="R48" i="3"/>
  <c r="Q48" i="3"/>
  <c r="U47" i="3"/>
  <c r="T47" i="3"/>
  <c r="S47" i="3"/>
  <c r="R47" i="3"/>
  <c r="J19" i="3"/>
  <c r="I19" i="3"/>
  <c r="H19" i="3"/>
  <c r="J18" i="3"/>
  <c r="I18" i="3"/>
  <c r="H18" i="3"/>
  <c r="J17" i="3"/>
  <c r="I17" i="3"/>
  <c r="H17" i="3"/>
  <c r="J16" i="3"/>
  <c r="I16" i="3"/>
  <c r="H16" i="3"/>
  <c r="J15" i="3"/>
  <c r="I15" i="3"/>
  <c r="H15" i="3"/>
  <c r="S9" i="3"/>
  <c r="R9" i="3"/>
  <c r="Q9" i="3"/>
  <c r="S8" i="3"/>
  <c r="R8" i="3"/>
  <c r="Q8" i="3"/>
  <c r="S7" i="3"/>
  <c r="R7" i="3"/>
  <c r="Q7" i="3"/>
  <c r="S6" i="3"/>
  <c r="R6" i="3"/>
  <c r="Q6" i="3"/>
  <c r="U5" i="3"/>
  <c r="T5" i="3"/>
  <c r="S5" i="3"/>
  <c r="R5" i="3"/>
  <c r="J21" i="14" l="1"/>
  <c r="I21" i="14" s="1"/>
</calcChain>
</file>

<file path=xl/sharedStrings.xml><?xml version="1.0" encoding="utf-8"?>
<sst xmlns="http://schemas.openxmlformats.org/spreadsheetml/2006/main" count="6590" uniqueCount="1178">
  <si>
    <t>Chlorophyll a and Secchi</t>
  </si>
  <si>
    <t>Chlorophyll, ug/L</t>
  </si>
  <si>
    <t>SITE</t>
  </si>
  <si>
    <t>Bear Creek Reservoir Monitoring Program</t>
  </si>
  <si>
    <t>Total Suspended Solids, mg/L</t>
  </si>
  <si>
    <t>Secchi Depth, m</t>
  </si>
  <si>
    <t>Notes</t>
  </si>
  <si>
    <t>Stephanodiscus niagarae</t>
  </si>
  <si>
    <t xml:space="preserve"> Reservoir</t>
  </si>
  <si>
    <t>Peak Chlorophyll-a [ug/l]</t>
  </si>
  <si>
    <t>Parameter</t>
  </si>
  <si>
    <t>Site</t>
  </si>
  <si>
    <t>Chlorophyll-a (ug/L)</t>
  </si>
  <si>
    <t>Nitrate-Nitrogen (ug/L)</t>
  </si>
  <si>
    <t xml:space="preserve">Total Phosphorus (ug/L) </t>
  </si>
  <si>
    <t>Total Suspended Solids (mg/L)</t>
  </si>
  <si>
    <t>Secchi Depth (m)</t>
  </si>
  <si>
    <t>Average</t>
  </si>
  <si>
    <t>Reservoir Average</t>
  </si>
  <si>
    <t>Turkey Creek Inflow</t>
  </si>
  <si>
    <t>Bear Creek Inflow</t>
  </si>
  <si>
    <t>Bear Creek Outflow</t>
  </si>
  <si>
    <t>Lower Bear Creek</t>
  </si>
  <si>
    <t>Total Inflow</t>
  </si>
  <si>
    <t>Reservoir Top</t>
  </si>
  <si>
    <t>Reservoir Middle</t>
  </si>
  <si>
    <t>Reservoir Bottom</t>
  </si>
  <si>
    <t>Secchi</t>
  </si>
  <si>
    <t>Reservoir Outflow</t>
  </si>
  <si>
    <t>TP</t>
  </si>
  <si>
    <t>TN</t>
  </si>
  <si>
    <t>Chl</t>
  </si>
  <si>
    <t>Chl-peak</t>
  </si>
  <si>
    <t>Seasonal Means</t>
  </si>
  <si>
    <t>XSD</t>
  </si>
  <si>
    <t>XCA</t>
  </si>
  <si>
    <t>XTP</t>
  </si>
  <si>
    <t>Annual Means</t>
  </si>
  <si>
    <t>Carlson's Annual</t>
  </si>
  <si>
    <t xml:space="preserve">Carlson's Seasonal </t>
  </si>
  <si>
    <t>lca</t>
  </si>
  <si>
    <t>ltp</t>
  </si>
  <si>
    <t>lsd</t>
  </si>
  <si>
    <t>lw</t>
  </si>
  <si>
    <t>hyper</t>
  </si>
  <si>
    <t>eu</t>
  </si>
  <si>
    <t>Walker Model - Annual Averages</t>
  </si>
  <si>
    <t>Walker Model - Seasonal Averages</t>
  </si>
  <si>
    <t>year</t>
  </si>
  <si>
    <t>Conc</t>
  </si>
  <si>
    <t xml:space="preserve">Year </t>
  </si>
  <si>
    <t>Nitrate-nitrogen ug/l</t>
  </si>
  <si>
    <t>Retained in Reservoir</t>
  </si>
  <si>
    <t>Average Inflow</t>
  </si>
  <si>
    <t>Retained In Reservoir</t>
  </si>
  <si>
    <t>Total Phosphorus Trends</t>
  </si>
  <si>
    <t>Value</t>
  </si>
  <si>
    <t>25-30</t>
  </si>
  <si>
    <t>Oligotrophic-Mesotropic</t>
  </si>
  <si>
    <t>45-50</t>
  </si>
  <si>
    <t>Mesotrophic-Eutrophic</t>
  </si>
  <si>
    <t>65-70</t>
  </si>
  <si>
    <t>Eutrophic-Hypereutrophic</t>
  </si>
  <si>
    <t>Carlson</t>
  </si>
  <si>
    <t>40-50</t>
  </si>
  <si>
    <t>Total Suspended Sediments (mg/l)</t>
  </si>
  <si>
    <t>Nitrate (NO3-N) (ug/l)</t>
  </si>
  <si>
    <t>Total Phosphorus (ug/l)</t>
  </si>
  <si>
    <t>Total Phosphorus</t>
  </si>
  <si>
    <t>Jan</t>
  </si>
  <si>
    <t>Feb</t>
  </si>
  <si>
    <t>Mar</t>
  </si>
  <si>
    <t>Apr</t>
  </si>
  <si>
    <t>May</t>
  </si>
  <si>
    <t>Jun</t>
  </si>
  <si>
    <t>Jul</t>
  </si>
  <si>
    <t>Aug</t>
  </si>
  <si>
    <t>Sep</t>
  </si>
  <si>
    <t>Oct</t>
  </si>
  <si>
    <t>Nov</t>
  </si>
  <si>
    <t>Dec</t>
  </si>
  <si>
    <t>ug/l*.002723=pounds</t>
  </si>
  <si>
    <t>Nitrate Pounds</t>
  </si>
  <si>
    <t>Peak</t>
  </si>
  <si>
    <t>&gt;70</t>
  </si>
  <si>
    <t>Hypereutrophic</t>
  </si>
  <si>
    <t>Days</t>
  </si>
  <si>
    <t>Ac-ft/month Bear Creek Reservoir</t>
  </si>
  <si>
    <t>Annual ac-ft/yr</t>
  </si>
  <si>
    <t>Annual Mean</t>
  </si>
  <si>
    <t>Total Load</t>
  </si>
  <si>
    <t>Annual Average</t>
  </si>
  <si>
    <t>Seasonal Mean</t>
  </si>
  <si>
    <t>Annual Reservoir Average</t>
  </si>
  <si>
    <t>Seasonal Reservoir Average</t>
  </si>
  <si>
    <t>Estimated Monthly Flow (ac-ft) At Stations</t>
  </si>
  <si>
    <t>Year</t>
  </si>
  <si>
    <t>50-65</t>
  </si>
  <si>
    <t>Eutrophic</t>
  </si>
  <si>
    <t>30-45</t>
  </si>
  <si>
    <t>Mesotrophic</t>
  </si>
  <si>
    <t>Eu-hyp</t>
  </si>
  <si>
    <t>Hyp</t>
  </si>
  <si>
    <t>Eu</t>
  </si>
  <si>
    <t>Transition State</t>
  </si>
  <si>
    <t>Reservoir Annual Average Concentrations</t>
  </si>
  <si>
    <t>Water Column</t>
  </si>
  <si>
    <t>Top</t>
  </si>
  <si>
    <t>Mid</t>
  </si>
  <si>
    <t>Seasonal Average</t>
  </si>
  <si>
    <t>Sechhi</t>
  </si>
  <si>
    <t>TSI Index</t>
  </si>
  <si>
    <t>Chlorophyll-a</t>
  </si>
  <si>
    <t>TSS (Pounds)</t>
  </si>
  <si>
    <t>Total Phosphorus Pounds</t>
  </si>
  <si>
    <t>Turkey Creek</t>
  </si>
  <si>
    <t xml:space="preserve">Bear Creek </t>
  </si>
  <si>
    <t xml:space="preserve">Turkey Creek </t>
  </si>
  <si>
    <t>Bear Creek</t>
  </si>
  <si>
    <t>Minimum</t>
  </si>
  <si>
    <t>Average arce-ft/day</t>
  </si>
  <si>
    <t>Chlorophyll</t>
  </si>
  <si>
    <t>Index (f)</t>
  </si>
  <si>
    <t>Secchi (ft)</t>
  </si>
  <si>
    <t>Annual Reservoir</t>
  </si>
  <si>
    <t>Seasonal Reservoir</t>
  </si>
  <si>
    <t>Annual Average Total Suspended Sediments [mg/l]</t>
  </si>
  <si>
    <t>Peak Total Suspended Sediments [mg/l]</t>
  </si>
  <si>
    <t>Phosphorus</t>
  </si>
  <si>
    <t>Nitrogen</t>
  </si>
  <si>
    <t>Total Suspended Sediments</t>
  </si>
  <si>
    <t xml:space="preserve">Phytoplankton Species </t>
  </si>
  <si>
    <t>ltn</t>
  </si>
  <si>
    <t>Bear Creek Lair O'Bear</t>
  </si>
  <si>
    <t>Nitrate-Nitrogen (ug/l)</t>
  </si>
  <si>
    <t>Cryptomonas erosa</t>
  </si>
  <si>
    <t>Microcystis aeruginosa</t>
  </si>
  <si>
    <t>Jefferson County, Colorado</t>
  </si>
  <si>
    <t>Hydrologic Unit Code 10190002</t>
  </si>
  <si>
    <t>Latitude  39°39'08", Longitude 105°10'23" NAD27</t>
  </si>
  <si>
    <t>Drainage area 176  square miles</t>
  </si>
  <si>
    <t>Contributing drainage area 176  square miles</t>
  </si>
  <si>
    <t>Gage datum 5,645.00 feet above sea level NGVD29</t>
  </si>
  <si>
    <t>Fragilaria crotonensis</t>
  </si>
  <si>
    <t>Species</t>
  </si>
  <si>
    <t>Association Annual ac-ft/yr</t>
  </si>
  <si>
    <t>0-25</t>
  </si>
  <si>
    <t>Oligotrophic</t>
  </si>
  <si>
    <t>Oligotrophic-Mesotrophic</t>
  </si>
  <si>
    <t>65+</t>
  </si>
  <si>
    <t>Walker TI</t>
  </si>
  <si>
    <t>Date</t>
  </si>
  <si>
    <t>Average Annual Sechhi Depth (meters)</t>
  </si>
  <si>
    <t>Time</t>
  </si>
  <si>
    <t>SC</t>
  </si>
  <si>
    <t>DO</t>
  </si>
  <si>
    <t>Temp</t>
  </si>
  <si>
    <t>pH</t>
  </si>
  <si>
    <t>1m</t>
  </si>
  <si>
    <t>2m</t>
  </si>
  <si>
    <t>3m</t>
  </si>
  <si>
    <t>4m</t>
  </si>
  <si>
    <t>5m</t>
  </si>
  <si>
    <t>6m</t>
  </si>
  <si>
    <t>7m</t>
  </si>
  <si>
    <t>8m</t>
  </si>
  <si>
    <t>9m</t>
  </si>
  <si>
    <t>Secchi m</t>
  </si>
  <si>
    <t>Width (feet)</t>
  </si>
  <si>
    <t>Conditions</t>
  </si>
  <si>
    <t>Distance</t>
  </si>
  <si>
    <t>Depth</t>
  </si>
  <si>
    <t>Vel Ave Ft/sec</t>
  </si>
  <si>
    <t>Area</t>
  </si>
  <si>
    <t>Gage</t>
  </si>
  <si>
    <t>Discharge,cfs</t>
  </si>
  <si>
    <t>cfs</t>
  </si>
  <si>
    <t>T Depth m</t>
  </si>
  <si>
    <t>Coyote Gulch Upper</t>
  </si>
  <si>
    <t>Coyote Gulch Lower</t>
  </si>
  <si>
    <t>Phosphorus, total</t>
  </si>
  <si>
    <t>Total Dissolved Phosphorus</t>
  </si>
  <si>
    <t>Chlorophyll a</t>
  </si>
  <si>
    <t>Parameter (ug/l)</t>
  </si>
  <si>
    <t>Bear Creek Laboratory Monitoring Data</t>
  </si>
  <si>
    <t xml:space="preserve">Residue, Non-Filterable (TSS) </t>
  </si>
  <si>
    <t>Nitrate/Nitrite as N, dissolved</t>
  </si>
  <si>
    <t>Site 5</t>
  </si>
  <si>
    <t>10m</t>
  </si>
  <si>
    <t>11m</t>
  </si>
  <si>
    <t>BCReservoir</t>
  </si>
  <si>
    <t>Upper Coyote</t>
  </si>
  <si>
    <t>Lower Coyote</t>
  </si>
  <si>
    <t>Reservoir Profiles</t>
  </si>
  <si>
    <t>date:</t>
  </si>
  <si>
    <t>TCIn; 16a</t>
  </si>
  <si>
    <t>BCIn; 15a</t>
  </si>
  <si>
    <t>LBCout; 45</t>
  </si>
  <si>
    <t>40a/40c</t>
  </si>
  <si>
    <t>gage</t>
  </si>
  <si>
    <t>Site 41 (1)</t>
  </si>
  <si>
    <t>Site 42 (3)</t>
  </si>
  <si>
    <t>Site 43 (4)</t>
  </si>
  <si>
    <t>Site 44 (5)</t>
  </si>
  <si>
    <t xml:space="preserve">Total Nitrogen </t>
  </si>
  <si>
    <t>Aphanizomenon flos-aquae</t>
  </si>
  <si>
    <t>Ceratium hirundinella</t>
  </si>
  <si>
    <t>Ankistrodesmus falcatus</t>
  </si>
  <si>
    <t>Chlamydomonas sp.</t>
  </si>
  <si>
    <t>Closterium sp.</t>
  </si>
  <si>
    <t>Total Nitrogen</t>
  </si>
  <si>
    <t xml:space="preserve">Total Dissolved Phosphorus, ug/l </t>
  </si>
  <si>
    <t>Total Dissolved Phosphorus, ug/l</t>
  </si>
  <si>
    <t>Total Phosphorus, ug/l</t>
  </si>
  <si>
    <t>Reservoir - Top (NO3)</t>
  </si>
  <si>
    <t>Reservoir - Lower (NO3)</t>
  </si>
  <si>
    <t>Water Year</t>
  </si>
  <si>
    <t>Total Turkey Creek Inflow (Acre-Ft/Year)</t>
  </si>
  <si>
    <t>00060, Discharge, cubic feet per second</t>
  </si>
  <si>
    <t>Total Reservoir Inflow (Acre-Ft/Year)</t>
  </si>
  <si>
    <t>Bear Creek Inflow, Site 15a</t>
  </si>
  <si>
    <t>Turkey Creek Inflow, Site 16a</t>
  </si>
  <si>
    <t>Bear Creek Reservoir Top, Site 40a</t>
  </si>
  <si>
    <t>Bear Creek Reservoir Bottom, Site 40c</t>
  </si>
  <si>
    <t>Lower Bear Creek Outflow, Site 45</t>
  </si>
  <si>
    <t>Rec Uses</t>
  </si>
  <si>
    <t xml:space="preserve">Walking/ Running </t>
  </si>
  <si>
    <t>Number Observed</t>
  </si>
  <si>
    <t>Bicycle</t>
  </si>
  <si>
    <t>Horseback Riding</t>
  </si>
  <si>
    <t>Fishing</t>
  </si>
  <si>
    <t>Reservoir Sites</t>
  </si>
  <si>
    <t>Camping</t>
  </si>
  <si>
    <t>Reservoir Site 40</t>
  </si>
  <si>
    <t>camping</t>
  </si>
  <si>
    <t>Archery</t>
  </si>
  <si>
    <t>Beach</t>
  </si>
  <si>
    <t>9.0 (13.0)</t>
  </si>
  <si>
    <t>23.3 (23.8)</t>
  </si>
  <si>
    <t>Standard</t>
  </si>
  <si>
    <t>Ski School training</t>
  </si>
  <si>
    <t>site 40</t>
  </si>
  <si>
    <t>Site 41</t>
  </si>
  <si>
    <t>Site 42</t>
  </si>
  <si>
    <t>Site 43</t>
  </si>
  <si>
    <t>Site 44</t>
  </si>
  <si>
    <t>S(Apr-Dec)</t>
  </si>
  <si>
    <t>S(Jan-Mar)</t>
  </si>
  <si>
    <t>Profile Average (mg/l)</t>
  </si>
  <si>
    <t>Total Depth Profile (m)</t>
  </si>
  <si>
    <t>Site 36</t>
  </si>
  <si>
    <t>Nitrogen, ammonia</t>
  </si>
  <si>
    <t>Site 37</t>
  </si>
  <si>
    <t>Site 1a</t>
  </si>
  <si>
    <t>Site 4b</t>
  </si>
  <si>
    <t>Site 4e</t>
  </si>
  <si>
    <t>Site 8a</t>
  </si>
  <si>
    <t>Site 9</t>
  </si>
  <si>
    <t>Site 12</t>
  </si>
  <si>
    <t>Site 13a</t>
  </si>
  <si>
    <t>Site 14a</t>
  </si>
  <si>
    <t>Site 18</t>
  </si>
  <si>
    <t>Site 19</t>
  </si>
  <si>
    <t>Site 25</t>
  </si>
  <si>
    <t>Site 35</t>
  </si>
  <si>
    <t>Site 50</t>
  </si>
  <si>
    <t xml:space="preserve">Site ID </t>
  </si>
  <si>
    <t>Site Location by Stream Segment</t>
  </si>
  <si>
    <t>Segment 1a</t>
  </si>
  <si>
    <t>Site 3a</t>
  </si>
  <si>
    <t>Above Evergreen Lake at CDOW Site</t>
  </si>
  <si>
    <t>Segment 1d</t>
  </si>
  <si>
    <t>Segment 1e</t>
  </si>
  <si>
    <t>Above EMD WWTP, at CDOW downtown site</t>
  </si>
  <si>
    <t>Bear Creek Cabins at CDOW Site</t>
  </si>
  <si>
    <t>O'Fallon Park, west end at CDOW Site</t>
  </si>
  <si>
    <t>Lair o' the Bear Park, at CDOW site</t>
  </si>
  <si>
    <t>Below Idledale, Shady Lane at CDOW site</t>
  </si>
  <si>
    <t>Morrison Park west end of town, at CDOW Site</t>
  </si>
  <si>
    <t>Segment 3</t>
  </si>
  <si>
    <t>Vance Creek (Mt. Evans Wilderness drainage)</t>
  </si>
  <si>
    <t>Segment 5</t>
  </si>
  <si>
    <t>Cub Creek, Upstream of Cub Creek Park</t>
  </si>
  <si>
    <t>Cub Creek, Upstream @ Brookforest Inn</t>
  </si>
  <si>
    <t>Segment 6a</t>
  </si>
  <si>
    <t>South Turkey Creek Aspen Park Metropolitan District</t>
  </si>
  <si>
    <t>Segment 6b</t>
  </si>
  <si>
    <t>North Turkey Creek Flying J Ranch Bridge</t>
  </si>
  <si>
    <t>Segments 7 and 8</t>
  </si>
  <si>
    <t>Summit Lake outfall (Mount Evans Wilderness) (Segment 8)</t>
  </si>
  <si>
    <t>Site 38</t>
  </si>
  <si>
    <t>Bear Creek at Bear Tracks, Bridge  (Segment 7)</t>
  </si>
  <si>
    <t>NO3-NO2 Ug/l</t>
  </si>
  <si>
    <t>Ammonia Ug/l</t>
  </si>
  <si>
    <t>T Phos Ug/l</t>
  </si>
  <si>
    <t>Bear Creek, Mainstem from Lake 1/4 mile downstream (Segment 7)</t>
  </si>
  <si>
    <t>50 weir</t>
  </si>
  <si>
    <t>Recreational Uses</t>
  </si>
  <si>
    <t>Sediment Sample Sites</t>
  </si>
  <si>
    <t>Bear Creek Transect</t>
  </si>
  <si>
    <t>SedBC01</t>
  </si>
  <si>
    <t>SedBC02</t>
  </si>
  <si>
    <t>SedBC03</t>
  </si>
  <si>
    <t>SedBC04</t>
  </si>
  <si>
    <t>SedBC05</t>
  </si>
  <si>
    <t>SedBC06</t>
  </si>
  <si>
    <t>Pelican Point Transect</t>
  </si>
  <si>
    <t>SedPel07</t>
  </si>
  <si>
    <t>SedPel08</t>
  </si>
  <si>
    <t>SedPel09</t>
  </si>
  <si>
    <t>SedPel10</t>
  </si>
  <si>
    <t>SedPel11</t>
  </si>
  <si>
    <t>Turkey Creek Transect</t>
  </si>
  <si>
    <t>SedTC12</t>
  </si>
  <si>
    <t>SedTC13</t>
  </si>
  <si>
    <t>SedTC14</t>
  </si>
  <si>
    <t>SedTC15</t>
  </si>
  <si>
    <t>SedTC16</t>
  </si>
  <si>
    <t>SedTC17</t>
  </si>
  <si>
    <t>Code</t>
  </si>
  <si>
    <t>Transect</t>
  </si>
  <si>
    <t xml:space="preserve"> 39°39'4.86"N</t>
  </si>
  <si>
    <t>Latitude</t>
  </si>
  <si>
    <t>Longitude</t>
  </si>
  <si>
    <t>105° 8'51.74"W</t>
  </si>
  <si>
    <t xml:space="preserve"> 39°39'5.79"N</t>
  </si>
  <si>
    <t>105° 8'45.82"W</t>
  </si>
  <si>
    <t xml:space="preserve"> 39°39'6.65"N</t>
  </si>
  <si>
    <t>105° 8'40.02"W</t>
  </si>
  <si>
    <t xml:space="preserve"> 39°39'7.80"N</t>
  </si>
  <si>
    <t>105° 8'35.32"W</t>
  </si>
  <si>
    <t>Sediment</t>
  </si>
  <si>
    <t xml:space="preserve"> 39°39'9.39"N</t>
  </si>
  <si>
    <t>105° 8'30.87"W</t>
  </si>
  <si>
    <t xml:space="preserve"> 39°39'0.05"N</t>
  </si>
  <si>
    <t>105° 8'42.06"W</t>
  </si>
  <si>
    <t xml:space="preserve"> 39°39'11.84"N</t>
  </si>
  <si>
    <t>105° 8'27.13"W</t>
  </si>
  <si>
    <t xml:space="preserve"> 39°39'1.49"N</t>
  </si>
  <si>
    <t>105° 8'36.85"W</t>
  </si>
  <si>
    <t xml:space="preserve"> 39°39'3.10"N</t>
  </si>
  <si>
    <t>105° 8'32.09"W</t>
  </si>
  <si>
    <t xml:space="preserve"> 39°39'5.01"N</t>
  </si>
  <si>
    <t>105° 8'27.11"W</t>
  </si>
  <si>
    <t xml:space="preserve"> 39°39'7.20"N</t>
  </si>
  <si>
    <t>105° 8'22.92"W</t>
  </si>
  <si>
    <t xml:space="preserve"> 39°38'54.95"N</t>
  </si>
  <si>
    <t>105° 8'45.34"W</t>
  </si>
  <si>
    <t xml:space="preserve"> 39°38'56.88"N</t>
  </si>
  <si>
    <t>105° 8'39.95"W</t>
  </si>
  <si>
    <t xml:space="preserve"> 39°38'58.04"N</t>
  </si>
  <si>
    <t>105° 8'33.92"W</t>
  </si>
  <si>
    <t xml:space="preserve"> 39°38'59.46"N</t>
  </si>
  <si>
    <t>105° 8'29.52"W</t>
  </si>
  <si>
    <t xml:space="preserve"> 39°39'1.09"N</t>
  </si>
  <si>
    <t>105° 8'24.69"W</t>
  </si>
  <si>
    <t xml:space="preserve"> 39°39'2.63"N</t>
  </si>
  <si>
    <t>105° 8'18.94"W</t>
  </si>
  <si>
    <t>grams</t>
  </si>
  <si>
    <t>kg</t>
  </si>
  <si>
    <t>volume = 20ml</t>
  </si>
  <si>
    <t>mgP/kg Mud</t>
  </si>
  <si>
    <t>Filter</t>
  </si>
  <si>
    <t>Pan</t>
  </si>
  <si>
    <t>&lt;10-25</t>
  </si>
  <si>
    <t>Coarse Sand</t>
  </si>
  <si>
    <t>Med Sand</t>
  </si>
  <si>
    <t>Fine Sand</t>
  </si>
  <si>
    <t>Very Fine Sand</t>
  </si>
  <si>
    <t>Silt/Clay</t>
  </si>
  <si>
    <t>% TOC</t>
  </si>
  <si>
    <t>ASTM No</t>
  </si>
  <si>
    <t>Mesh Opening (in)</t>
  </si>
  <si>
    <t xml:space="preserve">Seive </t>
  </si>
  <si>
    <t>26 OPN</t>
  </si>
  <si>
    <t>9 OPN</t>
  </si>
  <si>
    <t>46 OPN</t>
  </si>
  <si>
    <t>29 OPN</t>
  </si>
  <si>
    <t>Medium Sand</t>
  </si>
  <si>
    <t>Silt and Clay</t>
  </si>
  <si>
    <t>&lt;200</t>
  </si>
  <si>
    <t>Very Coarse and Coarse Sand</t>
  </si>
  <si>
    <t>Grain-Size Term</t>
  </si>
  <si>
    <t>Above Singin' River Ranch complex</t>
  </si>
  <si>
    <t>TN Ug/l</t>
  </si>
  <si>
    <t>Above EMD WWTP, CDOW downtown site</t>
  </si>
  <si>
    <t>Morrison Park west, CDOW Site</t>
  </si>
  <si>
    <t xml:space="preserve">Evergreen Lake Profile Station, four meters </t>
  </si>
  <si>
    <t xml:space="preserve">Evergreen Lake Profile Station, one meter </t>
  </si>
  <si>
    <t>SC (ms/cm)</t>
  </si>
  <si>
    <t>Temp °C</t>
  </si>
  <si>
    <t>DO(mg/l)</t>
  </si>
  <si>
    <t>Location</t>
  </si>
  <si>
    <t>Flow cfs</t>
  </si>
  <si>
    <t>Segment</t>
  </si>
  <si>
    <t>1a</t>
  </si>
  <si>
    <t>1b</t>
  </si>
  <si>
    <t>1c</t>
  </si>
  <si>
    <t>1d</t>
  </si>
  <si>
    <t>1e</t>
  </si>
  <si>
    <t>4a</t>
  </si>
  <si>
    <t>6a</t>
  </si>
  <si>
    <t>6b</t>
  </si>
  <si>
    <t>Lakes and reservoirs in the Turkey Creek system from the source to the inlet of Bear Creek Reservoir</t>
  </si>
  <si>
    <t>Lakes and reservoirs in the Bear Creek system from the outlet of Evergreen Lake to the confluence with the South Platte River, except as specified in Segments 1c,  10, and 12; includes Soda Lakes.</t>
  </si>
  <si>
    <t>Lakes and reservoirs in drainages of Swede Gulch, Sawmill Gulch, Troublesome Gulch, and Cold Springs Gulch from source to confluence with Bear Creek.</t>
  </si>
  <si>
    <t>Lakes and reservoirs in the Bear Creek system from the boundary of the Mt. Evans Wilderness area to the inlet of Evergreen Lake.</t>
  </si>
  <si>
    <t>Lakes and reservoirs in the Bear Creek system from the sources to the boundary of the Mt. Evans Wilderness area.</t>
  </si>
  <si>
    <t>Mainstem and all tributaries to Bear Creek, including wetlands, within the Mt. Evans Wilderness Area.</t>
  </si>
  <si>
    <t>Mainstem of North Turkey Creek, from the source to the confluence with Turkey Creek.</t>
  </si>
  <si>
    <t>Turkey Creek system, including all tributaries and wetlands, from the source to the inlet of Bear Creek Reservoir, except for specific listings in Segment 6b.</t>
  </si>
  <si>
    <t>Swede, Kerr, Sawmill, Troublesome, and Cold Springs Gulches, and mainstem of Cub Creek from the source to the confluence with Bear Creek.</t>
  </si>
  <si>
    <t>All tributaries to Bear Creek, including all wetlands, from the outlet of Evergreen Lake to the confluence with the South Platte River, except for specific listings in Segments 5, 6a, and 6b.</t>
  </si>
  <si>
    <t>All tributaries to Bear Creek, including all wetlands, from the source to the outlet of Evergreen Lake, Except for specific listings in Segment 7.</t>
  </si>
  <si>
    <t>Mainstem of Bear Creek from the outlet of Bear Creek Reservoir to the confluence with the South Platte River.</t>
  </si>
  <si>
    <t>Mainstem of Bear Creek from the outlet of Evergreen Lake to the Harriman Ditch.</t>
  </si>
  <si>
    <t>Evergreen Lake.</t>
  </si>
  <si>
    <t>Bear Creek Reservoir.</t>
  </si>
  <si>
    <t>Mainstem of Bear Creek from Harriman Ditch to the inlet of Bear Creek Reservoir</t>
  </si>
  <si>
    <t xml:space="preserve">Mainstem of Bear Creek from the boundary of the Mt. Evans Wilderness area to the inlet of Evergreen Lake </t>
  </si>
  <si>
    <t>April-Oct</t>
  </si>
  <si>
    <r>
      <t xml:space="preserve">T=TVS(CS-I)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</si>
  <si>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 April-Oct; T(WAT)=19.3 oC</t>
    </r>
  </si>
  <si>
    <r>
      <t xml:space="preserve">T=TVS(CLL) </t>
    </r>
    <r>
      <rPr>
        <vertAlign val="superscript"/>
        <sz val="9"/>
        <color rgb="FF000000"/>
        <rFont val="Arial"/>
        <family val="2"/>
      </rPr>
      <t>o</t>
    </r>
    <r>
      <rPr>
        <sz val="9"/>
        <color rgb="FF000000"/>
        <rFont val="Arial"/>
        <family val="2"/>
      </rPr>
      <t>C; April-Dec; T(WAT)=23.3oC</t>
    </r>
  </si>
  <si>
    <r>
      <t xml:space="preserve">T=TVS(CLL)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</si>
  <si>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 April-Oct; T(WAT)=19.3 oC</t>
    </r>
  </si>
  <si>
    <r>
      <t xml:space="preserve">T=TVS(WS-I) </t>
    </r>
    <r>
      <rPr>
        <vertAlign val="superscript"/>
        <sz val="9"/>
        <color rgb="FF000000"/>
        <rFont val="Arial"/>
        <family val="2"/>
      </rPr>
      <t>o</t>
    </r>
    <r>
      <rPr>
        <sz val="9"/>
        <color rgb="FF000000"/>
        <rFont val="Arial"/>
        <family val="2"/>
      </rPr>
      <t>C</t>
    </r>
  </si>
  <si>
    <r>
      <t xml:space="preserve">T=TVS(CS-II) </t>
    </r>
    <r>
      <rPr>
        <vertAlign val="superscript"/>
        <sz val="9"/>
        <color rgb="FF000000"/>
        <rFont val="Arial"/>
        <family val="2"/>
      </rPr>
      <t>o</t>
    </r>
    <r>
      <rPr>
        <sz val="9"/>
        <color rgb="FF000000"/>
        <rFont val="Arial"/>
        <family val="2"/>
      </rPr>
      <t>C</t>
    </r>
  </si>
  <si>
    <r>
      <t xml:space="preserve">T=TVS(CL) </t>
    </r>
    <r>
      <rPr>
        <vertAlign val="superscript"/>
        <sz val="9"/>
        <color rgb="FF000000"/>
        <rFont val="Arial"/>
        <family val="2"/>
      </rPr>
      <t>o</t>
    </r>
    <r>
      <rPr>
        <sz val="9"/>
        <color rgb="FF000000"/>
        <rFont val="Arial"/>
        <family val="2"/>
      </rPr>
      <t>C</t>
    </r>
  </si>
  <si>
    <r>
      <t xml:space="preserve">T=TVS(WS-II) </t>
    </r>
    <r>
      <rPr>
        <vertAlign val="superscript"/>
        <sz val="9"/>
        <color rgb="FF000000"/>
        <rFont val="Arial"/>
        <family val="2"/>
      </rPr>
      <t>o</t>
    </r>
    <r>
      <rPr>
        <sz val="9"/>
        <color rgb="FF000000"/>
        <rFont val="Arial"/>
        <family val="2"/>
      </rPr>
      <t>C</t>
    </r>
  </si>
  <si>
    <t>Month</t>
  </si>
  <si>
    <t>June-Sept</t>
  </si>
  <si>
    <t>TEMPERATURE</t>
  </si>
  <si>
    <r>
      <t>STANDARD (</t>
    </r>
    <r>
      <rPr>
        <b/>
        <vertAlign val="superscript"/>
        <sz val="8"/>
        <rFont val="Arial"/>
        <family val="2"/>
      </rPr>
      <t>O</t>
    </r>
    <r>
      <rPr>
        <b/>
        <sz val="8"/>
        <rFont val="Arial"/>
        <family val="2"/>
      </rPr>
      <t>C)</t>
    </r>
  </si>
  <si>
    <t>(MWAT)</t>
  </si>
  <si>
    <t>(DM)</t>
  </si>
  <si>
    <t>Oct-May</t>
  </si>
  <si>
    <t>Nov-March</t>
  </si>
  <si>
    <t>April-Dec</t>
  </si>
  <si>
    <t>Jan-Mar</t>
  </si>
  <si>
    <t>March-Nov</t>
  </si>
  <si>
    <t>Dec-Feb</t>
  </si>
  <si>
    <t xml:space="preserve">date </t>
  </si>
  <si>
    <t>Boats BCR</t>
  </si>
  <si>
    <t>Stable Horses</t>
  </si>
  <si>
    <t>Canoe/Sailboard (Soda)</t>
  </si>
  <si>
    <t>Median</t>
  </si>
  <si>
    <t>Week-day - 1/2 Day estimates</t>
  </si>
  <si>
    <t>Week-day - Daily Use Estimates</t>
  </si>
  <si>
    <t>Total</t>
  </si>
  <si>
    <t xml:space="preserve"> Bear Creek Reservoir Monitoring Program</t>
  </si>
  <si>
    <t>Bottom</t>
  </si>
  <si>
    <t>EU</t>
  </si>
  <si>
    <t>1/2m</t>
  </si>
  <si>
    <t>1 1/2m</t>
  </si>
  <si>
    <t>2 1/2m</t>
  </si>
  <si>
    <t>3 1/2m</t>
  </si>
  <si>
    <t xml:space="preserve"> BEAR CREEK ABOVE BEAR CREEK LAKE NEAR MORRISON, CO</t>
  </si>
  <si>
    <r>
      <t xml:space="preserve">Temperature, </t>
    </r>
    <r>
      <rPr>
        <b/>
        <vertAlign val="superscript"/>
        <sz val="12"/>
        <rFont val="Arial"/>
        <family val="2"/>
      </rPr>
      <t>o</t>
    </r>
    <r>
      <rPr>
        <b/>
        <sz val="12"/>
        <rFont val="Arial"/>
        <family val="2"/>
      </rPr>
      <t>C</t>
    </r>
  </si>
  <si>
    <t xml:space="preserve">Annual </t>
  </si>
  <si>
    <t>Temp 1/2-2m</t>
  </si>
  <si>
    <t>dog leash</t>
  </si>
  <si>
    <t>dog no leash</t>
  </si>
  <si>
    <t>Average1/2-2m (mg/l)</t>
  </si>
  <si>
    <t>Total Nitrogen (ug/l)</t>
  </si>
  <si>
    <t>dogs, leash</t>
  </si>
  <si>
    <t>dogs, no leash</t>
  </si>
  <si>
    <t>Boat</t>
  </si>
  <si>
    <t>Stable</t>
  </si>
  <si>
    <t>Condition</t>
  </si>
  <si>
    <t>Width (in)</t>
  </si>
  <si>
    <t>Bear Creek Park</t>
  </si>
  <si>
    <t>Downtown Evergreen</t>
  </si>
  <si>
    <t xml:space="preserve">Summit Lake </t>
  </si>
  <si>
    <t xml:space="preserve">Singin' River Ranch </t>
  </si>
  <si>
    <t xml:space="preserve">Above Evergreen Lake </t>
  </si>
  <si>
    <t xml:space="preserve">Bear Creek Cabins </t>
  </si>
  <si>
    <t>O'Fallon Park</t>
  </si>
  <si>
    <t>Idledale</t>
  </si>
  <si>
    <t xml:space="preserve">Morrison </t>
  </si>
  <si>
    <t>Flow (cfs)</t>
  </si>
  <si>
    <t xml:space="preserve">Below Summit Lake </t>
  </si>
  <si>
    <t>Bear Tracks</t>
  </si>
  <si>
    <t>Dissolved Oxygen (mg/l)</t>
  </si>
  <si>
    <t>Specific Conductance (ms)</t>
  </si>
  <si>
    <t>Temperature (c)</t>
  </si>
  <si>
    <t>Ammonia- Nitrogen (ug/l)</t>
  </si>
  <si>
    <t>Below Reservoir</t>
  </si>
  <si>
    <t>Lair o' the Bear</t>
  </si>
  <si>
    <t>Site 4 Evergreen Lake</t>
  </si>
  <si>
    <t>sample at -1m and +1m</t>
  </si>
  <si>
    <t>TP, TN, NO2-NO3, Ammonia, TDP</t>
  </si>
  <si>
    <t>COSPBE01a</t>
  </si>
  <si>
    <t>Mainstem of Bear Creek from the boundary of the Mt. Evans Wilderness area to the inlet of Evergreen Lake.</t>
  </si>
  <si>
    <t>WBID</t>
  </si>
  <si>
    <t>Segment Description</t>
  </si>
  <si>
    <t>Portion</t>
  </si>
  <si>
    <t>Colorado’s Monitoring &amp; Evaluation Parameter(s)</t>
  </si>
  <si>
    <t>Clean Water Act Section 303(d) Impairment</t>
  </si>
  <si>
    <t>303(d) Priority</t>
  </si>
  <si>
    <t>Aquatic Life (provisional)</t>
  </si>
  <si>
    <t>COSPBE01c</t>
  </si>
  <si>
    <t>Bear Creek Reservoir</t>
  </si>
  <si>
    <t>all</t>
  </si>
  <si>
    <t>L</t>
  </si>
  <si>
    <t>D.O.</t>
  </si>
  <si>
    <t>Chl-a, phosphorus</t>
  </si>
  <si>
    <t>H</t>
  </si>
  <si>
    <t>COSPBE01e</t>
  </si>
  <si>
    <t>Temperature, Aquatic Life</t>
  </si>
  <si>
    <t>COSPBE02</t>
  </si>
  <si>
    <t>Bear Creek below Bear Creek Reservoir to South Platte River</t>
  </si>
  <si>
    <t>Below Kipling Parkway (CO 390)</t>
  </si>
  <si>
    <t>E.coli (May-Oct), Aquatic Life (provisional)</t>
  </si>
  <si>
    <t>COSPBE05</t>
  </si>
  <si>
    <t>Swede, Kerr, Sawmill, Troublesome and Cold Springs Gulches and Cub Creek</t>
  </si>
  <si>
    <t>Swede/Kerr Gulch</t>
  </si>
  <si>
    <t>E.coli</t>
  </si>
  <si>
    <t>Segment 10</t>
  </si>
  <si>
    <t>Site 39a</t>
  </si>
  <si>
    <t>Site 39b</t>
  </si>
  <si>
    <t>Genesee Reservoir, -1m</t>
  </si>
  <si>
    <t>Genesee Reservoir, -5m</t>
  </si>
  <si>
    <t>4e</t>
  </si>
  <si>
    <t>Evergreen Lake</t>
  </si>
  <si>
    <t>Inflow = 43 cfs</t>
  </si>
  <si>
    <t>silty sand, low organic matter</t>
  </si>
  <si>
    <t>TP mg/l</t>
  </si>
  <si>
    <t>Genesee</t>
  </si>
  <si>
    <t>DO1/2-2m</t>
  </si>
  <si>
    <t>pH wc</t>
  </si>
  <si>
    <t>SC wc</t>
  </si>
  <si>
    <t xml:space="preserve">Site 36 </t>
  </si>
  <si>
    <t>Summit Lake</t>
  </si>
  <si>
    <t>Substrate</t>
  </si>
  <si>
    <t xml:space="preserve">Vel Ave </t>
  </si>
  <si>
    <t>Pipe#1</t>
  </si>
  <si>
    <t>Pipe#2</t>
  </si>
  <si>
    <t>Site 37 (Mt Evans, BC)</t>
  </si>
  <si>
    <t>Width</t>
  </si>
  <si>
    <t>Site 25 Vance Creek</t>
  </si>
  <si>
    <t>Samplers</t>
  </si>
  <si>
    <t>RNC Consulting; Tony Langoski; _____________________________________</t>
  </si>
  <si>
    <t>Weather</t>
  </si>
  <si>
    <t>_________________________________________________________________</t>
  </si>
  <si>
    <t>TS%</t>
  </si>
  <si>
    <t>Site 3a-Keys on the Green</t>
  </si>
  <si>
    <t>Staff</t>
  </si>
  <si>
    <t>Site 35 (Brookforest Inn)</t>
  </si>
  <si>
    <t>Site 50 Cub Creek Park</t>
  </si>
  <si>
    <t>Site 5-Little Bear Downtown</t>
  </si>
  <si>
    <t>Site 8-Bear Creek Cabins</t>
  </si>
  <si>
    <t>Site 9-O'Fallon Park</t>
  </si>
  <si>
    <t>Site 12-Lair O' The Bear</t>
  </si>
  <si>
    <t>Site 13a-Idledale</t>
  </si>
  <si>
    <t>Site 14a-Morrison Park West</t>
  </si>
  <si>
    <t>Site 18-South Turkey Creek</t>
  </si>
  <si>
    <t>Site 19 -North Turkey Creek</t>
  </si>
  <si>
    <t>Blank</t>
  </si>
  <si>
    <t>tared</t>
  </si>
  <si>
    <t>volume</t>
  </si>
  <si>
    <t>Sdev</t>
  </si>
  <si>
    <t>t-test</t>
  </si>
  <si>
    <t>Sample</t>
  </si>
  <si>
    <t>BCWA Position</t>
  </si>
  <si>
    <t>The BCWA will supprt a provisional listing for Aquatic life as a low priority, but only for a portion of the segment.  Upstream macroinvertebrate sampling shows no indication of an aqutic life impairment.  The portion of the segment for provisional listing should begin at Golden Willow Road Bridge, Clear Creek County and extend downstream to the inlet of Evergreen Lake.</t>
  </si>
  <si>
    <t>The BCWA supports removing the dissolved oxygen listing from the monitoring and evalution listing and retaining the current listing for chlorophyll a and total phosphorus.</t>
  </si>
  <si>
    <t xml:space="preserve">The BCWA doesn't support the proposed aquatic life listing with a high priority with Temperature listed as the parameter causing impairment.  Geerally, the macroinvertbrate data for this segment does not show impairment; however one location out of the 7 monitored site has a low score in 2010.  As such, the BCWA will support a provisional listing for aquatic life for the segment with a low priority.  The massive data record collected by the BCWA for this segment does not support temperature as the problem. </t>
  </si>
  <si>
    <t>The BCWA takes no position on this segment.</t>
  </si>
  <si>
    <t>The BCWA continues the monitoring program o this segment and supports no change to the current listing.</t>
  </si>
  <si>
    <t>Time Period</t>
  </si>
  <si>
    <t>7-24/7-30</t>
  </si>
  <si>
    <t>7-17/7-23</t>
  </si>
  <si>
    <t>7-31/8-6</t>
  </si>
  <si>
    <t>8a</t>
  </si>
  <si>
    <t>13a</t>
  </si>
  <si>
    <t>19.3°C MWAT</t>
  </si>
  <si>
    <t>Segment 1e 2010</t>
  </si>
  <si>
    <t>Ave Max Temp F</t>
  </si>
  <si>
    <t>Mean Temp F</t>
  </si>
  <si>
    <t>July</t>
  </si>
  <si>
    <t>August</t>
  </si>
  <si>
    <t>YEAR(S)</t>
  </si>
  <si>
    <t>JAN</t>
  </si>
  <si>
    <t>FEB</t>
  </si>
  <si>
    <t>MAR</t>
  </si>
  <si>
    <t>APR</t>
  </si>
  <si>
    <t>MAY</t>
  </si>
  <si>
    <t>JUN</t>
  </si>
  <si>
    <t>JUL</t>
  </si>
  <si>
    <t>AUG</t>
  </si>
  <si>
    <t>SEP</t>
  </si>
  <si>
    <t>OCT</t>
  </si>
  <si>
    <t>NOV</t>
  </si>
  <si>
    <t>DEC</t>
  </si>
  <si>
    <t>ANN</t>
  </si>
  <si>
    <t>-----</t>
  </si>
  <si>
    <t>z</t>
  </si>
  <si>
    <t>x</t>
  </si>
  <si>
    <t>a</t>
  </si>
  <si>
    <t>b</t>
  </si>
  <si>
    <t>d</t>
  </si>
  <si>
    <t>c</t>
  </si>
  <si>
    <t>j</t>
  </si>
  <si>
    <t>Period of Record Statistics</t>
  </si>
  <si>
    <t>MEAN</t>
  </si>
  <si>
    <t>S.D.</t>
  </si>
  <si>
    <t>SKEW</t>
  </si>
  <si>
    <t>MAX</t>
  </si>
  <si>
    <t>MIN</t>
  </si>
  <si>
    <t>NO YRS</t>
  </si>
  <si>
    <t>90th Percentile Daily Max</t>
  </si>
  <si>
    <t>Measured Temperature Evergreen</t>
  </si>
  <si>
    <t>Max Temp F</t>
  </si>
  <si>
    <t>Air Temperature Golden 1997-2011</t>
  </si>
  <si>
    <t>avg</t>
  </si>
  <si>
    <t>max</t>
  </si>
  <si>
    <t>Golden</t>
  </si>
  <si>
    <t>July 24-30</t>
  </si>
  <si>
    <t>Watershed</t>
  </si>
  <si>
    <t>High Measurements</t>
  </si>
  <si>
    <t>Lowest</t>
  </si>
  <si>
    <t>Temperature</t>
  </si>
  <si>
    <t>(F)</t>
  </si>
  <si>
    <t>Highest</t>
  </si>
  <si>
    <t>Warmest</t>
  </si>
  <si>
    <t>Coldest</t>
  </si>
  <si>
    <t>Maximum</t>
  </si>
  <si>
    <t>Mean</t>
  </si>
  <si>
    <t>Precipitation</t>
  </si>
  <si>
    <t>(In)</t>
  </si>
  <si>
    <t>Snowfall</t>
  </si>
  <si>
    <t>Max 24hr</t>
  </si>
  <si>
    <t>NR</t>
  </si>
  <si>
    <t>June</t>
  </si>
  <si>
    <t>Air Temperature Evergreen 1961-2011</t>
  </si>
  <si>
    <t>2007-2011</t>
  </si>
  <si>
    <t xml:space="preserve">&gt;19.3°C </t>
  </si>
  <si>
    <t>Percent</t>
  </si>
  <si>
    <t>2003-2006</t>
  </si>
  <si>
    <t># Temperature Measurements</t>
  </si>
  <si>
    <t>- 40 cfs</t>
  </si>
  <si>
    <t>- 56 cfs</t>
  </si>
  <si>
    <t>- 21 cfs</t>
  </si>
  <si>
    <t>Evergreen at BCWA Site 5</t>
  </si>
  <si>
    <t>Flow (Deviation from Normal)</t>
  </si>
  <si>
    <t>Rainfall (Deviation from Normal</t>
  </si>
  <si>
    <t>- 0.4 in</t>
  </si>
  <si>
    <t>- 0.3 in</t>
  </si>
  <si>
    <t>Rainfall % of Average Normal</t>
  </si>
  <si>
    <t>+ 0.1 in</t>
  </si>
  <si>
    <t>Note: August 7-10 rainfall event @ 1.07 in</t>
  </si>
  <si>
    <t>Total Horses</t>
  </si>
  <si>
    <t>assume w/o bedding</t>
  </si>
  <si>
    <t>Total Manure</t>
  </si>
  <si>
    <t>Ammonia</t>
  </si>
  <si>
    <t>Potassium</t>
  </si>
  <si>
    <t>assume1000 pound animal per year, median</t>
  </si>
  <si>
    <t>tons/yr</t>
  </si>
  <si>
    <t xml:space="preserve">Median </t>
  </si>
  <si>
    <t xml:space="preserve">Total Density (#/mL): </t>
  </si>
  <si>
    <t xml:space="preserve">Trophic State Index: </t>
  </si>
  <si>
    <t>Density</t>
  </si>
  <si>
    <t>Biovolume</t>
  </si>
  <si>
    <t>#/mL</t>
  </si>
  <si>
    <t>diatom</t>
  </si>
  <si>
    <t>Anabaena flos-aquae</t>
  </si>
  <si>
    <t>bluegreen</t>
  </si>
  <si>
    <t>green</t>
  </si>
  <si>
    <t>dinoflagellate</t>
  </si>
  <si>
    <t>Cocconeis placentula</t>
  </si>
  <si>
    <t>cryptophyte</t>
  </si>
  <si>
    <t>Cymbella minuta</t>
  </si>
  <si>
    <t>Rhodomonas minuta</t>
  </si>
  <si>
    <t>Schroderia sp.</t>
  </si>
  <si>
    <t>Trachelomonas scabra</t>
  </si>
  <si>
    <t>euglenoid</t>
  </si>
  <si>
    <t>Fragilaria construens venter</t>
  </si>
  <si>
    <t>Dinobryon sertularia</t>
  </si>
  <si>
    <t>chrysophyte</t>
  </si>
  <si>
    <t>Trachelomonas volvocina</t>
  </si>
  <si>
    <t>Fragilaria pinnata</t>
  </si>
  <si>
    <t>Achnanthes minutissima</t>
  </si>
  <si>
    <t>Cymbella affinis</t>
  </si>
  <si>
    <t>Cymbella sinuata</t>
  </si>
  <si>
    <t>Navicula sp.</t>
  </si>
  <si>
    <t>Sphaerocystis schroeteri</t>
  </si>
  <si>
    <t>Achnanthes linearis</t>
  </si>
  <si>
    <t>Gomphonema angustatum</t>
  </si>
  <si>
    <t>Diatoma vulgare</t>
  </si>
  <si>
    <t>Rhoicosphenia curvata</t>
  </si>
  <si>
    <t>Average Total Nitrogen [ug/l]: -1m</t>
  </si>
  <si>
    <t>Average Total Nitrogen [ug/l]: -10m</t>
  </si>
  <si>
    <t>Peak Annual Total Phosphorus [ug/l] Water Column</t>
  </si>
  <si>
    <t>Total Nitrogen Pounds</t>
  </si>
  <si>
    <t>Average Annual Ortho Phosphorus ug/l] Water Column</t>
  </si>
  <si>
    <t>Peak Annual Ortho Phosphorus [ug/l] Water Column</t>
  </si>
  <si>
    <t>Average Annual Nitrate-Nitrogen [ug/l] Water Column</t>
  </si>
  <si>
    <t>Peak Annual Nitrate-Nitrogen [ug/l] Water Column</t>
  </si>
  <si>
    <t>Average Annual Total Nitrogen [ug/l]: Water Column</t>
  </si>
  <si>
    <t>Growing Season Total Phosphorus [ug/l]: -1m</t>
  </si>
  <si>
    <t>Growing Season Total Phosphorus [ug/l]: -10m</t>
  </si>
  <si>
    <t>Average Annual Total Phosphorus [ug/l] -1m</t>
  </si>
  <si>
    <t>Average Annual Total Phosphorus [ug/l] -10m</t>
  </si>
  <si>
    <t>Growing Season Total Phosphorus [ug/l]: Water Column</t>
  </si>
  <si>
    <t>Average Annual Total Phosphorus [ug/l]: Water Column</t>
  </si>
  <si>
    <t>Average Growing Season Chlorophyll-a [ug/l (-1m)]</t>
  </si>
  <si>
    <t>Average Annual Chlorophyll-a [ug/l (-1m)]</t>
  </si>
  <si>
    <t>Dissolved Oxygen</t>
  </si>
  <si>
    <t>Reservoir Growing Season July to September</t>
  </si>
  <si>
    <t>Growing Season Average Nitrate-Nitrogen [ug/l] Water Column</t>
  </si>
  <si>
    <t>Growing Season Total Nitrogen [ug/l]: Water Column</t>
  </si>
  <si>
    <t>Growing Season Total Nitrogen [ug/l]: -1m</t>
  </si>
  <si>
    <t>Growing Season Total Nitrogen [ug/l]: -10m</t>
  </si>
  <si>
    <t>Growing Season Average Total Suspended Sediments [mg/l]</t>
  </si>
  <si>
    <t>Growing Season Average Ortho Phosphorus [ug/l] Water Column</t>
  </si>
  <si>
    <t>Growing Season Average Secchi Depth (meters)</t>
  </si>
  <si>
    <t>Bear Creek Reservoir Mean Annual Concentrations 1991-2012</t>
  </si>
  <si>
    <t>91-12 Mean</t>
  </si>
  <si>
    <t>91-12 Median</t>
  </si>
  <si>
    <t>Reservoir</t>
  </si>
  <si>
    <t>average</t>
  </si>
  <si>
    <t>Estimate Horses in Per/month</t>
  </si>
  <si>
    <t>tons manure/month</t>
  </si>
  <si>
    <t>Ammonia lbs/month</t>
  </si>
  <si>
    <t>TN lbs/month</t>
  </si>
  <si>
    <t>Total Phosphorus lbs/month</t>
  </si>
  <si>
    <t>Potassium lbs/month</t>
  </si>
  <si>
    <t>lbs/ton</t>
  </si>
  <si>
    <t>Site 60 Summit Shore North</t>
  </si>
  <si>
    <t>Site 62 Middle Plume</t>
  </si>
  <si>
    <t>Mt. Evans Field Data</t>
  </si>
  <si>
    <t>Temperature C</t>
  </si>
  <si>
    <t>Specific Conductance ms/cm</t>
  </si>
  <si>
    <t>Dissolved Oxygen mg/l</t>
  </si>
  <si>
    <t>Site 60 North Shore</t>
  </si>
  <si>
    <t>Site 36 Outlets</t>
  </si>
  <si>
    <t>Site 61 Top Plume</t>
  </si>
  <si>
    <t>Site 63 Bottom Plume</t>
  </si>
  <si>
    <t>Site 58 BC Above SRR</t>
  </si>
  <si>
    <t>Site 2a-Golden Willow UBC</t>
  </si>
  <si>
    <t>Site 2a</t>
  </si>
  <si>
    <t>at Golden Willow on Upper Bear Creek</t>
  </si>
  <si>
    <t>Vance Creek below Mt Evan Wilderness Area</t>
  </si>
  <si>
    <t>above Evergreen Lake at Keys-on-the-Green, CDOW Site</t>
  </si>
  <si>
    <t xml:space="preserve">Evergreen Lake, at dam </t>
  </si>
  <si>
    <t>Above EMD WWTP effluent, CDOW Downtown Site</t>
  </si>
  <si>
    <t xml:space="preserve">Bear Creek Cabins, CDOW Site </t>
  </si>
  <si>
    <t>O’Fallon Park (west end, CDOW Site)</t>
  </si>
  <si>
    <t xml:space="preserve">Lair o’ the Bear, CDOW Site </t>
  </si>
  <si>
    <t xml:space="preserve">below Idledale (at Idledale at Shady Lane, CDOW Site)  </t>
  </si>
  <si>
    <t xml:space="preserve">Morrison Park (west end of town, CDOW Site) </t>
  </si>
  <si>
    <t>North Turkey Creek Flying J</t>
  </si>
  <si>
    <t>Cub Creek at Brookforest Inn</t>
  </si>
  <si>
    <t>Upper Segment 7</t>
  </si>
  <si>
    <t xml:space="preserve">Bear Creek above Singing River </t>
  </si>
  <si>
    <t>Site 39</t>
  </si>
  <si>
    <t>Genesee Reservoir</t>
  </si>
  <si>
    <t>Cub Creek Upstream Cub Creek Park</t>
  </si>
  <si>
    <t>Site 58</t>
  </si>
  <si>
    <t>South Turkey Creek Myers Ranch</t>
  </si>
  <si>
    <t>Site 4</t>
  </si>
  <si>
    <t>NO3,TA, TP</t>
  </si>
  <si>
    <t>Profile</t>
  </si>
  <si>
    <t>NO3, TA, TP</t>
  </si>
  <si>
    <t xml:space="preserve">Site 4 </t>
  </si>
  <si>
    <t>TN, NO3, TA,TP,TDP, TSS</t>
  </si>
  <si>
    <t>Chris Schauder, Tony Langoski, RNC</t>
  </si>
  <si>
    <t>used the medium clam shell sampler</t>
  </si>
  <si>
    <t xml:space="preserve">     degrees, Cloud cover        , wind speed direction</t>
  </si>
  <si>
    <t>Duplicates</t>
  </si>
  <si>
    <t xml:space="preserve">SedBC-03 and 05 </t>
  </si>
  <si>
    <t>SedPel-08 and 10</t>
  </si>
  <si>
    <t>SedTC-13 and 16</t>
  </si>
  <si>
    <t>56 degrees, sunny, wind 0-2 mph</t>
  </si>
  <si>
    <t>Turned aeration off on 9/28/2011 @ 8:00 p.m.</t>
  </si>
  <si>
    <t>silty black clay</t>
  </si>
  <si>
    <t>silty black sandy-clay</t>
  </si>
  <si>
    <t>silty black clay (blackest mud)</t>
  </si>
  <si>
    <t>silty black clay; Duplicate</t>
  </si>
  <si>
    <t>4.2/2.4</t>
  </si>
  <si>
    <t>Depth/Secchi (m)</t>
  </si>
  <si>
    <t>5.3/2.3</t>
  </si>
  <si>
    <t>5.85/2.2</t>
  </si>
  <si>
    <t>6.1/2.1</t>
  </si>
  <si>
    <t>7.5/2.1</t>
  </si>
  <si>
    <t>6.17/2.2</t>
  </si>
  <si>
    <t>3.0/2.3</t>
  </si>
  <si>
    <t>7.48/2.38</t>
  </si>
  <si>
    <t>9.66/2.5</t>
  </si>
  <si>
    <t>10.3/2.41</t>
  </si>
  <si>
    <t>5.42/2.42</t>
  </si>
  <si>
    <t>1.41/1.41</t>
  </si>
  <si>
    <t>2.34/1.98</t>
  </si>
  <si>
    <t>5.88/2.16</t>
  </si>
  <si>
    <t>6.28/2.27</t>
  </si>
  <si>
    <t>8.64/2.3</t>
  </si>
  <si>
    <t>4.54/2.16</t>
  </si>
  <si>
    <t>Std</t>
  </si>
  <si>
    <t xml:space="preserve">Mike Towner, Tony Langoski, Chris Schauder, RNC, Margaret Herzog </t>
  </si>
  <si>
    <t>Volume (l)</t>
  </si>
  <si>
    <t>Site 37 Bear Creek</t>
  </si>
  <si>
    <t>used medium sized Ekman clamshell sampler (Top 5-8cm), made 1 and 2 drops per site (each Duplicate was 2 drops composited)</t>
  </si>
  <si>
    <t>Site 40 Central Pool</t>
  </si>
  <si>
    <t>Site 41- BC Outlet</t>
  </si>
  <si>
    <t>Site 42 - South Dam</t>
  </si>
  <si>
    <t>Site 43 - TC Inlet</t>
  </si>
  <si>
    <t>Site 44 - BC Inlet</t>
  </si>
  <si>
    <t>Specific Conductance</t>
  </si>
  <si>
    <t>Dissolved Oxygen, mg/l</t>
  </si>
  <si>
    <t>61 -Top of Plume</t>
  </si>
  <si>
    <t>62 - Est Middle Plume</t>
  </si>
  <si>
    <t>63- Est Bottom Plume</t>
  </si>
  <si>
    <t>60 - Summit Lake North Shore</t>
  </si>
  <si>
    <t>36 - Outlet Summit Lake</t>
  </si>
  <si>
    <t>37 - Upper Bear Creek</t>
  </si>
  <si>
    <t>2012 Temperature C WAT (1/2-2m)</t>
  </si>
  <si>
    <t>2012 DO Compliance Bear Creek Reservoir</t>
  </si>
  <si>
    <t>16a-Turkey Creek Inflow</t>
  </si>
  <si>
    <t>15a-Bear Creek Inflow</t>
  </si>
  <si>
    <t>45-Bear Creek Discharge</t>
  </si>
  <si>
    <t>Average (m)</t>
  </si>
  <si>
    <t>Average 1/2-2m</t>
  </si>
  <si>
    <t>Profile Average</t>
  </si>
  <si>
    <t>CLIENTID</t>
  </si>
  <si>
    <t>ANALYTE</t>
  </si>
  <si>
    <t>METHOD</t>
  </si>
  <si>
    <t>RESULT</t>
  </si>
  <si>
    <t>QUAL</t>
  </si>
  <si>
    <t>UNITS</t>
  </si>
  <si>
    <t>MDL</t>
  </si>
  <si>
    <t>16a</t>
  </si>
  <si>
    <t>SM 4500-N B (mod)</t>
  </si>
  <si>
    <t>µg/L</t>
  </si>
  <si>
    <t>QC 10-107-04-1-B</t>
  </si>
  <si>
    <t>QC 10-115-01-4-U</t>
  </si>
  <si>
    <t>2540 D</t>
  </si>
  <si>
    <t>U</t>
  </si>
  <si>
    <t>mg/L</t>
  </si>
  <si>
    <t>15a</t>
  </si>
  <si>
    <t>40a</t>
  </si>
  <si>
    <t>SM 10200 H (mod)</t>
  </si>
  <si>
    <t>40c</t>
  </si>
  <si>
    <t>QuickChem 10-107-06-3-D</t>
  </si>
  <si>
    <t>4500-NO3 I</t>
  </si>
  <si>
    <t>2a</t>
  </si>
  <si>
    <t>3a</t>
  </si>
  <si>
    <t>14a</t>
  </si>
  <si>
    <t>19 Dup</t>
  </si>
  <si>
    <t>39a</t>
  </si>
  <si>
    <t>39b</t>
  </si>
  <si>
    <t>COLLECT</t>
  </si>
  <si>
    <t>total boats</t>
  </si>
  <si>
    <t>Discharge V avg A</t>
  </si>
  <si>
    <t>BCR Average 1/2-2m</t>
  </si>
  <si>
    <t>BCR Site 40 Profile Average</t>
  </si>
  <si>
    <t>Site 15a-Bear Creek Inflow</t>
  </si>
  <si>
    <t>Site 16a-Turkey Creek Inflow</t>
  </si>
  <si>
    <t>Site 45-Reservoir Discharge</t>
  </si>
  <si>
    <t>Site 40a-Reservoir - Top</t>
  </si>
  <si>
    <t>Site 40c-Reservoir - Lower</t>
  </si>
  <si>
    <t>BCR Water Column Average TN</t>
  </si>
  <si>
    <t>BCR Water Column Average NO3</t>
  </si>
  <si>
    <t>Golden Willow Road UBC</t>
  </si>
  <si>
    <t>Bear Creek Above Singing River- Mt. Evans Wilderness</t>
  </si>
  <si>
    <t>Reservoir - Top (TP)</t>
  </si>
  <si>
    <t>BCR Water Column Average TP</t>
  </si>
  <si>
    <t>Reservoir - Lower (TP)</t>
  </si>
  <si>
    <t>BCR Water Column Average OP</t>
  </si>
  <si>
    <t>Reservoir - Top (OP)</t>
  </si>
  <si>
    <t>Reservoir - Lower (OP)</t>
  </si>
  <si>
    <t>Genesee Site 39a- -1m</t>
  </si>
  <si>
    <t>Genesee Site 39b- -5m</t>
  </si>
  <si>
    <t>Big Soda Lake</t>
  </si>
  <si>
    <t>9.-5</t>
  </si>
  <si>
    <t>Est Periphyton Coverage %</t>
  </si>
  <si>
    <t>Water Clarity</t>
  </si>
  <si>
    <t>clear</t>
  </si>
  <si>
    <t>Slightly Murky</t>
  </si>
  <si>
    <t>Murky</t>
  </si>
  <si>
    <t>Above Evergreen Lake at CDOW Site Keys-on-the-Green</t>
  </si>
  <si>
    <t>2012 Week-day - Daily Use Estimates</t>
  </si>
  <si>
    <t>TP Sed, Mg/kg</t>
  </si>
  <si>
    <t>2012 SePRO</t>
  </si>
  <si>
    <t>EPA 365.3, Modified</t>
  </si>
  <si>
    <t>Chemistry</t>
  </si>
  <si>
    <t>Bear Creek above Singing River Ranch</t>
  </si>
  <si>
    <t>R</t>
  </si>
  <si>
    <t>Golden Willow Bridge</t>
  </si>
  <si>
    <t>Site 15a</t>
  </si>
  <si>
    <t>Site 24</t>
  </si>
  <si>
    <t>Morrison WWTP Eff</t>
  </si>
  <si>
    <t> x</t>
  </si>
  <si>
    <t>Segment 1c</t>
  </si>
  <si>
    <t>Site 4a</t>
  </si>
  <si>
    <t>Evergreen Lake Surface, profile station</t>
  </si>
  <si>
    <t xml:space="preserve">R </t>
  </si>
  <si>
    <t>Evergreen Lake Profile Station, 1.5m</t>
  </si>
  <si>
    <t xml:space="preserve">Evergreen Lake Profile Station, 4.5m </t>
  </si>
  <si>
    <t>CDOW downtown Little Bear site</t>
  </si>
  <si>
    <t>Below Idledale, Shady Lane CDOW site</t>
  </si>
  <si>
    <t>Morrison Park west end  at CDOW Site</t>
  </si>
  <si>
    <t>Site 20</t>
  </si>
  <si>
    <t>EMD WWTP Eff</t>
  </si>
  <si>
    <t>x </t>
  </si>
  <si>
    <t>Site 21</t>
  </si>
  <si>
    <t>WJCMD WWTP Eff</t>
  </si>
  <si>
    <t>Site 22</t>
  </si>
  <si>
    <t>KSWD WWTP Eff</t>
  </si>
  <si>
    <t>Site 23</t>
  </si>
  <si>
    <t>GWSD WWTP Eff</t>
  </si>
  <si>
    <t>Site 45</t>
  </si>
  <si>
    <t>Vance Creek (Mt. Evans Wilderness)</t>
  </si>
  <si>
    <t>Site 47a</t>
  </si>
  <si>
    <t>Upper Coyote Gulch</t>
  </si>
  <si>
    <t>Site 47b</t>
  </si>
  <si>
    <t>Lower Coyote Gulch,  reservoir</t>
  </si>
  <si>
    <t>Cub Creek, Upstream Cub Creek Park</t>
  </si>
  <si>
    <t>Cub Creek @ Brookforest Inn</t>
  </si>
  <si>
    <t>Site 16a</t>
  </si>
  <si>
    <t>Summit Lake (Segment 8)</t>
  </si>
  <si>
    <t>Bear Creek Mainstem (Segment 7)</t>
  </si>
  <si>
    <t>Field Data</t>
  </si>
  <si>
    <t>Laboratory Analyses</t>
  </si>
  <si>
    <t>Nitrate+Nitrite-Nitrogen</t>
  </si>
  <si>
    <t>Total Ammonia</t>
  </si>
  <si>
    <t>Specific Conductivity</t>
  </si>
  <si>
    <t>Temperature (field probe, 1/2-m intervals in central pool)</t>
  </si>
  <si>
    <t>Dissolved Oxygen (field probe, 1/2-m intervals in central pool)</t>
  </si>
  <si>
    <t>Specific Conductivity (field probe, 1/2-m intervals in central pool)</t>
  </si>
  <si>
    <t>pH (field probe, 1/2-m intervals in central pool)</t>
  </si>
  <si>
    <t>Sample Months</t>
  </si>
  <si>
    <t>May-Nov</t>
  </si>
  <si>
    <t>Bear Creek within Bear Creek Park</t>
  </si>
  <si>
    <t>Jan-Dec</t>
  </si>
  <si>
    <t>Apr-Nov</t>
  </si>
  <si>
    <t>Site 52</t>
  </si>
  <si>
    <t>Site 53</t>
  </si>
  <si>
    <t>Riefenberg</t>
  </si>
  <si>
    <t>Site 54</t>
  </si>
  <si>
    <t>Middle Kerr Gulch</t>
  </si>
  <si>
    <t>Kerr Gulch Mouth</t>
  </si>
  <si>
    <t xml:space="preserve">Site 55 </t>
  </si>
  <si>
    <t>Swede Gulch</t>
  </si>
  <si>
    <t xml:space="preserve">Lower Bear Creek, below reservoir concrete trace/ weir </t>
  </si>
  <si>
    <t>Flow</t>
  </si>
  <si>
    <t>F,A,J,A,O, N</t>
  </si>
  <si>
    <t>May-Oct</t>
  </si>
  <si>
    <t>Manual Flows</t>
  </si>
  <si>
    <t>Reservoirs (BCR and Evergreen)</t>
  </si>
  <si>
    <t>USGS gauge</t>
  </si>
  <si>
    <t>USGS gauge &amp; x</t>
  </si>
  <si>
    <t>BCWA Staff &amp; x</t>
  </si>
  <si>
    <t>Turkey Creek within Bear Creek Park</t>
  </si>
  <si>
    <t>Bear Creek Reservoir, Central Pool Profile</t>
  </si>
  <si>
    <t>site 42</t>
  </si>
  <si>
    <t>BCR, Outlet</t>
  </si>
  <si>
    <t>BCR South Dam</t>
  </si>
  <si>
    <t>BCR Turkey Creek Inlet</t>
  </si>
  <si>
    <t>BCR Bear Creek Inlet</t>
  </si>
  <si>
    <t>Field Profile</t>
  </si>
  <si>
    <t>Temperature (discrete field probe )</t>
  </si>
  <si>
    <t>Macroinvertebrates</t>
  </si>
  <si>
    <t>Habitat</t>
  </si>
  <si>
    <t>Periphyton Coverage (Qualitative)</t>
  </si>
  <si>
    <t>E. coli, select sites</t>
  </si>
  <si>
    <r>
      <t>Segment 1a</t>
    </r>
    <r>
      <rPr>
        <sz val="12"/>
        <rFont val="Arial"/>
        <family val="2"/>
      </rPr>
      <t> </t>
    </r>
  </si>
  <si>
    <r>
      <t>Segment 1b</t>
    </r>
    <r>
      <rPr>
        <sz val="12"/>
        <rFont val="Arial"/>
        <family val="2"/>
      </rPr>
      <t> </t>
    </r>
  </si>
  <si>
    <r>
      <t>Segment 1d</t>
    </r>
    <r>
      <rPr>
        <sz val="12"/>
        <rFont val="Arial"/>
        <family val="2"/>
      </rPr>
      <t> </t>
    </r>
  </si>
  <si>
    <r>
      <t>Segment 1e</t>
    </r>
    <r>
      <rPr>
        <sz val="12"/>
        <rFont val="Arial"/>
        <family val="2"/>
      </rPr>
      <t> </t>
    </r>
  </si>
  <si>
    <r>
      <t>Segment 2</t>
    </r>
    <r>
      <rPr>
        <sz val="12"/>
        <rFont val="Arial"/>
        <family val="2"/>
      </rPr>
      <t> </t>
    </r>
  </si>
  <si>
    <r>
      <t>Segment 3</t>
    </r>
    <r>
      <rPr>
        <sz val="12"/>
        <rFont val="Arial"/>
        <family val="2"/>
      </rPr>
      <t> </t>
    </r>
  </si>
  <si>
    <r>
      <t>Segment 4a</t>
    </r>
    <r>
      <rPr>
        <sz val="12"/>
        <rFont val="Arial"/>
        <family val="2"/>
      </rPr>
      <t> </t>
    </r>
  </si>
  <si>
    <r>
      <t>Segment 5</t>
    </r>
    <r>
      <rPr>
        <sz val="12"/>
        <rFont val="Arial"/>
        <family val="2"/>
      </rPr>
      <t> </t>
    </r>
  </si>
  <si>
    <r>
      <t>Segment 6b</t>
    </r>
    <r>
      <rPr>
        <sz val="12"/>
        <rFont val="Arial"/>
        <family val="2"/>
      </rPr>
      <t> </t>
    </r>
  </si>
  <si>
    <r>
      <t>Segments 7 and 8</t>
    </r>
    <r>
      <rPr>
        <sz val="12"/>
        <rFont val="Arial"/>
        <family val="2"/>
      </rPr>
      <t> </t>
    </r>
  </si>
  <si>
    <t>BCR Phytoplankton (July, August, September only; six sample sets)</t>
  </si>
  <si>
    <t>Temperature  (continuous data loggers, 1/2-2m)</t>
  </si>
  <si>
    <t>Total depth</t>
  </si>
  <si>
    <t>Secchi Reading</t>
  </si>
  <si>
    <t>BCR Sediment study (TP)</t>
  </si>
  <si>
    <t>BCR Sediment study (Organics)</t>
  </si>
  <si>
    <t>BCR Sediment Study (Grain Size)</t>
  </si>
  <si>
    <t>None</t>
  </si>
  <si>
    <t>site 32</t>
  </si>
  <si>
    <t>Site 64</t>
  </si>
  <si>
    <t>Troublesome Mouth</t>
  </si>
  <si>
    <t>Troublesome at Culvert above West Jeff</t>
  </si>
  <si>
    <t>Site 34</t>
  </si>
  <si>
    <t>Mt Vernon Drainage, Morrison</t>
  </si>
  <si>
    <t>Site 4i</t>
  </si>
  <si>
    <t>Site 40a</t>
  </si>
  <si>
    <t>Site 40c</t>
  </si>
  <si>
    <t>Segment 10,11, and 12</t>
  </si>
  <si>
    <t>JCS Outdoor Lab</t>
  </si>
  <si>
    <t>Forest Hills WWTP Eff</t>
  </si>
  <si>
    <t>Brookforest Inn WWTP Eff</t>
  </si>
  <si>
    <t>Aspen Park Metro District WWTP Eff</t>
  </si>
  <si>
    <t>Genva Glen WWTP Eff</t>
  </si>
  <si>
    <t>Tiny Town WWTP Eff</t>
  </si>
  <si>
    <t>Conifer Metro District WWTP Eff</t>
  </si>
  <si>
    <t>Bear Creek Cabins WWTP Eff</t>
  </si>
  <si>
    <t>Parameter (units)</t>
  </si>
  <si>
    <t xml:space="preserve">Bear &amp;Turkey Creek Inflows, Site 15a and 16a </t>
  </si>
  <si>
    <t>Reservoir Outflow, Site 45</t>
  </si>
  <si>
    <t>Physical/Field</t>
  </si>
  <si>
    <t>Flow/ Discharge (cu m/s)</t>
  </si>
  <si>
    <t>X</t>
  </si>
  <si>
    <t>Specific Conductance (umhos/cm)</t>
  </si>
  <si>
    <t>(Profiles at sites 40, 41, 42, 43, 44)</t>
  </si>
  <si>
    <t>Secchi (meters)</t>
  </si>
  <si>
    <t>(Sites 40, 41, 42, 43, and 44</t>
  </si>
  <si>
    <t>(Profile sites 40, 41, 42, 43, 44)</t>
  </si>
  <si>
    <t>Temperature (C)</t>
  </si>
  <si>
    <t>X (Data Loggers)</t>
  </si>
  <si>
    <t>(Profile at  sites 40, 41, 42, 43, 44)</t>
  </si>
  <si>
    <t>Data Logger at site 40</t>
  </si>
  <si>
    <t>(Site 40;top, lower, laboratory)</t>
  </si>
  <si>
    <t>pH (standard unit)</t>
  </si>
  <si>
    <t>(Profile at sites 40, 41, 42, 43, 44 )</t>
  </si>
  <si>
    <t>Biological (Site 40 only)</t>
  </si>
  <si>
    <t>Chlorophyll a (ug/l)</t>
  </si>
  <si>
    <t>X (-1m)</t>
  </si>
  <si>
    <t>Phytoplankton (July, August, September only; six sample sets)</t>
  </si>
  <si>
    <t xml:space="preserve">Composite top 1-meter water </t>
  </si>
  <si>
    <t>Nutrients (Reservoir Site 40 only)</t>
  </si>
  <si>
    <t>X (top, lower)</t>
  </si>
  <si>
    <t>Total Dissolved Phosphorus (ug/l)</t>
  </si>
  <si>
    <t>Manual and Staff gage</t>
  </si>
  <si>
    <t>Nitrate + Nitrite Nitrogen (ug/l)</t>
  </si>
  <si>
    <t>Total Ammonia (ug/l)</t>
  </si>
  <si>
    <t>Total Depth (m)</t>
  </si>
  <si>
    <t>Bottom Sediments BCR</t>
  </si>
  <si>
    <t>Total Phosphorus (mg/kg)</t>
  </si>
  <si>
    <t>% Organics ( TOC)</t>
  </si>
  <si>
    <t>% Clay-silt</t>
  </si>
  <si>
    <t>17 sites</t>
  </si>
  <si>
    <t>18 sites</t>
  </si>
  <si>
    <t>19 sites</t>
  </si>
  <si>
    <t>Wastewater Treatment Facilities</t>
  </si>
  <si>
    <t>Total Inorganic Nitrogen (Calculation)</t>
  </si>
  <si>
    <t>Daily average effluent discharge</t>
  </si>
  <si>
    <t>JCS Conifer High School WWTF Eff</t>
  </si>
  <si>
    <t>The Fort WWTF Eff</t>
  </si>
  <si>
    <t>Ammonia-Nitrogen</t>
  </si>
  <si>
    <t>Total Inorganic Nitrogen (Calculation = NO2+NO3+NH4)</t>
  </si>
  <si>
    <t>Temperature  (continuous data loggers, Effluent)</t>
  </si>
  <si>
    <t>Stream/ Watershed/ All Wastewater Treatment Facilities</t>
  </si>
  <si>
    <t>cost/sample</t>
  </si>
  <si>
    <t>TSS</t>
  </si>
  <si>
    <t>TDP</t>
  </si>
  <si>
    <t>Nitrate</t>
  </si>
  <si>
    <t>Total Samples</t>
  </si>
  <si>
    <t>2013 Cost</t>
  </si>
  <si>
    <t>Total Lab Cost</t>
  </si>
  <si>
    <t>NITRATE</t>
  </si>
  <si>
    <t>AMMONIA</t>
  </si>
  <si>
    <t>Filtration</t>
  </si>
  <si>
    <t>WWTF</t>
  </si>
  <si>
    <t>Singing River Ranch WWTF Eff</t>
  </si>
  <si>
    <t>Reference Site</t>
  </si>
  <si>
    <t xml:space="preserve">Data Logger </t>
  </si>
  <si>
    <t>Wastewater Treatment Plants</t>
  </si>
  <si>
    <t>Treatment Tech</t>
  </si>
  <si>
    <t>Evergreen Metro District</t>
  </si>
  <si>
    <t xml:space="preserve">Singing River Ranch </t>
  </si>
  <si>
    <t>West Jefferson County Metro District</t>
  </si>
  <si>
    <t>Kittredge Water and Sanitation District</t>
  </si>
  <si>
    <t>Genesee Water and Sanitation District</t>
  </si>
  <si>
    <t>Forest Hills Metro District</t>
  </si>
  <si>
    <t>Tiny Town</t>
  </si>
  <si>
    <t xml:space="preserve">The Fort </t>
  </si>
  <si>
    <t xml:space="preserve">Conifer Metro District </t>
  </si>
  <si>
    <t xml:space="preserve">JCS Conifer High School </t>
  </si>
  <si>
    <t>EDM</t>
  </si>
  <si>
    <t>JCS</t>
  </si>
  <si>
    <t>Witter Gulch to inlet of Evergreen Lake</t>
  </si>
  <si>
    <t>Temperature, Aquatic Life (provisional)</t>
  </si>
  <si>
    <t>Aquatic Life</t>
  </si>
  <si>
    <t>From the outlet of Evergreen Lake to Kerr/Swede Gulch</t>
  </si>
  <si>
    <t>E.coli (May-Oct)</t>
  </si>
  <si>
    <t>ETU</t>
  </si>
  <si>
    <t>Bear Creek Cabins</t>
  </si>
  <si>
    <t xml:space="preserve">Geneva Glen </t>
  </si>
  <si>
    <t>Minor</t>
  </si>
  <si>
    <t>Design Capacity MGD</t>
  </si>
  <si>
    <t>Town of Morrison</t>
  </si>
  <si>
    <t>Bear Creek Drainage</t>
  </si>
  <si>
    <t>Turkey Creek Drainage</t>
  </si>
  <si>
    <t>Treatment Operator</t>
  </si>
  <si>
    <t>FHMD</t>
  </si>
  <si>
    <t>Site 40a-Reservoir - Top TP</t>
  </si>
  <si>
    <t>Site 40c-Reservoir - Lower TP</t>
  </si>
  <si>
    <t>Site 40a-Reservoir - Top TDP</t>
  </si>
  <si>
    <t>Site 40c-Reservoir - Lower TDP</t>
  </si>
  <si>
    <t xml:space="preserve">Reservoir - Top </t>
  </si>
  <si>
    <t xml:space="preserve">Reservoir - Lower </t>
  </si>
  <si>
    <t xml:space="preserve">BCR Water Column Average </t>
  </si>
  <si>
    <t>E. coli cts/100ml</t>
  </si>
  <si>
    <t>Lab Estimate</t>
  </si>
  <si>
    <t>15% Contingency</t>
  </si>
  <si>
    <t>Total Cost</t>
  </si>
  <si>
    <t>TST &amp; Treatment Tech</t>
  </si>
  <si>
    <t>Todd Amen</t>
  </si>
  <si>
    <t>Total Nitrogen ug/l</t>
  </si>
  <si>
    <t>Bryan McCarty</t>
  </si>
  <si>
    <t xml:space="preserve">Facility Type </t>
  </si>
  <si>
    <t xml:space="preserve">Brookforest Inn </t>
  </si>
  <si>
    <t xml:space="preserve">Aspen Park Metro District </t>
  </si>
  <si>
    <t>?</t>
  </si>
  <si>
    <t>Site 1b ETU</t>
  </si>
  <si>
    <t>Williams Bridge</t>
  </si>
  <si>
    <t>Site 2b ETU</t>
  </si>
  <si>
    <t>Below Golden Willow at mile marker 3.5</t>
  </si>
  <si>
    <t>Site 8b ETU</t>
  </si>
  <si>
    <t>Site 52a ETU</t>
  </si>
  <si>
    <t>March-Sept 6-times</t>
  </si>
  <si>
    <t xml:space="preserve">Tiny Town </t>
  </si>
  <si>
    <t xml:space="preserve">Genva Glen </t>
  </si>
  <si>
    <t xml:space="preserve">GWSD </t>
  </si>
  <si>
    <t xml:space="preserve">KSWD </t>
  </si>
  <si>
    <t xml:space="preserve">EMD </t>
  </si>
  <si>
    <t>Singing River Ranch</t>
  </si>
  <si>
    <t>2011 visitor park</t>
  </si>
  <si>
    <t>Total Boats</t>
  </si>
  <si>
    <t>2011 Park Visitation</t>
  </si>
  <si>
    <t>Chlorophyll (Site 40)</t>
  </si>
  <si>
    <t>Bear Creek Reservoir 2012 - Summary Statisitics</t>
  </si>
  <si>
    <t>Clarity (All Profiles)</t>
  </si>
  <si>
    <t>Dissolved Oxygen (site 40 Profile)</t>
  </si>
  <si>
    <t>Annual Average at -1/2m - 2m [mg/l]</t>
  </si>
  <si>
    <t>Annual Minimum at -1/2m - 2m [mg/l]</t>
  </si>
  <si>
    <t>Seasonal Minimum at -1/2 - 2m [mg/l]</t>
  </si>
  <si>
    <t>Seasonal Average at -1/2 - 2m [mg/l]</t>
  </si>
  <si>
    <t xml:space="preserve">Specific Conductance </t>
  </si>
  <si>
    <t>Annual Average at -1/2m - 2m [uS/cm]</t>
  </si>
  <si>
    <t>Annual Minimum at -1/2m - 2m [us/cm]</t>
  </si>
  <si>
    <t>Seasonal Average at -1/2 - 2m [us/cm]</t>
  </si>
  <si>
    <t>Seasonal Minimum at -1/2 - 2m [us/cm]</t>
  </si>
  <si>
    <t>Total Outflow</t>
  </si>
  <si>
    <t>Site 45 Outflow BCR</t>
  </si>
  <si>
    <t>BCR Evaporation</t>
  </si>
  <si>
    <t>BCR Nitrate Deposition</t>
  </si>
  <si>
    <t>BCR Total Nitrogen Deposition</t>
  </si>
  <si>
    <t>BCR Total Phosphorus Deposition</t>
  </si>
  <si>
    <t>BCR TSS Deposition</t>
  </si>
  <si>
    <t>Total Nitrogen -Total Load In to BCR</t>
  </si>
  <si>
    <t>Total Nitrogen -Total Load From BCR</t>
  </si>
  <si>
    <t>Total Nitrogen -Total Deposition into BCR</t>
  </si>
  <si>
    <t>Total Phosphorus -Total Load In to BCR</t>
  </si>
  <si>
    <t>Total Phosphorus -Total Load From BCR</t>
  </si>
  <si>
    <t>Total Phosphorus -Total Deposition into BCR</t>
  </si>
  <si>
    <t>TSS -Total Load In to BCR</t>
  </si>
  <si>
    <t>TSS -Total Load From BCR</t>
  </si>
  <si>
    <t>TSS -Total Deposition into BCR</t>
  </si>
  <si>
    <t>Loading - Annual Pounds</t>
  </si>
  <si>
    <t>Reservoir Monitoring Parameters</t>
  </si>
  <si>
    <t>2013 Sampling Bear Creek Watershed Association</t>
  </si>
  <si>
    <r>
      <t>um</t>
    </r>
    <r>
      <rPr>
        <b/>
        <vertAlign val="superscript"/>
        <sz val="9"/>
        <rFont val="Arial"/>
        <family val="2"/>
      </rPr>
      <t>3</t>
    </r>
    <r>
      <rPr>
        <b/>
        <sz val="9"/>
        <rFont val="Arial"/>
        <family val="2"/>
      </rPr>
      <t>/mL</t>
    </r>
  </si>
  <si>
    <t>Anabaena planctonica</t>
  </si>
  <si>
    <t>Oscillatoria limosa</t>
  </si>
  <si>
    <t>Kephyrion littorale</t>
  </si>
  <si>
    <t>Diatoma tenue</t>
  </si>
  <si>
    <t>Epithemia sorex</t>
  </si>
  <si>
    <t>Gomphoneis herculeana</t>
  </si>
  <si>
    <t>Melosira granulata</t>
  </si>
  <si>
    <t>Navicula cryptocephala</t>
  </si>
  <si>
    <t>Navicula cryptocephala veneta</t>
  </si>
  <si>
    <t>Nitzschia frustulum</t>
  </si>
  <si>
    <t>Synedra ulna</t>
  </si>
  <si>
    <t>Oocystis lacustris</t>
  </si>
  <si>
    <t>2012 Average</t>
  </si>
  <si>
    <t>um3/mL</t>
  </si>
  <si>
    <r>
      <t>Total Biovolume (um</t>
    </r>
    <r>
      <rPr>
        <b/>
        <vertAlign val="superscript"/>
        <sz val="9"/>
        <rFont val="Arial"/>
        <family val="2"/>
      </rPr>
      <t>3</t>
    </r>
    <r>
      <rPr>
        <b/>
        <sz val="9"/>
        <rFont val="Arial"/>
        <family val="2"/>
      </rPr>
      <t xml:space="preserve">/mL):              </t>
    </r>
  </si>
  <si>
    <t>Density cells/ml = 4510</t>
  </si>
  <si>
    <t xml:space="preserve">Peak Phytoplankton </t>
  </si>
  <si>
    <r>
      <t>Peak Biovolume (um</t>
    </r>
    <r>
      <rPr>
        <vertAlign val="superscript"/>
        <sz val="9"/>
        <rFont val="Arial"/>
        <family val="2"/>
      </rPr>
      <t>3</t>
    </r>
    <r>
      <rPr>
        <sz val="9"/>
        <rFont val="Arial"/>
        <family val="2"/>
      </rPr>
      <t>/mL) = 7,387,380</t>
    </r>
  </si>
  <si>
    <t>Phytoplankton Co-dominant Species - Site 40  (July- September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</si>
</sst>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0.0"/>
    <numFmt numFmtId="165" formatCode="0.000"/>
    <numFmt numFmtId="166" formatCode="dd\-mmm\-yy_)"/>
    <numFmt numFmtId="167" formatCode="0_)"/>
    <numFmt numFmtId="168" formatCode="0.0_)"/>
    <numFmt numFmtId="169" formatCode="[$-409]d\-mmm\-yy;@"/>
    <numFmt numFmtId="170" formatCode="_(* #,##0_);_(* \(#,##0\);_(* &quot;-&quot;??_);_(@_)"/>
    <numFmt numFmtId="171" formatCode="m/d/yy"/>
    <numFmt numFmtId="172" formatCode="mm/dd/yy"/>
    <numFmt numFmtId="173" formatCode="0.0_);[Red]\(0.0\)"/>
    <numFmt numFmtId="174" formatCode="[$-409]d\-mmm;@"/>
    <numFmt numFmtId="175" formatCode="#,##0.0"/>
    <numFmt numFmtId="176" formatCode="mm/dd/yy;@"/>
    <numFmt numFmtId="177" formatCode="_(&quot;$&quot;* #,##0_);_(&quot;$&quot;* \(#,##0\);_(&quot;$&quot;* &quot;-&quot;??_);_(@_)"/>
  </numFmts>
  <fonts count="58" x14ac:knownFonts="1">
    <font>
      <sz val="10"/>
      <name val="Arial"/>
    </font>
    <font>
      <sz val="10"/>
      <name val="Arial"/>
      <family val="2"/>
    </font>
    <font>
      <b/>
      <sz val="10"/>
      <name val="Arial"/>
      <family val="2"/>
    </font>
    <font>
      <sz val="10"/>
      <name val="Arial"/>
      <family val="2"/>
    </font>
    <font>
      <b/>
      <sz val="12"/>
      <name val="Arial"/>
      <family val="2"/>
    </font>
    <font>
      <u/>
      <sz val="10"/>
      <color indexed="12"/>
      <name val="Arial"/>
      <family val="2"/>
    </font>
    <font>
      <sz val="9"/>
      <name val="Arial"/>
      <family val="2"/>
    </font>
    <font>
      <sz val="8"/>
      <name val="Arial"/>
      <family val="2"/>
    </font>
    <font>
      <sz val="8"/>
      <name val="Arial"/>
      <family val="2"/>
    </font>
    <font>
      <sz val="12"/>
      <name val="Arial"/>
      <family val="2"/>
    </font>
    <font>
      <sz val="8"/>
      <name val="Arial Black"/>
      <family val="2"/>
    </font>
    <font>
      <b/>
      <sz val="9"/>
      <name val="Arial"/>
      <family val="2"/>
    </font>
    <font>
      <sz val="10"/>
      <name val="Helv"/>
    </font>
    <font>
      <b/>
      <sz val="8"/>
      <name val="Arial"/>
      <family val="2"/>
    </font>
    <font>
      <sz val="10"/>
      <name val="Arial Black"/>
      <family val="2"/>
    </font>
    <font>
      <b/>
      <sz val="11"/>
      <name val="Arial"/>
      <family val="2"/>
    </font>
    <font>
      <b/>
      <sz val="13.5"/>
      <color indexed="18"/>
      <name val="Arial"/>
      <family val="2"/>
    </font>
    <font>
      <sz val="12"/>
      <name val="Times New Roman"/>
      <family val="1"/>
    </font>
    <font>
      <sz val="8"/>
      <name val="Helv"/>
    </font>
    <font>
      <b/>
      <sz val="12"/>
      <color indexed="10"/>
      <name val="Arial"/>
      <family val="2"/>
    </font>
    <font>
      <sz val="11"/>
      <name val="Arial"/>
      <family val="2"/>
    </font>
    <font>
      <sz val="10"/>
      <color indexed="8"/>
      <name val="Arial"/>
      <family val="2"/>
    </font>
    <font>
      <sz val="10"/>
      <name val="Arial"/>
      <family val="2"/>
    </font>
    <font>
      <sz val="10"/>
      <color indexed="8"/>
      <name val="Arial"/>
      <family val="2"/>
    </font>
    <font>
      <sz val="10"/>
      <name val="Arial"/>
      <family val="2"/>
    </font>
    <font>
      <sz val="10"/>
      <color rgb="FFFF0000"/>
      <name val="Arial"/>
      <family val="2"/>
    </font>
    <font>
      <sz val="10"/>
      <name val="Arial"/>
      <family val="2"/>
    </font>
    <font>
      <b/>
      <sz val="8"/>
      <name val="Times New Roman"/>
      <family val="1"/>
    </font>
    <font>
      <b/>
      <sz val="10"/>
      <name val="Times New Roman"/>
      <family val="1"/>
    </font>
    <font>
      <sz val="11"/>
      <name val="Times New Roman"/>
      <family val="1"/>
    </font>
    <font>
      <b/>
      <sz val="11"/>
      <name val="Times New Roman"/>
      <family val="1"/>
    </font>
    <font>
      <sz val="10"/>
      <name val="Times New Roman"/>
      <family val="1"/>
    </font>
    <font>
      <sz val="11"/>
      <color theme="1"/>
      <name val="Calibri"/>
      <family val="2"/>
    </font>
    <font>
      <b/>
      <sz val="9"/>
      <name val="Times New Roman"/>
      <family val="1"/>
    </font>
    <font>
      <sz val="9"/>
      <color rgb="FF000000"/>
      <name val="Arial"/>
      <family val="2"/>
    </font>
    <font>
      <vertAlign val="superscript"/>
      <sz val="9"/>
      <color rgb="FF000000"/>
      <name val="Arial"/>
      <family val="2"/>
    </font>
    <font>
      <b/>
      <vertAlign val="superscript"/>
      <sz val="8"/>
      <name val="Arial"/>
      <family val="2"/>
    </font>
    <font>
      <b/>
      <vertAlign val="superscript"/>
      <sz val="12"/>
      <name val="Arial"/>
      <family val="2"/>
    </font>
    <font>
      <sz val="8"/>
      <name val="Cambria"/>
      <family val="1"/>
      <scheme val="major"/>
    </font>
    <font>
      <b/>
      <sz val="8"/>
      <name val="Cambria"/>
      <family val="1"/>
      <scheme val="major"/>
    </font>
    <font>
      <u/>
      <sz val="10"/>
      <name val="Times New Roman"/>
      <family val="1"/>
    </font>
    <font>
      <strike/>
      <sz val="10"/>
      <name val="Times New Roman"/>
      <family val="1"/>
    </font>
    <font>
      <sz val="8"/>
      <name val="Calibri"/>
      <family val="2"/>
    </font>
    <font>
      <sz val="10"/>
      <color indexed="8"/>
      <name val="Times New Roman"/>
      <family val="1"/>
    </font>
    <font>
      <sz val="10"/>
      <name val="Calibri"/>
      <family val="2"/>
    </font>
    <font>
      <b/>
      <sz val="10"/>
      <color rgb="FFFF0000"/>
      <name val="Arial"/>
      <family val="2"/>
    </font>
    <font>
      <b/>
      <sz val="10"/>
      <color indexed="10"/>
      <name val="Arial"/>
      <family val="2"/>
    </font>
    <font>
      <b/>
      <sz val="12"/>
      <name val="Times New Roman"/>
      <family val="1"/>
    </font>
    <font>
      <i/>
      <sz val="10"/>
      <name val="Times New Roman"/>
      <family val="1"/>
    </font>
    <font>
      <i/>
      <sz val="11"/>
      <name val="Times New Roman"/>
      <family val="1"/>
    </font>
    <font>
      <b/>
      <u/>
      <sz val="12"/>
      <name val="Times New Roman"/>
      <family val="1"/>
    </font>
    <font>
      <sz val="9"/>
      <name val="Calibri"/>
      <family val="2"/>
    </font>
    <font>
      <sz val="12"/>
      <color indexed="8"/>
      <name val="Arial"/>
      <family val="2"/>
    </font>
    <font>
      <sz val="10"/>
      <name val="Arial"/>
      <family val="2"/>
    </font>
    <font>
      <b/>
      <sz val="11"/>
      <color rgb="FF000000"/>
      <name val="Times New Roman"/>
      <family val="1"/>
    </font>
    <font>
      <sz val="11"/>
      <color rgb="FF000000"/>
      <name val="Times New Roman"/>
      <family val="1"/>
    </font>
    <font>
      <b/>
      <vertAlign val="superscript"/>
      <sz val="9"/>
      <name val="Arial"/>
      <family val="2"/>
    </font>
    <font>
      <vertAlign val="superscript"/>
      <sz val="9"/>
      <name val="Arial"/>
      <family val="2"/>
    </font>
  </fonts>
  <fills count="22">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rgb="FFD8D8D8"/>
        <bgColor indexed="64"/>
      </patternFill>
    </fill>
    <fill>
      <patternFill patternType="solid">
        <fgColor rgb="FFC2D69A"/>
        <bgColor indexed="64"/>
      </patternFill>
    </fill>
    <fill>
      <patternFill patternType="solid">
        <fgColor theme="2" tint="-9.9978637043366805E-2"/>
        <bgColor indexed="64"/>
      </patternFill>
    </fill>
    <fill>
      <patternFill patternType="solid">
        <fgColor rgb="FFDDD9C3"/>
        <bgColor indexed="64"/>
      </patternFill>
    </fill>
    <fill>
      <patternFill patternType="solid">
        <fgColor theme="6"/>
        <bgColor indexed="64"/>
      </patternFill>
    </fill>
    <fill>
      <patternFill patternType="solid">
        <fgColor theme="8" tint="0.59999389629810485"/>
        <bgColor indexed="64"/>
      </patternFill>
    </fill>
    <fill>
      <patternFill patternType="solid">
        <fgColor rgb="FFC4BC96"/>
        <bgColor indexed="64"/>
      </patternFill>
    </fill>
    <fill>
      <patternFill patternType="solid">
        <fgColor rgb="FFD9D9D9"/>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diagonal/>
    </border>
    <border>
      <left style="thin">
        <color indexed="64"/>
      </left>
      <right style="thin">
        <color indexed="64"/>
      </right>
      <top/>
      <bottom/>
      <diagonal/>
    </border>
    <border>
      <left/>
      <right/>
      <top/>
      <bottom style="thin">
        <color indexed="64"/>
      </bottom>
      <diagonal/>
    </border>
    <border>
      <left style="thin">
        <color indexed="8"/>
      </left>
      <right/>
      <top/>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thin">
        <color indexed="64"/>
      </bottom>
      <diagonal/>
    </border>
  </borders>
  <cellStyleXfs count="8">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21" fillId="0" borderId="0"/>
    <xf numFmtId="0" fontId="21" fillId="0" borderId="0"/>
    <xf numFmtId="9" fontId="26" fillId="0" borderId="0" applyFont="0" applyFill="0" applyBorder="0" applyAlignment="0" applyProtection="0"/>
    <xf numFmtId="0" fontId="1" fillId="0" borderId="0"/>
    <xf numFmtId="44" fontId="53" fillId="0" borderId="0" applyFont="0" applyFill="0" applyBorder="0" applyAlignment="0" applyProtection="0"/>
  </cellStyleXfs>
  <cellXfs count="980">
    <xf numFmtId="0" fontId="0" fillId="0" borderId="0" xfId="0"/>
    <xf numFmtId="0" fontId="2" fillId="0" borderId="0" xfId="0" applyFont="1"/>
    <xf numFmtId="164" fontId="0" fillId="0" borderId="0" xfId="0" applyNumberFormat="1" applyAlignment="1">
      <alignment horizontal="right"/>
    </xf>
    <xf numFmtId="164" fontId="0" fillId="0" borderId="0" xfId="0" applyNumberFormat="1"/>
    <xf numFmtId="165" fontId="0" fillId="0" borderId="0" xfId="0" applyNumberFormat="1"/>
    <xf numFmtId="1" fontId="0" fillId="0" borderId="0" xfId="0" applyNumberFormat="1"/>
    <xf numFmtId="2" fontId="0" fillId="0" borderId="0" xfId="0" applyNumberFormat="1"/>
    <xf numFmtId="15" fontId="2" fillId="0" borderId="0" xfId="0" applyNumberFormat="1" applyFont="1"/>
    <xf numFmtId="165" fontId="2" fillId="0" borderId="0" xfId="0" applyNumberFormat="1" applyFont="1"/>
    <xf numFmtId="2" fontId="0" fillId="0" borderId="0" xfId="0" applyNumberFormat="1" applyFill="1"/>
    <xf numFmtId="0" fontId="0" fillId="0" borderId="0" xfId="0" applyFill="1"/>
    <xf numFmtId="0" fontId="3" fillId="0" borderId="0" xfId="0" applyFont="1"/>
    <xf numFmtId="0" fontId="2" fillId="2" borderId="1" xfId="0" applyFont="1" applyFill="1" applyBorder="1" applyAlignment="1">
      <alignment horizontal="center" vertical="center" wrapText="1"/>
    </xf>
    <xf numFmtId="164" fontId="3" fillId="0" borderId="1" xfId="0" applyNumberFormat="1" applyFont="1" applyBorder="1" applyAlignment="1">
      <alignment horizontal="center"/>
    </xf>
    <xf numFmtId="0" fontId="3" fillId="0" borderId="1" xfId="0" applyFont="1" applyBorder="1" applyAlignment="1">
      <alignment horizontal="center"/>
    </xf>
    <xf numFmtId="164" fontId="11" fillId="2" borderId="1" xfId="0" applyNumberFormat="1" applyFont="1" applyFill="1" applyBorder="1" applyAlignment="1">
      <alignment horizontal="center"/>
    </xf>
    <xf numFmtId="0" fontId="10" fillId="0" borderId="1" xfId="0" applyFont="1" applyBorder="1" applyAlignment="1">
      <alignment wrapText="1"/>
    </xf>
    <xf numFmtId="0" fontId="1" fillId="2" borderId="0" xfId="0" applyFont="1" applyFill="1"/>
    <xf numFmtId="1" fontId="12" fillId="0" borderId="0" xfId="0" applyNumberFormat="1" applyFont="1" applyAlignment="1" applyProtection="1">
      <alignment horizontal="center"/>
    </xf>
    <xf numFmtId="0" fontId="1" fillId="0" borderId="0" xfId="0" applyFont="1"/>
    <xf numFmtId="1" fontId="1" fillId="0" borderId="0" xfId="0" applyNumberFormat="1" applyFont="1" applyAlignment="1">
      <alignment horizontal="center"/>
    </xf>
    <xf numFmtId="1" fontId="1" fillId="0" borderId="0" xfId="0" applyNumberFormat="1" applyFont="1" applyFill="1" applyAlignment="1" applyProtection="1">
      <alignment horizontal="center"/>
    </xf>
    <xf numFmtId="0" fontId="1" fillId="0" borderId="0" xfId="0" applyFont="1" applyAlignment="1">
      <alignment horizontal="center"/>
    </xf>
    <xf numFmtId="0" fontId="12" fillId="0" borderId="0" xfId="0" applyFont="1" applyProtection="1"/>
    <xf numFmtId="0" fontId="12" fillId="2" borderId="0" xfId="0" applyFont="1" applyFill="1" applyProtection="1"/>
    <xf numFmtId="0" fontId="0" fillId="0" borderId="0" xfId="0" applyFill="1" applyProtection="1"/>
    <xf numFmtId="0" fontId="0" fillId="0" borderId="0" xfId="0" applyProtection="1"/>
    <xf numFmtId="0" fontId="2" fillId="0" borderId="0" xfId="0" applyNumberFormat="1" applyFont="1"/>
    <xf numFmtId="0" fontId="2" fillId="0" borderId="0" xfId="0" applyNumberFormat="1" applyFont="1" applyProtection="1"/>
    <xf numFmtId="0" fontId="0" fillId="0" borderId="0" xfId="0" applyNumberFormat="1"/>
    <xf numFmtId="0" fontId="6" fillId="0" borderId="0" xfId="0" applyFont="1"/>
    <xf numFmtId="170" fontId="0" fillId="0" borderId="0" xfId="1" applyNumberFormat="1" applyFont="1"/>
    <xf numFmtId="165" fontId="2" fillId="0" borderId="1" xfId="0" applyNumberFormat="1" applyFont="1" applyBorder="1"/>
    <xf numFmtId="3" fontId="6" fillId="0" borderId="0" xfId="0" applyNumberFormat="1" applyFont="1"/>
    <xf numFmtId="15" fontId="11" fillId="0" borderId="0" xfId="0" applyNumberFormat="1" applyFont="1" applyBorder="1"/>
    <xf numFmtId="167" fontId="6" fillId="0" borderId="0" xfId="0" applyNumberFormat="1" applyFont="1" applyAlignment="1" applyProtection="1">
      <alignment horizontal="center"/>
    </xf>
    <xf numFmtId="0" fontId="6" fillId="0" borderId="0" xfId="0" applyFont="1" applyBorder="1"/>
    <xf numFmtId="15" fontId="11" fillId="0" borderId="0" xfId="0" applyNumberFormat="1" applyFont="1" applyBorder="1" applyAlignment="1">
      <alignment horizontal="center"/>
    </xf>
    <xf numFmtId="2" fontId="6" fillId="0" borderId="0" xfId="0" applyNumberFormat="1" applyFont="1"/>
    <xf numFmtId="164" fontId="6" fillId="0" borderId="0" xfId="0" applyNumberFormat="1" applyFont="1" applyBorder="1" applyAlignment="1">
      <alignment horizontal="center"/>
    </xf>
    <xf numFmtId="164" fontId="6" fillId="0" borderId="0" xfId="0" applyNumberFormat="1" applyFont="1" applyAlignment="1">
      <alignment horizontal="center"/>
    </xf>
    <xf numFmtId="0" fontId="0" fillId="2" borderId="0" xfId="0" applyFill="1"/>
    <xf numFmtId="3" fontId="0" fillId="0" borderId="0" xfId="0" applyNumberFormat="1"/>
    <xf numFmtId="2" fontId="0" fillId="2" borderId="0" xfId="0" applyNumberFormat="1" applyFill="1"/>
    <xf numFmtId="0" fontId="14" fillId="0" borderId="0" xfId="0" applyFont="1"/>
    <xf numFmtId="0" fontId="4" fillId="2" borderId="0" xfId="0" applyFont="1" applyFill="1"/>
    <xf numFmtId="165" fontId="2" fillId="2" borderId="1" xfId="0" applyNumberFormat="1" applyFont="1" applyFill="1" applyBorder="1"/>
    <xf numFmtId="0" fontId="2" fillId="2" borderId="1" xfId="0" applyFont="1" applyFill="1" applyBorder="1"/>
    <xf numFmtId="164" fontId="2" fillId="0" borderId="1" xfId="0" applyNumberFormat="1" applyFont="1" applyBorder="1" applyAlignment="1">
      <alignment horizontal="center"/>
    </xf>
    <xf numFmtId="1" fontId="0" fillId="2" borderId="0" xfId="0" applyNumberFormat="1" applyFill="1" applyAlignment="1">
      <alignment horizontal="center"/>
    </xf>
    <xf numFmtId="0" fontId="0" fillId="0" borderId="0" xfId="0" applyAlignment="1"/>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6" fillId="2" borderId="1" xfId="0" applyFont="1" applyFill="1" applyBorder="1" applyAlignment="1">
      <alignment wrapText="1"/>
    </xf>
    <xf numFmtId="164" fontId="0" fillId="0" borderId="1" xfId="0" applyNumberFormat="1" applyBorder="1"/>
    <xf numFmtId="0" fontId="2" fillId="2" borderId="0" xfId="0" applyFont="1" applyFill="1"/>
    <xf numFmtId="0" fontId="0" fillId="0" borderId="1" xfId="0" applyBorder="1"/>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Fill="1" applyBorder="1"/>
    <xf numFmtId="3" fontId="0" fillId="0" borderId="1" xfId="0" applyNumberFormat="1" applyBorder="1"/>
    <xf numFmtId="166" fontId="2" fillId="0" borderId="0" xfId="0" applyNumberFormat="1" applyFont="1" applyBorder="1" applyProtection="1"/>
    <xf numFmtId="0" fontId="0" fillId="0" borderId="0" xfId="0" applyBorder="1"/>
    <xf numFmtId="0" fontId="0" fillId="0" borderId="0" xfId="0" applyAlignment="1">
      <alignment horizontal="center"/>
    </xf>
    <xf numFmtId="0" fontId="2" fillId="0" borderId="1" xfId="0" applyFont="1" applyBorder="1"/>
    <xf numFmtId="164" fontId="15" fillId="0" borderId="1" xfId="0" applyNumberFormat="1" applyFont="1" applyBorder="1" applyAlignment="1">
      <alignment horizontal="center"/>
    </xf>
    <xf numFmtId="169" fontId="2" fillId="0" borderId="0" xfId="0" applyNumberFormat="1" applyFont="1"/>
    <xf numFmtId="3" fontId="2" fillId="0" borderId="1" xfId="0" applyNumberFormat="1" applyFont="1" applyFill="1" applyBorder="1" applyAlignment="1">
      <alignment horizontal="center"/>
    </xf>
    <xf numFmtId="0" fontId="18" fillId="0" borderId="0" xfId="0" applyFont="1" applyBorder="1" applyProtection="1"/>
    <xf numFmtId="0" fontId="2" fillId="5" borderId="1" xfId="0" applyFont="1" applyFill="1" applyBorder="1" applyAlignment="1">
      <alignment horizontal="right"/>
    </xf>
    <xf numFmtId="0" fontId="11" fillId="5" borderId="9" xfId="0" applyFont="1" applyFill="1" applyBorder="1" applyAlignment="1">
      <alignment horizontal="center"/>
    </xf>
    <xf numFmtId="0" fontId="2" fillId="5" borderId="1" xfId="0" applyFont="1" applyFill="1" applyBorder="1" applyAlignment="1">
      <alignment horizontal="center"/>
    </xf>
    <xf numFmtId="15" fontId="2" fillId="6" borderId="0" xfId="0" applyNumberFormat="1" applyFont="1" applyFill="1"/>
    <xf numFmtId="164" fontId="2" fillId="0" borderId="1" xfId="0" applyNumberFormat="1" applyFont="1" applyFill="1" applyBorder="1"/>
    <xf numFmtId="0" fontId="2" fillId="0" borderId="1" xfId="0" applyFont="1" applyBorder="1" applyAlignment="1">
      <alignment horizontal="center"/>
    </xf>
    <xf numFmtId="1" fontId="2" fillId="0" borderId="1" xfId="0" applyNumberFormat="1" applyFont="1" applyFill="1" applyBorder="1"/>
    <xf numFmtId="0" fontId="0" fillId="8" borderId="0" xfId="0" applyFill="1"/>
    <xf numFmtId="0" fontId="2" fillId="0" borderId="0" xfId="0" applyFont="1" applyFill="1" applyBorder="1"/>
    <xf numFmtId="0" fontId="9" fillId="0" borderId="0" xfId="0" applyFont="1"/>
    <xf numFmtId="0" fontId="9" fillId="0" borderId="1" xfId="0" applyFont="1" applyBorder="1"/>
    <xf numFmtId="20" fontId="0" fillId="0" borderId="1" xfId="0" applyNumberFormat="1" applyBorder="1"/>
    <xf numFmtId="15" fontId="2" fillId="9" borderId="1" xfId="0" applyNumberFormat="1" applyFont="1" applyFill="1" applyBorder="1"/>
    <xf numFmtId="14" fontId="2" fillId="9" borderId="5" xfId="0" applyNumberFormat="1" applyFont="1" applyFill="1" applyBorder="1" applyAlignment="1">
      <alignment wrapText="1"/>
    </xf>
    <xf numFmtId="14" fontId="2" fillId="9" borderId="1" xfId="0" applyNumberFormat="1" applyFont="1" applyFill="1" applyBorder="1" applyAlignment="1">
      <alignment wrapText="1"/>
    </xf>
    <xf numFmtId="1" fontId="2" fillId="9" borderId="2" xfId="0" applyNumberFormat="1" applyFont="1" applyFill="1" applyBorder="1"/>
    <xf numFmtId="1" fontId="2" fillId="9" borderId="1" xfId="0" applyNumberFormat="1" applyFont="1" applyFill="1" applyBorder="1"/>
    <xf numFmtId="164" fontId="15" fillId="0" borderId="0" xfId="0" applyNumberFormat="1" applyFont="1"/>
    <xf numFmtId="14" fontId="0" fillId="0" borderId="0" xfId="0" applyNumberFormat="1"/>
    <xf numFmtId="0" fontId="11" fillId="8" borderId="1" xfId="0" applyFont="1" applyFill="1" applyBorder="1"/>
    <xf numFmtId="0" fontId="9" fillId="8" borderId="1" xfId="0" applyFont="1" applyFill="1" applyBorder="1"/>
    <xf numFmtId="0" fontId="20" fillId="0" borderId="0" xfId="0" applyFont="1"/>
    <xf numFmtId="171" fontId="1" fillId="0" borderId="0" xfId="0" applyNumberFormat="1" applyFont="1" applyAlignment="1">
      <alignment horizontal="right"/>
    </xf>
    <xf numFmtId="0" fontId="1" fillId="0" borderId="0" xfId="0" applyNumberFormat="1" applyFont="1"/>
    <xf numFmtId="1" fontId="1" fillId="0" borderId="0" xfId="0" applyNumberFormat="1" applyFont="1"/>
    <xf numFmtId="0" fontId="0" fillId="0" borderId="0" xfId="0" applyFill="1" applyBorder="1" applyAlignment="1">
      <alignment horizontal="left"/>
    </xf>
    <xf numFmtId="0" fontId="21" fillId="0" borderId="0" xfId="3" applyNumberFormat="1" applyFont="1" applyFill="1" applyBorder="1" applyAlignment="1">
      <alignment horizontal="right"/>
    </xf>
    <xf numFmtId="0" fontId="21" fillId="0" borderId="0" xfId="3" applyFont="1" applyFill="1" applyBorder="1" applyAlignment="1">
      <alignment horizontal="left"/>
    </xf>
    <xf numFmtId="0" fontId="21" fillId="0" borderId="0" xfId="4" applyFont="1" applyFill="1" applyBorder="1" applyAlignment="1">
      <alignment horizontal="left"/>
    </xf>
    <xf numFmtId="0" fontId="1" fillId="0" borderId="1" xfId="0" applyFont="1" applyBorder="1"/>
    <xf numFmtId="0" fontId="21" fillId="0" borderId="1" xfId="3" applyFont="1" applyFill="1" applyBorder="1" applyAlignment="1">
      <alignment horizontal="left"/>
    </xf>
    <xf numFmtId="0" fontId="3" fillId="0" borderId="1" xfId="0" applyNumberFormat="1" applyFont="1" applyFill="1" applyBorder="1" applyAlignment="1">
      <alignment horizontal="left"/>
    </xf>
    <xf numFmtId="0" fontId="1" fillId="0" borderId="1" xfId="0" applyNumberFormat="1" applyFont="1" applyBorder="1" applyAlignment="1">
      <alignment horizontal="center"/>
    </xf>
    <xf numFmtId="0" fontId="3" fillId="0" borderId="1" xfId="0" applyNumberFormat="1" applyFont="1" applyFill="1" applyBorder="1" applyAlignment="1">
      <alignment horizontal="center"/>
    </xf>
    <xf numFmtId="164" fontId="1" fillId="0" borderId="0" xfId="0" applyNumberFormat="1" applyFont="1"/>
    <xf numFmtId="0" fontId="2" fillId="0" borderId="0" xfId="0" applyFont="1" applyFill="1" applyBorder="1" applyAlignment="1">
      <alignment horizontal="center"/>
    </xf>
    <xf numFmtId="0" fontId="0" fillId="0" borderId="1" xfId="0" applyFill="1" applyBorder="1"/>
    <xf numFmtId="0" fontId="2" fillId="0" borderId="0" xfId="0" applyFont="1" applyBorder="1" applyAlignment="1">
      <alignment horizontal="center"/>
    </xf>
    <xf numFmtId="0" fontId="2" fillId="8" borderId="1" xfId="0" applyFont="1" applyFill="1" applyBorder="1"/>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0" fillId="0" borderId="11" xfId="0" applyFill="1" applyBorder="1"/>
    <xf numFmtId="0" fontId="1" fillId="0" borderId="12" xfId="0" applyFont="1" applyBorder="1"/>
    <xf numFmtId="0" fontId="22" fillId="0" borderId="0" xfId="0" applyFont="1"/>
    <xf numFmtId="171" fontId="22" fillId="0" borderId="0" xfId="0" applyNumberFormat="1" applyFont="1" applyAlignment="1">
      <alignment horizontal="right"/>
    </xf>
    <xf numFmtId="0" fontId="23" fillId="0" borderId="0" xfId="3" applyNumberFormat="1" applyFont="1" applyFill="1" applyBorder="1" applyAlignment="1">
      <alignment horizontal="right"/>
    </xf>
    <xf numFmtId="164" fontId="22" fillId="0" borderId="0" xfId="0" applyNumberFormat="1" applyFont="1"/>
    <xf numFmtId="0" fontId="23" fillId="0" borderId="0" xfId="3" applyFont="1" applyFill="1" applyBorder="1" applyAlignment="1">
      <alignment horizontal="left"/>
    </xf>
    <xf numFmtId="0" fontId="23" fillId="0" borderId="0" xfId="4" applyFont="1" applyFill="1" applyBorder="1" applyAlignment="1">
      <alignment horizontal="left"/>
    </xf>
    <xf numFmtId="20" fontId="1" fillId="0" borderId="1" xfId="0" applyNumberFormat="1" applyFont="1" applyBorder="1"/>
    <xf numFmtId="0" fontId="1" fillId="0" borderId="0" xfId="0" applyFont="1" applyAlignment="1">
      <alignment horizontal="left"/>
    </xf>
    <xf numFmtId="0" fontId="1" fillId="0" borderId="1" xfId="0" applyFont="1" applyBorder="1" applyAlignment="1">
      <alignment horizontal="center"/>
    </xf>
    <xf numFmtId="1" fontId="1" fillId="0" borderId="1" xfId="0" applyNumberFormat="1" applyFont="1" applyBorder="1" applyAlignment="1">
      <alignment horizontal="center"/>
    </xf>
    <xf numFmtId="0" fontId="24" fillId="0" borderId="1" xfId="0" applyFont="1" applyBorder="1" applyAlignment="1">
      <alignment horizontal="center"/>
    </xf>
    <xf numFmtId="0" fontId="21" fillId="0" borderId="1" xfId="3" applyFont="1" applyFill="1" applyBorder="1" applyAlignment="1">
      <alignment horizontal="center"/>
    </xf>
    <xf numFmtId="164" fontId="1" fillId="0" borderId="1" xfId="0" applyNumberFormat="1" applyFont="1" applyBorder="1" applyAlignment="1">
      <alignment horizontal="center"/>
    </xf>
    <xf numFmtId="0" fontId="1" fillId="0" borderId="1" xfId="0" applyFont="1" applyFill="1" applyBorder="1" applyAlignment="1">
      <alignment horizontal="center"/>
    </xf>
    <xf numFmtId="0" fontId="0" fillId="0" borderId="1" xfId="0" applyNumberFormat="1" applyBorder="1" applyAlignment="1">
      <alignment horizontal="center"/>
    </xf>
    <xf numFmtId="1" fontId="24" fillId="0" borderId="1" xfId="0" applyNumberFormat="1" applyFont="1" applyBorder="1" applyAlignment="1">
      <alignment horizontal="center"/>
    </xf>
    <xf numFmtId="164" fontId="24" fillId="0" borderId="1" xfId="0" applyNumberFormat="1" applyFont="1" applyBorder="1" applyAlignment="1">
      <alignment horizontal="center"/>
    </xf>
    <xf numFmtId="164" fontId="15" fillId="2" borderId="5" xfId="0" applyNumberFormat="1" applyFont="1" applyFill="1" applyBorder="1"/>
    <xf numFmtId="164" fontId="15" fillId="2" borderId="1" xfId="0" applyNumberFormat="1" applyFont="1" applyFill="1" applyBorder="1"/>
    <xf numFmtId="0" fontId="2" fillId="11" borderId="1" xfId="0" applyFont="1" applyFill="1" applyBorder="1"/>
    <xf numFmtId="20" fontId="1" fillId="0" borderId="7" xfId="0" applyNumberFormat="1" applyFont="1" applyBorder="1" applyAlignment="1"/>
    <xf numFmtId="15" fontId="15" fillId="5" borderId="1" xfId="0" applyNumberFormat="1" applyFont="1" applyFill="1" applyBorder="1"/>
    <xf numFmtId="15" fontId="15" fillId="11" borderId="1" xfId="0" applyNumberFormat="1" applyFont="1" applyFill="1" applyBorder="1"/>
    <xf numFmtId="15" fontId="15" fillId="5" borderId="1" xfId="0" applyNumberFormat="1" applyFont="1" applyFill="1" applyBorder="1" applyAlignment="1">
      <alignment wrapText="1"/>
    </xf>
    <xf numFmtId="15" fontId="4" fillId="11" borderId="1" xfId="0" applyNumberFormat="1" applyFont="1" applyFill="1" applyBorder="1"/>
    <xf numFmtId="1" fontId="15" fillId="0" borderId="1" xfId="0" applyNumberFormat="1" applyFont="1" applyBorder="1" applyAlignment="1">
      <alignment horizontal="center"/>
    </xf>
    <xf numFmtId="1" fontId="20" fillId="0" borderId="0" xfId="0" applyNumberFormat="1" applyFont="1"/>
    <xf numFmtId="164" fontId="4" fillId="11" borderId="1" xfId="0" applyNumberFormat="1" applyFont="1" applyFill="1" applyBorder="1" applyAlignment="1">
      <alignment horizontal="center"/>
    </xf>
    <xf numFmtId="1" fontId="4" fillId="11" borderId="1" xfId="0" applyNumberFormat="1" applyFont="1" applyFill="1" applyBorder="1" applyAlignment="1">
      <alignment horizontal="center"/>
    </xf>
    <xf numFmtId="164" fontId="15" fillId="11" borderId="2" xfId="0" applyNumberFormat="1" applyFont="1" applyFill="1" applyBorder="1"/>
    <xf numFmtId="15" fontId="15" fillId="11" borderId="1" xfId="0" applyNumberFormat="1" applyFont="1" applyFill="1" applyBorder="1" applyAlignment="1">
      <alignment wrapText="1"/>
    </xf>
    <xf numFmtId="15" fontId="15" fillId="11" borderId="1" xfId="0" applyNumberFormat="1" applyFont="1" applyFill="1" applyBorder="1" applyAlignment="1">
      <alignment horizontal="center" wrapText="1"/>
    </xf>
    <xf numFmtId="15" fontId="15" fillId="5" borderId="7" xfId="0" applyNumberFormat="1" applyFont="1" applyFill="1" applyBorder="1"/>
    <xf numFmtId="1" fontId="15" fillId="2" borderId="1" xfId="0" applyNumberFormat="1" applyFont="1" applyFill="1" applyBorder="1"/>
    <xf numFmtId="164" fontId="15" fillId="5" borderId="7" xfId="0" applyNumberFormat="1" applyFont="1" applyFill="1" applyBorder="1" applyAlignment="1">
      <alignment horizontal="left" vertical="top" wrapText="1"/>
    </xf>
    <xf numFmtId="0" fontId="15" fillId="2" borderId="1" xfId="0" applyFont="1" applyFill="1" applyBorder="1"/>
    <xf numFmtId="165" fontId="15" fillId="2" borderId="1" xfId="0" applyNumberFormat="1" applyFont="1" applyFill="1" applyBorder="1" applyAlignment="1">
      <alignment horizontal="left" vertical="top" wrapText="1"/>
    </xf>
    <xf numFmtId="164" fontId="15" fillId="2" borderId="1" xfId="0" applyNumberFormat="1" applyFont="1" applyFill="1" applyBorder="1" applyAlignment="1">
      <alignment horizontal="left" vertical="top" wrapText="1"/>
    </xf>
    <xf numFmtId="0" fontId="2" fillId="8" borderId="0" xfId="0" applyFont="1" applyFill="1"/>
    <xf numFmtId="15" fontId="2" fillId="8" borderId="1" xfId="0" applyNumberFormat="1" applyFont="1" applyFill="1" applyBorder="1"/>
    <xf numFmtId="0" fontId="2" fillId="8" borderId="1" xfId="0" applyFont="1" applyFill="1" applyBorder="1" applyAlignment="1">
      <alignment horizontal="center"/>
    </xf>
    <xf numFmtId="15" fontId="2" fillId="8" borderId="1" xfId="0" applyNumberFormat="1" applyFont="1" applyFill="1" applyBorder="1" applyAlignment="1">
      <alignment vertical="top" wrapText="1"/>
    </xf>
    <xf numFmtId="15" fontId="2" fillId="8" borderId="7" xfId="0" applyNumberFormat="1" applyFont="1" applyFill="1" applyBorder="1" applyAlignment="1">
      <alignment vertical="top" wrapText="1"/>
    </xf>
    <xf numFmtId="168" fontId="1" fillId="0" borderId="0" xfId="0" applyNumberFormat="1" applyFont="1" applyProtection="1"/>
    <xf numFmtId="0" fontId="2" fillId="2" borderId="9" xfId="0" applyFont="1" applyFill="1" applyBorder="1"/>
    <xf numFmtId="0" fontId="20" fillId="0" borderId="1" xfId="0" applyFont="1" applyBorder="1" applyAlignment="1">
      <alignment horizontal="center" vertical="top" wrapText="1"/>
    </xf>
    <xf numFmtId="0" fontId="0" fillId="8" borderId="1" xfId="0" applyFill="1" applyBorder="1"/>
    <xf numFmtId="0" fontId="1" fillId="8" borderId="1" xfId="0" applyNumberFormat="1" applyFont="1" applyFill="1" applyBorder="1" applyAlignment="1">
      <alignment horizontal="center"/>
    </xf>
    <xf numFmtId="0" fontId="0" fillId="8" borderId="1" xfId="0" applyFill="1" applyBorder="1" applyAlignment="1">
      <alignment horizontal="center"/>
    </xf>
    <xf numFmtId="0" fontId="1" fillId="8" borderId="1" xfId="0" applyFont="1" applyFill="1" applyBorder="1" applyAlignment="1">
      <alignment horizontal="center"/>
    </xf>
    <xf numFmtId="1" fontId="1" fillId="8" borderId="1" xfId="0" applyNumberFormat="1" applyFont="1" applyFill="1" applyBorder="1" applyAlignment="1">
      <alignment horizontal="center"/>
    </xf>
    <xf numFmtId="0" fontId="24" fillId="8" borderId="1" xfId="0" applyFont="1" applyFill="1" applyBorder="1" applyAlignment="1">
      <alignment horizontal="center"/>
    </xf>
    <xf numFmtId="0" fontId="1" fillId="8" borderId="1" xfId="0" applyFont="1" applyFill="1" applyBorder="1"/>
    <xf numFmtId="0" fontId="21" fillId="8" borderId="1" xfId="3" applyFont="1" applyFill="1" applyBorder="1" applyAlignment="1">
      <alignment horizontal="left"/>
    </xf>
    <xf numFmtId="0" fontId="21" fillId="8" borderId="1" xfId="3" applyFont="1" applyFill="1" applyBorder="1" applyAlignment="1">
      <alignment horizontal="center"/>
    </xf>
    <xf numFmtId="0" fontId="3" fillId="8" borderId="1" xfId="0" applyNumberFormat="1" applyFont="1" applyFill="1" applyBorder="1" applyAlignment="1">
      <alignment horizontal="center"/>
    </xf>
    <xf numFmtId="0" fontId="3" fillId="8" borderId="1" xfId="0" applyFont="1" applyFill="1" applyBorder="1" applyAlignment="1">
      <alignment horizontal="center"/>
    </xf>
    <xf numFmtId="173" fontId="1" fillId="8" borderId="1" xfId="0" applyNumberFormat="1" applyFont="1" applyFill="1" applyBorder="1" applyAlignment="1">
      <alignment horizontal="center"/>
    </xf>
    <xf numFmtId="0" fontId="0" fillId="0" borderId="1" xfId="0" applyBorder="1" applyAlignment="1">
      <alignment wrapText="1"/>
    </xf>
    <xf numFmtId="0" fontId="5" fillId="0" borderId="0" xfId="2" applyFill="1" applyBorder="1" applyAlignment="1" applyProtection="1">
      <alignment horizontal="left"/>
    </xf>
    <xf numFmtId="0" fontId="0" fillId="0" borderId="0" xfId="0" applyFill="1" applyBorder="1" applyAlignment="1">
      <alignment wrapText="1"/>
    </xf>
    <xf numFmtId="0" fontId="16" fillId="0" borderId="0" xfId="0" applyFont="1"/>
    <xf numFmtId="0" fontId="13" fillId="3" borderId="10" xfId="0" applyFont="1" applyFill="1" applyBorder="1" applyAlignment="1">
      <alignment horizontal="center" vertical="center" wrapText="1"/>
    </xf>
    <xf numFmtId="0" fontId="13" fillId="3" borderId="1" xfId="0" applyFont="1" applyFill="1" applyBorder="1" applyAlignment="1">
      <alignment vertical="top" wrapText="1"/>
    </xf>
    <xf numFmtId="0" fontId="0" fillId="0" borderId="8" xfId="0" applyBorder="1" applyAlignment="1">
      <alignment horizontal="left" wrapText="1"/>
    </xf>
    <xf numFmtId="0" fontId="0" fillId="0" borderId="0" xfId="0" applyBorder="1" applyAlignment="1">
      <alignment wrapText="1"/>
    </xf>
    <xf numFmtId="3" fontId="0" fillId="0" borderId="1" xfId="0" applyNumberFormat="1" applyFill="1" applyBorder="1"/>
    <xf numFmtId="0" fontId="0" fillId="0" borderId="5" xfId="0" applyFill="1" applyBorder="1"/>
    <xf numFmtId="3" fontId="0" fillId="0" borderId="5" xfId="0" applyNumberFormat="1" applyFill="1" applyBorder="1"/>
    <xf numFmtId="0" fontId="0" fillId="0" borderId="10" xfId="0" applyBorder="1" applyAlignment="1">
      <alignment horizontal="left" wrapText="1"/>
    </xf>
    <xf numFmtId="0" fontId="2" fillId="0" borderId="1" xfId="0" applyFont="1" applyBorder="1" applyAlignment="1">
      <alignment horizontal="left"/>
    </xf>
    <xf numFmtId="0" fontId="0" fillId="0" borderId="9" xfId="0" applyBorder="1" applyAlignment="1">
      <alignment wrapText="1"/>
    </xf>
    <xf numFmtId="0" fontId="17" fillId="0" borderId="1" xfId="0" applyFont="1" applyBorder="1"/>
    <xf numFmtId="3" fontId="1" fillId="0" borderId="1" xfId="0" applyNumberFormat="1" applyFont="1" applyBorder="1" applyAlignment="1">
      <alignment horizontal="center"/>
    </xf>
    <xf numFmtId="0" fontId="2" fillId="0" borderId="1" xfId="0" applyFont="1" applyFill="1" applyBorder="1" applyAlignment="1">
      <alignment horizontal="center"/>
    </xf>
    <xf numFmtId="9" fontId="0" fillId="0" borderId="0" xfId="0" applyNumberFormat="1"/>
    <xf numFmtId="0" fontId="0" fillId="8" borderId="11" xfId="0" applyFill="1" applyBorder="1" applyAlignment="1">
      <alignment horizontal="center"/>
    </xf>
    <xf numFmtId="0" fontId="1" fillId="0" borderId="1" xfId="0" applyFont="1" applyFill="1" applyBorder="1"/>
    <xf numFmtId="2" fontId="0" fillId="0" borderId="1" xfId="0" applyNumberFormat="1" applyBorder="1" applyAlignment="1">
      <alignment horizontal="center"/>
    </xf>
    <xf numFmtId="0" fontId="25" fillId="0" borderId="0" xfId="0" applyFont="1"/>
    <xf numFmtId="2" fontId="0" fillId="0" borderId="1" xfId="0" applyNumberFormat="1" applyBorder="1"/>
    <xf numFmtId="0" fontId="11" fillId="8" borderId="2" xfId="0" applyFont="1" applyFill="1" applyBorder="1"/>
    <xf numFmtId="0" fontId="11" fillId="8" borderId="2" xfId="0" applyFont="1" applyFill="1" applyBorder="1" applyAlignment="1">
      <alignment wrapText="1"/>
    </xf>
    <xf numFmtId="0" fontId="3" fillId="10" borderId="1" xfId="0" applyFont="1" applyFill="1" applyBorder="1"/>
    <xf numFmtId="0" fontId="3" fillId="10" borderId="1" xfId="0" applyFont="1" applyFill="1" applyBorder="1" applyAlignment="1">
      <alignment horizontal="left" vertical="top" wrapText="1"/>
    </xf>
    <xf numFmtId="2" fontId="0" fillId="0" borderId="0" xfId="0" applyNumberFormat="1" applyBorder="1"/>
    <xf numFmtId="2" fontId="0" fillId="0" borderId="11" xfId="0" applyNumberFormat="1" applyFill="1" applyBorder="1" applyAlignment="1">
      <alignment horizontal="center"/>
    </xf>
    <xf numFmtId="0" fontId="0" fillId="0" borderId="7" xfId="0" applyBorder="1"/>
    <xf numFmtId="0" fontId="0" fillId="0" borderId="14" xfId="0" applyBorder="1"/>
    <xf numFmtId="0" fontId="12" fillId="8" borderId="0" xfId="0" applyNumberFormat="1" applyFont="1" applyFill="1" applyAlignment="1" applyProtection="1">
      <alignment horizontal="center"/>
    </xf>
    <xf numFmtId="0" fontId="1" fillId="8" borderId="0" xfId="0" applyNumberFormat="1" applyFont="1" applyFill="1" applyAlignment="1">
      <alignment horizontal="center"/>
    </xf>
    <xf numFmtId="0" fontId="1" fillId="8" borderId="0" xfId="0" applyFont="1" applyFill="1" applyAlignment="1">
      <alignment horizontal="center"/>
    </xf>
    <xf numFmtId="0" fontId="12" fillId="8" borderId="0" xfId="0" applyFont="1" applyFill="1" applyAlignment="1" applyProtection="1">
      <alignment horizontal="center"/>
    </xf>
    <xf numFmtId="0" fontId="1" fillId="8" borderId="0" xfId="0" applyFont="1" applyFill="1" applyAlignment="1" applyProtection="1">
      <alignment horizontal="center"/>
    </xf>
    <xf numFmtId="0" fontId="0" fillId="8" borderId="0" xfId="0" applyFill="1" applyProtection="1"/>
    <xf numFmtId="0" fontId="1" fillId="0" borderId="15" xfId="0" applyFont="1" applyFill="1" applyBorder="1" applyAlignment="1">
      <alignment horizontal="center"/>
    </xf>
    <xf numFmtId="20" fontId="1" fillId="0" borderId="14" xfId="0" applyNumberFormat="1" applyFont="1" applyBorder="1" applyAlignment="1"/>
    <xf numFmtId="0" fontId="2" fillId="0" borderId="14" xfId="0" applyFont="1" applyBorder="1" applyAlignment="1">
      <alignment horizontal="left"/>
    </xf>
    <xf numFmtId="0" fontId="2" fillId="0" borderId="5" xfId="0" applyFont="1" applyBorder="1"/>
    <xf numFmtId="0" fontId="2" fillId="10" borderId="14" xfId="0" applyFont="1" applyFill="1" applyBorder="1" applyAlignment="1"/>
    <xf numFmtId="174" fontId="2" fillId="8" borderId="1" xfId="0" applyNumberFormat="1" applyFont="1" applyFill="1" applyBorder="1"/>
    <xf numFmtId="174" fontId="2" fillId="8" borderId="1" xfId="0" applyNumberFormat="1" applyFont="1" applyFill="1" applyBorder="1" applyAlignment="1">
      <alignment horizontal="right"/>
    </xf>
    <xf numFmtId="174" fontId="2" fillId="8" borderId="1" xfId="0" applyNumberFormat="1" applyFont="1" applyFill="1" applyBorder="1" applyAlignment="1">
      <alignment horizontal="left"/>
    </xf>
    <xf numFmtId="0" fontId="3" fillId="10" borderId="7" xfId="0" applyFont="1" applyFill="1" applyBorder="1"/>
    <xf numFmtId="0" fontId="3" fillId="10" borderId="7" xfId="0" applyFont="1" applyFill="1" applyBorder="1" applyAlignment="1">
      <alignment horizontal="left" vertical="top" wrapText="1"/>
    </xf>
    <xf numFmtId="0" fontId="1" fillId="0" borderId="1" xfId="0" applyFont="1" applyBorder="1" applyAlignment="1">
      <alignment horizontal="center"/>
    </xf>
    <xf numFmtId="0" fontId="0" fillId="0" borderId="1" xfId="0" applyBorder="1" applyAlignment="1">
      <alignment horizontal="center"/>
    </xf>
    <xf numFmtId="14" fontId="0" fillId="0" borderId="1" xfId="0" applyNumberFormat="1" applyBorder="1"/>
    <xf numFmtId="0" fontId="1" fillId="0" borderId="0" xfId="0" applyFont="1" applyBorder="1"/>
    <xf numFmtId="0" fontId="7" fillId="0" borderId="1" xfId="0" applyFont="1" applyBorder="1"/>
    <xf numFmtId="0" fontId="27" fillId="16" borderId="1" xfId="0" applyFont="1" applyFill="1" applyBorder="1" applyAlignment="1">
      <alignment horizontal="center" wrapText="1"/>
    </xf>
    <xf numFmtId="0" fontId="1" fillId="0" borderId="12" xfId="0" applyFont="1" applyFill="1" applyBorder="1" applyAlignment="1">
      <alignment horizontal="center"/>
    </xf>
    <xf numFmtId="0" fontId="0" fillId="0" borderId="4" xfId="0" applyFont="1" applyFill="1" applyBorder="1"/>
    <xf numFmtId="0" fontId="1" fillId="0" borderId="1" xfId="0" applyFont="1" applyBorder="1" applyAlignment="1">
      <alignment horizontal="center"/>
    </xf>
    <xf numFmtId="0" fontId="0" fillId="0" borderId="1" xfId="0" applyBorder="1" applyAlignment="1">
      <alignment horizontal="center"/>
    </xf>
    <xf numFmtId="2" fontId="0" fillId="0" borderId="1" xfId="5" applyNumberFormat="1" applyFont="1" applyBorder="1"/>
    <xf numFmtId="0" fontId="0" fillId="0" borderId="1" xfId="0" applyBorder="1" applyAlignment="1">
      <alignment horizontal="center"/>
    </xf>
    <xf numFmtId="164" fontId="1" fillId="8" borderId="1" xfId="0" applyNumberFormat="1" applyFont="1" applyFill="1" applyBorder="1" applyAlignment="1">
      <alignment horizontal="center"/>
    </xf>
    <xf numFmtId="0" fontId="0" fillId="0" borderId="0" xfId="0" applyAlignment="1">
      <alignment horizontal="left" vertical="top" wrapText="1"/>
    </xf>
    <xf numFmtId="20" fontId="0" fillId="0" borderId="1" xfId="0" applyNumberFormat="1" applyBorder="1" applyAlignment="1">
      <alignment horizontal="center"/>
    </xf>
    <xf numFmtId="20" fontId="1" fillId="0" borderId="1" xfId="0" applyNumberFormat="1" applyFont="1" applyBorder="1" applyAlignment="1">
      <alignment horizontal="center"/>
    </xf>
    <xf numFmtId="0" fontId="32" fillId="8" borderId="1" xfId="0" applyFont="1" applyFill="1" applyBorder="1"/>
    <xf numFmtId="14" fontId="33" fillId="8" borderId="1" xfId="0" applyNumberFormat="1" applyFont="1" applyFill="1" applyBorder="1" applyAlignment="1">
      <alignment horizontal="center" vertical="center"/>
    </xf>
    <xf numFmtId="14" fontId="2" fillId="8" borderId="1" xfId="0" applyNumberFormat="1" applyFont="1" applyFill="1" applyBorder="1" applyAlignment="1">
      <alignment vertical="center"/>
    </xf>
    <xf numFmtId="14" fontId="2" fillId="16" borderId="1" xfId="0" applyNumberFormat="1" applyFont="1" applyFill="1" applyBorder="1" applyAlignment="1">
      <alignment vertical="center"/>
    </xf>
    <xf numFmtId="0" fontId="6" fillId="0" borderId="1" xfId="0" applyFont="1" applyBorder="1" applyAlignment="1">
      <alignment horizontal="left" vertical="top" wrapText="1"/>
    </xf>
    <xf numFmtId="0" fontId="34" fillId="0" borderId="1" xfId="0" applyFont="1" applyBorder="1" applyAlignment="1">
      <alignment horizontal="left" vertical="top" wrapText="1" indent="1"/>
    </xf>
    <xf numFmtId="0" fontId="1" fillId="0" borderId="1" xfId="0" applyFont="1" applyBorder="1" applyAlignment="1">
      <alignment horizontal="left" vertical="top"/>
    </xf>
    <xf numFmtId="0" fontId="34" fillId="0" borderId="1" xfId="0" applyFont="1" applyBorder="1" applyAlignment="1">
      <alignment horizontal="left" vertical="top" indent="1"/>
    </xf>
    <xf numFmtId="164" fontId="0" fillId="0" borderId="1" xfId="0" applyNumberFormat="1" applyBorder="1" applyAlignment="1">
      <alignment horizontal="left" vertical="top"/>
    </xf>
    <xf numFmtId="0" fontId="0" fillId="0" borderId="1" xfId="0" applyBorder="1" applyAlignment="1">
      <alignment horizontal="left" vertical="top"/>
    </xf>
    <xf numFmtId="0" fontId="1" fillId="0" borderId="1" xfId="0" applyFont="1" applyFill="1" applyBorder="1" applyAlignment="1">
      <alignment horizontal="left" vertical="top"/>
    </xf>
    <xf numFmtId="0" fontId="1" fillId="0" borderId="0" xfId="0" applyFont="1" applyFill="1" applyAlignment="1">
      <alignment horizontal="left"/>
    </xf>
    <xf numFmtId="164" fontId="3" fillId="0" borderId="1" xfId="0" applyNumberFormat="1" applyFont="1" applyFill="1" applyBorder="1" applyAlignment="1">
      <alignment horizontal="center"/>
    </xf>
    <xf numFmtId="164" fontId="1" fillId="0" borderId="1" xfId="0" applyNumberFormat="1" applyFont="1" applyFill="1" applyBorder="1" applyAlignment="1">
      <alignment horizontal="center"/>
    </xf>
    <xf numFmtId="1" fontId="0" fillId="8" borderId="1" xfId="0" applyNumberFormat="1" applyFill="1" applyBorder="1" applyAlignment="1">
      <alignment horizontal="center"/>
    </xf>
    <xf numFmtId="1" fontId="0" fillId="0" borderId="1" xfId="0" applyNumberFormat="1" applyBorder="1"/>
    <xf numFmtId="0" fontId="11" fillId="8" borderId="1" xfId="0" applyFont="1" applyFill="1" applyBorder="1" applyAlignment="1">
      <alignment horizontal="center" wrapText="1"/>
    </xf>
    <xf numFmtId="0" fontId="2" fillId="0" borderId="0" xfId="0" applyFont="1" applyAlignment="1">
      <alignment horizontal="center"/>
    </xf>
    <xf numFmtId="2" fontId="2" fillId="0" borderId="0" xfId="0" applyNumberFormat="1" applyFont="1" applyAlignment="1">
      <alignment horizontal="center"/>
    </xf>
    <xf numFmtId="0" fontId="2" fillId="2" borderId="0" xfId="0" applyFont="1" applyFill="1" applyAlignment="1">
      <alignment horizontal="center"/>
    </xf>
    <xf numFmtId="0" fontId="0" fillId="0" borderId="0" xfId="0" applyAlignment="1">
      <alignment horizontal="left"/>
    </xf>
    <xf numFmtId="0" fontId="1" fillId="0" borderId="1" xfId="0" applyFont="1" applyBorder="1" applyAlignment="1">
      <alignment horizontal="center"/>
    </xf>
    <xf numFmtId="0" fontId="1" fillId="0" borderId="1" xfId="0" applyFont="1" applyBorder="1" applyAlignment="1">
      <alignment wrapText="1"/>
    </xf>
    <xf numFmtId="164" fontId="1" fillId="2" borderId="1" xfId="0" applyNumberFormat="1" applyFont="1" applyFill="1" applyBorder="1" applyAlignment="1">
      <alignment horizontal="center"/>
    </xf>
    <xf numFmtId="1" fontId="1" fillId="2" borderId="1" xfId="0" applyNumberFormat="1" applyFont="1" applyFill="1" applyBorder="1" applyAlignment="1">
      <alignment horizontal="center"/>
    </xf>
    <xf numFmtId="0" fontId="1" fillId="2" borderId="1" xfId="0" applyFont="1" applyFill="1" applyBorder="1" applyAlignment="1">
      <alignment horizontal="center"/>
    </xf>
    <xf numFmtId="1" fontId="1" fillId="0" borderId="1" xfId="0" applyNumberFormat="1" applyFont="1" applyFill="1" applyBorder="1"/>
    <xf numFmtId="164" fontId="1" fillId="0" borderId="1" xfId="0" applyNumberFormat="1" applyFont="1" applyFill="1" applyBorder="1"/>
    <xf numFmtId="1" fontId="1" fillId="0" borderId="0" xfId="0" applyNumberFormat="1" applyFont="1" applyProtection="1"/>
    <xf numFmtId="0" fontId="1" fillId="2" borderId="0" xfId="0" applyNumberFormat="1" applyFont="1" applyFill="1"/>
    <xf numFmtId="1" fontId="1" fillId="0" borderId="0" xfId="0" applyNumberFormat="1" applyFont="1" applyFill="1" applyProtection="1"/>
    <xf numFmtId="0" fontId="1" fillId="4" borderId="0" xfId="0" applyFont="1" applyFill="1"/>
    <xf numFmtId="0" fontId="1" fillId="0" borderId="0" xfId="0" applyFont="1" applyProtection="1"/>
    <xf numFmtId="2" fontId="1" fillId="0" borderId="0" xfId="0" applyNumberFormat="1" applyFont="1"/>
    <xf numFmtId="165" fontId="1" fillId="0" borderId="0" xfId="0" applyNumberFormat="1" applyFont="1"/>
    <xf numFmtId="175" fontId="2" fillId="0" borderId="1" xfId="0" applyNumberFormat="1" applyFont="1" applyBorder="1" applyAlignment="1">
      <alignment horizontal="center"/>
    </xf>
    <xf numFmtId="165" fontId="2" fillId="2" borderId="1" xfId="0" applyNumberFormat="1" applyFont="1" applyFill="1" applyBorder="1" applyAlignment="1">
      <alignment horizontal="right"/>
    </xf>
    <xf numFmtId="175" fontId="2" fillId="2" borderId="1" xfId="0" applyNumberFormat="1" applyFont="1" applyFill="1" applyBorder="1" applyAlignment="1">
      <alignment horizontal="center"/>
    </xf>
    <xf numFmtId="0" fontId="1" fillId="0" borderId="2" xfId="0" applyFont="1" applyBorder="1"/>
    <xf numFmtId="0" fontId="1" fillId="0" borderId="15" xfId="0" applyFont="1" applyBorder="1" applyAlignment="1">
      <alignment horizontal="center"/>
    </xf>
    <xf numFmtId="2" fontId="2" fillId="0" borderId="0" xfId="0" applyNumberFormat="1"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vertical="top" wrapText="1"/>
    </xf>
    <xf numFmtId="0" fontId="20" fillId="0" borderId="1" xfId="0" applyFont="1" applyBorder="1" applyAlignment="1">
      <alignment horizontal="center" vertical="top"/>
    </xf>
    <xf numFmtId="0" fontId="1" fillId="0" borderId="1" xfId="0" applyFont="1" applyBorder="1" applyAlignment="1">
      <alignment horizontal="center" vertical="top"/>
    </xf>
    <xf numFmtId="15" fontId="2" fillId="0" borderId="0" xfId="0" applyNumberFormat="1" applyFont="1" applyFill="1"/>
    <xf numFmtId="165" fontId="0" fillId="0" borderId="0" xfId="0" applyNumberFormat="1" applyFill="1"/>
    <xf numFmtId="0" fontId="13" fillId="3" borderId="13"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 fillId="8" borderId="0" xfId="0" applyFont="1" applyFill="1"/>
    <xf numFmtId="0" fontId="1" fillId="8" borderId="0" xfId="0" applyNumberFormat="1" applyFont="1" applyFill="1"/>
    <xf numFmtId="0" fontId="0" fillId="8" borderId="0" xfId="0" applyFill="1" applyAlignment="1" applyProtection="1">
      <alignment horizontal="center"/>
    </xf>
    <xf numFmtId="0" fontId="1" fillId="0" borderId="0" xfId="0" applyFont="1" applyFill="1" applyBorder="1"/>
    <xf numFmtId="0" fontId="1" fillId="0" borderId="0" xfId="0" applyFont="1" applyFill="1" applyBorder="1" applyAlignment="1">
      <alignment horizontal="left"/>
    </xf>
    <xf numFmtId="0" fontId="1" fillId="0" borderId="1" xfId="0" applyFont="1" applyBorder="1" applyAlignment="1">
      <alignment horizontal="right"/>
    </xf>
    <xf numFmtId="0" fontId="2" fillId="0" borderId="0" xfId="0" applyFont="1" applyFill="1" applyBorder="1" applyAlignment="1"/>
    <xf numFmtId="0" fontId="1" fillId="0" borderId="1" xfId="0" applyFont="1" applyBorder="1" applyAlignment="1">
      <alignment horizontal="center"/>
    </xf>
    <xf numFmtId="0" fontId="0" fillId="0" borderId="1" xfId="0" applyBorder="1" applyAlignment="1">
      <alignment horizontal="center"/>
    </xf>
    <xf numFmtId="0" fontId="1" fillId="8" borderId="1" xfId="0" applyFont="1" applyFill="1" applyBorder="1" applyAlignment="1">
      <alignment horizontal="center"/>
    </xf>
    <xf numFmtId="164" fontId="0" fillId="0" borderId="0" xfId="0" applyNumberFormat="1" applyBorder="1"/>
    <xf numFmtId="3" fontId="0" fillId="0" borderId="0" xfId="0" applyNumberFormat="1" applyAlignment="1">
      <alignment horizontal="center"/>
    </xf>
    <xf numFmtId="0" fontId="2" fillId="0" borderId="0" xfId="0" applyFont="1" applyFill="1" applyBorder="1" applyAlignment="1">
      <alignment horizontal="center" wrapText="1"/>
    </xf>
    <xf numFmtId="0" fontId="11" fillId="0" borderId="0" xfId="0" applyFont="1" applyFill="1" applyBorder="1" applyAlignment="1"/>
    <xf numFmtId="165" fontId="13" fillId="0" borderId="0" xfId="0" applyNumberFormat="1" applyFont="1" applyFill="1" applyBorder="1"/>
    <xf numFmtId="3" fontId="2" fillId="0" borderId="0" xfId="0" applyNumberFormat="1" applyFont="1" applyFill="1" applyBorder="1"/>
    <xf numFmtId="165" fontId="13" fillId="0" borderId="0" xfId="0" applyNumberFormat="1" applyFont="1" applyFill="1" applyBorder="1" applyAlignment="1">
      <alignment horizontal="right"/>
    </xf>
    <xf numFmtId="1" fontId="25" fillId="0" borderId="11" xfId="0" applyNumberFormat="1" applyFont="1" applyFill="1" applyBorder="1" applyAlignment="1">
      <alignment horizontal="center"/>
    </xf>
    <xf numFmtId="0" fontId="25" fillId="0" borderId="11" xfId="0" applyFont="1" applyFill="1" applyBorder="1"/>
    <xf numFmtId="0" fontId="29" fillId="0" borderId="1" xfId="0" applyFont="1" applyBorder="1"/>
    <xf numFmtId="0" fontId="2" fillId="8" borderId="1" xfId="0" applyFont="1" applyFill="1" applyBorder="1" applyAlignment="1">
      <alignment horizontal="right"/>
    </xf>
    <xf numFmtId="0" fontId="1" fillId="0" borderId="12" xfId="0" applyFont="1" applyBorder="1" applyAlignment="1">
      <alignment horizontal="right"/>
    </xf>
    <xf numFmtId="0" fontId="1" fillId="10" borderId="1" xfId="0" applyFont="1" applyFill="1" applyBorder="1" applyAlignment="1">
      <alignment horizontal="left" vertical="top" wrapText="1"/>
    </xf>
    <xf numFmtId="0" fontId="2" fillId="10" borderId="1" xfId="0" applyFont="1" applyFill="1" applyBorder="1"/>
    <xf numFmtId="0" fontId="1" fillId="10" borderId="1" xfId="0" applyFont="1" applyFill="1" applyBorder="1"/>
    <xf numFmtId="0" fontId="38" fillId="0" borderId="18" xfId="0" applyFont="1" applyBorder="1"/>
    <xf numFmtId="20" fontId="38" fillId="0" borderId="1" xfId="0" applyNumberFormat="1" applyFont="1" applyBorder="1"/>
    <xf numFmtId="0" fontId="38" fillId="0" borderId="0" xfId="0" applyFont="1"/>
    <xf numFmtId="14" fontId="39" fillId="15" borderId="0" xfId="0" applyNumberFormat="1" applyFont="1" applyFill="1" applyBorder="1" applyAlignment="1">
      <alignment horizontal="center"/>
    </xf>
    <xf numFmtId="0" fontId="39" fillId="17" borderId="21" xfId="0" applyFont="1" applyFill="1" applyBorder="1" applyAlignment="1">
      <alignment horizontal="center" wrapText="1"/>
    </xf>
    <xf numFmtId="0" fontId="39" fillId="17" borderId="0" xfId="0" applyFont="1" applyFill="1" applyBorder="1" applyAlignment="1">
      <alignment horizontal="center" vertical="top" wrapText="1"/>
    </xf>
    <xf numFmtId="0" fontId="38" fillId="0" borderId="0" xfId="0" applyFont="1" applyAlignment="1">
      <alignment vertical="top" wrapText="1"/>
    </xf>
    <xf numFmtId="0" fontId="38" fillId="0" borderId="0" xfId="0" applyFont="1" applyBorder="1"/>
    <xf numFmtId="0" fontId="38" fillId="0" borderId="0" xfId="0" applyFont="1" applyFill="1" applyBorder="1"/>
    <xf numFmtId="0" fontId="38" fillId="0" borderId="1" xfId="0" applyFont="1" applyBorder="1"/>
    <xf numFmtId="0" fontId="38" fillId="0" borderId="11" xfId="0" applyFont="1" applyFill="1" applyBorder="1"/>
    <xf numFmtId="0" fontId="39" fillId="17" borderId="20" xfId="0" applyFont="1" applyFill="1" applyBorder="1" applyAlignment="1">
      <alignment wrapText="1"/>
    </xf>
    <xf numFmtId="0" fontId="0" fillId="0" borderId="1" xfId="0" applyBorder="1" applyAlignment="1">
      <alignment horizontal="right"/>
    </xf>
    <xf numFmtId="0" fontId="1" fillId="0" borderId="1" xfId="0" applyFont="1" applyBorder="1" applyAlignment="1">
      <alignment horizont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31" fillId="0" borderId="0" xfId="0" applyFont="1"/>
    <xf numFmtId="0" fontId="31" fillId="0" borderId="0" xfId="0" applyFont="1" applyAlignment="1">
      <alignment wrapText="1"/>
    </xf>
    <xf numFmtId="0" fontId="31" fillId="0" borderId="1" xfId="0" applyFont="1" applyBorder="1" applyAlignment="1">
      <alignment horizontal="left" vertical="top" wrapText="1"/>
    </xf>
    <xf numFmtId="0" fontId="31" fillId="0" borderId="1" xfId="0" applyFont="1" applyBorder="1" applyAlignment="1">
      <alignment horizontal="left" vertical="top"/>
    </xf>
    <xf numFmtId="0" fontId="40" fillId="0" borderId="1" xfId="0" applyFont="1" applyBorder="1" applyAlignment="1">
      <alignment horizontal="left" vertical="top" wrapText="1"/>
    </xf>
    <xf numFmtId="0" fontId="28" fillId="8" borderId="1" xfId="0" applyFont="1" applyFill="1" applyBorder="1" applyAlignment="1">
      <alignment horizontal="left" vertical="top" wrapText="1"/>
    </xf>
    <xf numFmtId="0" fontId="41" fillId="0" borderId="1" xfId="0" applyFont="1" applyBorder="1" applyAlignment="1">
      <alignment horizontal="left" vertical="top" wrapText="1"/>
    </xf>
    <xf numFmtId="0" fontId="0" fillId="0" borderId="1" xfId="0" applyBorder="1" applyAlignment="1">
      <alignment horizontal="center"/>
    </xf>
    <xf numFmtId="14" fontId="1" fillId="0" borderId="0" xfId="0" applyNumberFormat="1" applyFont="1" applyAlignment="1">
      <alignment horizontal="right"/>
    </xf>
    <xf numFmtId="0" fontId="1" fillId="0" borderId="7" xfId="0" applyFont="1" applyBorder="1"/>
    <xf numFmtId="0" fontId="2" fillId="0" borderId="0" xfId="0" applyFont="1" applyFill="1" applyBorder="1" applyAlignment="1">
      <alignment horizontal="right"/>
    </xf>
    <xf numFmtId="0" fontId="6" fillId="0" borderId="0" xfId="0" applyFont="1" applyBorder="1" applyAlignment="1">
      <alignment horizontal="center"/>
    </xf>
    <xf numFmtId="14" fontId="13" fillId="0" borderId="0" xfId="0" applyNumberFormat="1" applyFont="1" applyFill="1" applyBorder="1" applyAlignment="1">
      <alignment horizontal="center"/>
    </xf>
    <xf numFmtId="0" fontId="27" fillId="0" borderId="0" xfId="0" applyFont="1" applyFill="1" applyBorder="1" applyAlignment="1">
      <alignment horizontal="center" wrapText="1"/>
    </xf>
    <xf numFmtId="0" fontId="13" fillId="0" borderId="0" xfId="0" applyFont="1" applyFill="1" applyBorder="1" applyAlignment="1">
      <alignment horizontal="center"/>
    </xf>
    <xf numFmtId="0" fontId="6" fillId="0" borderId="0" xfId="0" applyFont="1" applyFill="1" applyBorder="1" applyAlignment="1">
      <alignment horizontal="center"/>
    </xf>
    <xf numFmtId="0" fontId="1" fillId="0" borderId="0" xfId="0" applyFont="1" applyAlignment="1">
      <alignment horizontal="left" vertical="top"/>
    </xf>
    <xf numFmtId="0" fontId="0" fillId="0" borderId="0" xfId="0" applyAlignment="1">
      <alignment horizontal="left" vertical="top"/>
    </xf>
    <xf numFmtId="0" fontId="0" fillId="0" borderId="0" xfId="0" applyNumberFormat="1" applyFont="1"/>
    <xf numFmtId="0" fontId="7" fillId="0" borderId="1" xfId="0" applyFont="1" applyBorder="1" applyAlignment="1">
      <alignment horizontal="left" vertical="center"/>
    </xf>
    <xf numFmtId="0" fontId="7" fillId="0" borderId="1" xfId="0" applyNumberFormat="1" applyFont="1" applyBorder="1" applyAlignment="1">
      <alignment horizontal="center"/>
    </xf>
    <xf numFmtId="0" fontId="7" fillId="0" borderId="1" xfId="0" applyFont="1" applyBorder="1" applyAlignment="1">
      <alignment horizontal="center"/>
    </xf>
    <xf numFmtId="0" fontId="7" fillId="0" borderId="1" xfId="0" applyFont="1" applyBorder="1" applyAlignment="1">
      <alignment vertical="center"/>
    </xf>
    <xf numFmtId="0" fontId="7" fillId="0" borderId="1" xfId="0" applyFont="1" applyBorder="1" applyAlignment="1">
      <alignment horizontal="left" vertical="center" wrapText="1"/>
    </xf>
    <xf numFmtId="14" fontId="7" fillId="0" borderId="1" xfId="0" applyNumberFormat="1" applyFont="1" applyBorder="1" applyAlignment="1">
      <alignment horizontal="left" vertical="center"/>
    </xf>
    <xf numFmtId="0" fontId="7" fillId="0" borderId="1" xfId="0" applyFont="1" applyFill="1" applyBorder="1" applyAlignment="1">
      <alignment horizontal="center" vertical="center"/>
    </xf>
    <xf numFmtId="0" fontId="7" fillId="0" borderId="11" xfId="0" applyFont="1" applyFill="1" applyBorder="1" applyAlignment="1">
      <alignment horizontal="center" vertical="center"/>
    </xf>
    <xf numFmtId="0" fontId="42" fillId="0" borderId="1" xfId="0" applyFont="1" applyBorder="1" applyAlignment="1">
      <alignment horizontal="center" vertical="center"/>
    </xf>
    <xf numFmtId="1" fontId="7" fillId="0" borderId="1" xfId="0" applyNumberFormat="1" applyFont="1" applyBorder="1" applyAlignment="1">
      <alignment horizontal="center"/>
    </xf>
    <xf numFmtId="0" fontId="7" fillId="0" borderId="1" xfId="0" applyNumberFormat="1" applyFont="1" applyFill="1" applyBorder="1" applyAlignment="1">
      <alignment horizontal="center"/>
    </xf>
    <xf numFmtId="0" fontId="7" fillId="0" borderId="1" xfId="0" applyFont="1" applyFill="1" applyBorder="1" applyAlignment="1">
      <alignment horizontal="center"/>
    </xf>
    <xf numFmtId="0" fontId="31" fillId="8" borderId="0" xfId="0" applyFont="1" applyFill="1"/>
    <xf numFmtId="14" fontId="31" fillId="8" borderId="0" xfId="0" applyNumberFormat="1" applyFont="1" applyFill="1"/>
    <xf numFmtId="0" fontId="28" fillId="8" borderId="1" xfId="0" applyFont="1" applyFill="1" applyBorder="1"/>
    <xf numFmtId="0" fontId="28" fillId="0" borderId="1" xfId="0" applyFont="1" applyBorder="1" applyAlignment="1">
      <alignment horizontal="center"/>
    </xf>
    <xf numFmtId="20" fontId="31" fillId="0" borderId="1" xfId="0" applyNumberFormat="1" applyFont="1" applyBorder="1"/>
    <xf numFmtId="0" fontId="31" fillId="0" borderId="1" xfId="0" applyFont="1" applyBorder="1" applyAlignment="1">
      <alignment horizontal="center"/>
    </xf>
    <xf numFmtId="0" fontId="31" fillId="0" borderId="1" xfId="0" applyFont="1" applyFill="1" applyBorder="1"/>
    <xf numFmtId="0" fontId="31" fillId="0" borderId="1" xfId="0" applyFont="1" applyBorder="1"/>
    <xf numFmtId="0" fontId="31" fillId="0" borderId="0" xfId="0" applyFont="1" applyBorder="1"/>
    <xf numFmtId="0" fontId="31" fillId="0" borderId="1" xfId="0" applyFont="1" applyBorder="1" applyAlignment="1">
      <alignment horizontal="center" vertical="center"/>
    </xf>
    <xf numFmtId="0" fontId="28" fillId="8" borderId="11" xfId="0" applyFont="1" applyFill="1" applyBorder="1" applyAlignment="1">
      <alignment horizontal="center"/>
    </xf>
    <xf numFmtId="176" fontId="31" fillId="8" borderId="0" xfId="0" applyNumberFormat="1" applyFont="1" applyFill="1"/>
    <xf numFmtId="0" fontId="31" fillId="8" borderId="0" xfId="0" applyFont="1" applyFill="1" applyBorder="1" applyAlignment="1">
      <alignment horizontal="left"/>
    </xf>
    <xf numFmtId="0" fontId="31" fillId="0" borderId="11" xfId="0" applyFont="1" applyFill="1" applyBorder="1" applyAlignment="1">
      <alignment horizontal="center"/>
    </xf>
    <xf numFmtId="0" fontId="31" fillId="0" borderId="1" xfId="0" applyFont="1" applyFill="1" applyBorder="1" applyAlignment="1">
      <alignment horizontal="center"/>
    </xf>
    <xf numFmtId="0" fontId="28" fillId="8" borderId="1" xfId="0" applyFont="1" applyFill="1" applyBorder="1" applyAlignment="1">
      <alignment horizontal="center"/>
    </xf>
    <xf numFmtId="0" fontId="31" fillId="0" borderId="0" xfId="0" applyFont="1" applyAlignment="1">
      <alignment horizontal="left"/>
    </xf>
    <xf numFmtId="0" fontId="31" fillId="0" borderId="0" xfId="0" applyNumberFormat="1" applyFont="1" applyFill="1" applyBorder="1" applyAlignment="1">
      <alignment horizontal="left"/>
    </xf>
    <xf numFmtId="0" fontId="31" fillId="0" borderId="0" xfId="0" applyNumberFormat="1" applyFont="1"/>
    <xf numFmtId="0" fontId="31" fillId="0" borderId="9" xfId="0" applyFont="1" applyBorder="1" applyAlignment="1">
      <alignment vertical="top"/>
    </xf>
    <xf numFmtId="0" fontId="43" fillId="0" borderId="0" xfId="3" applyFont="1" applyFill="1" applyBorder="1" applyAlignment="1">
      <alignment horizontal="left"/>
    </xf>
    <xf numFmtId="0" fontId="43" fillId="0" borderId="0" xfId="3" applyNumberFormat="1" applyFont="1" applyFill="1" applyBorder="1" applyAlignment="1">
      <alignment horizontal="right"/>
    </xf>
    <xf numFmtId="0" fontId="31" fillId="0" borderId="1" xfId="0" applyNumberFormat="1" applyFont="1" applyFill="1" applyBorder="1" applyAlignment="1">
      <alignment horizontal="left"/>
    </xf>
    <xf numFmtId="0" fontId="43" fillId="0" borderId="1" xfId="3" applyFont="1" applyFill="1" applyBorder="1" applyAlignment="1">
      <alignment horizontal="left"/>
    </xf>
    <xf numFmtId="0" fontId="31" fillId="0" borderId="0" xfId="0" applyFont="1" applyAlignment="1">
      <alignment horizontal="left" vertical="top"/>
    </xf>
    <xf numFmtId="14" fontId="31" fillId="0" borderId="0" xfId="0" applyNumberFormat="1" applyFont="1"/>
    <xf numFmtId="0" fontId="31" fillId="0" borderId="0" xfId="0" applyFont="1" applyFill="1" applyBorder="1" applyAlignment="1">
      <alignment horizontal="left"/>
    </xf>
    <xf numFmtId="0" fontId="1" fillId="8" borderId="1" xfId="0" applyFont="1" applyFill="1" applyBorder="1" applyAlignment="1">
      <alignment horizontal="center" wrapText="1"/>
    </xf>
    <xf numFmtId="0" fontId="1" fillId="8" borderId="11" xfId="0" applyFont="1" applyFill="1" applyBorder="1"/>
    <xf numFmtId="0" fontId="0" fillId="0" borderId="14" xfId="0" applyBorder="1" applyAlignment="1"/>
    <xf numFmtId="0" fontId="0" fillId="0" borderId="5" xfId="0" applyBorder="1" applyAlignment="1"/>
    <xf numFmtId="165" fontId="31" fillId="0" borderId="0" xfId="0" applyNumberFormat="1" applyFont="1"/>
    <xf numFmtId="2" fontId="31" fillId="0" borderId="0" xfId="0" applyNumberFormat="1" applyFont="1"/>
    <xf numFmtId="0" fontId="29" fillId="0" borderId="0" xfId="0" applyFont="1"/>
    <xf numFmtId="0" fontId="1" fillId="0" borderId="5" xfId="0" applyFont="1" applyBorder="1"/>
    <xf numFmtId="0" fontId="29" fillId="0" borderId="1" xfId="0" applyFont="1" applyFill="1" applyBorder="1"/>
    <xf numFmtId="0" fontId="1" fillId="0" borderId="1" xfId="0" applyFont="1" applyBorder="1" applyAlignment="1"/>
    <xf numFmtId="0" fontId="1" fillId="0" borderId="9" xfId="0" applyFont="1" applyBorder="1" applyAlignment="1"/>
    <xf numFmtId="165" fontId="0" fillId="0" borderId="1" xfId="0" applyNumberFormat="1" applyBorder="1"/>
    <xf numFmtId="0" fontId="0" fillId="8" borderId="1" xfId="0" applyFill="1" applyBorder="1" applyAlignment="1">
      <alignment horizontal="center" vertical="center"/>
    </xf>
    <xf numFmtId="164" fontId="0" fillId="8" borderId="1" xfId="0" applyNumberFormat="1" applyFill="1" applyBorder="1"/>
    <xf numFmtId="2" fontId="0" fillId="0" borderId="0" xfId="0" applyNumberFormat="1" applyFill="1" applyBorder="1"/>
    <xf numFmtId="0" fontId="2" fillId="12" borderId="4" xfId="0" applyFont="1" applyFill="1" applyBorder="1"/>
    <xf numFmtId="1" fontId="2" fillId="12" borderId="0" xfId="0" applyNumberFormat="1" applyFont="1" applyFill="1"/>
    <xf numFmtId="0" fontId="2" fillId="12" borderId="0" xfId="0" applyFont="1" applyFill="1"/>
    <xf numFmtId="0" fontId="2" fillId="0" borderId="1" xfId="0" applyFont="1" applyBorder="1" applyAlignment="1">
      <alignment horizontal="center"/>
    </xf>
    <xf numFmtId="0" fontId="1" fillId="0" borderId="1" xfId="0" applyFont="1" applyBorder="1" applyAlignment="1">
      <alignment horizontal="center" vertical="center"/>
    </xf>
    <xf numFmtId="0" fontId="2" fillId="0" borderId="1" xfId="0" applyFont="1" applyBorder="1" applyAlignment="1">
      <alignment horizontal="center"/>
    </xf>
    <xf numFmtId="0" fontId="2" fillId="0" borderId="1" xfId="0" applyFont="1" applyBorder="1" applyAlignment="1">
      <alignment horizontal="center" vertical="center"/>
    </xf>
    <xf numFmtId="164" fontId="45" fillId="0" borderId="1" xfId="0" applyNumberFormat="1" applyFont="1" applyBorder="1" applyAlignment="1">
      <alignment horizontal="center"/>
    </xf>
    <xf numFmtId="0" fontId="1" fillId="0" borderId="0" xfId="0" applyFont="1" applyAlignment="1">
      <alignment wrapText="1"/>
    </xf>
    <xf numFmtId="0" fontId="0" fillId="0" borderId="0" xfId="0" applyAlignment="1">
      <alignment horizontal="center" wrapText="1"/>
    </xf>
    <xf numFmtId="0" fontId="1" fillId="0" borderId="0" xfId="0" applyFont="1" applyAlignment="1">
      <alignment horizontal="center" wrapText="1"/>
    </xf>
    <xf numFmtId="0" fontId="0" fillId="0" borderId="0" xfId="0" applyAlignment="1">
      <alignment horizontal="right" wrapText="1"/>
    </xf>
    <xf numFmtId="0" fontId="1" fillId="0" borderId="0" xfId="0" applyFont="1" applyAlignment="1">
      <alignment horizontal="right" wrapText="1"/>
    </xf>
    <xf numFmtId="0" fontId="0" fillId="0" borderId="0" xfId="0"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2" fontId="0" fillId="0" borderId="0" xfId="0" applyNumberFormat="1" applyAlignment="1">
      <alignment horizontal="right" wrapText="1"/>
    </xf>
    <xf numFmtId="0" fontId="31" fillId="0" borderId="0" xfId="0" applyFont="1" applyBorder="1" applyAlignment="1">
      <alignment horizontal="center" wrapText="1"/>
    </xf>
    <xf numFmtId="0" fontId="0" fillId="0" borderId="0" xfId="0" applyAlignment="1">
      <alignment vertical="center"/>
    </xf>
    <xf numFmtId="1" fontId="44" fillId="0" borderId="1" xfId="0" applyNumberFormat="1" applyFont="1" applyBorder="1" applyAlignment="1">
      <alignment vertical="center" wrapText="1"/>
    </xf>
    <xf numFmtId="1" fontId="0" fillId="0" borderId="1" xfId="0" applyNumberFormat="1" applyBorder="1" applyAlignment="1">
      <alignment vertical="center"/>
    </xf>
    <xf numFmtId="1" fontId="31" fillId="0" borderId="1" xfId="0" applyNumberFormat="1" applyFont="1" applyBorder="1" applyAlignment="1">
      <alignment vertical="center" wrapText="1"/>
    </xf>
    <xf numFmtId="164" fontId="1" fillId="0" borderId="0" xfId="0" applyNumberFormat="1" applyFont="1" applyAlignment="1">
      <alignment wrapText="1"/>
    </xf>
    <xf numFmtId="164" fontId="2" fillId="12" borderId="1" xfId="0" applyNumberFormat="1" applyFont="1" applyFill="1" applyBorder="1" applyAlignment="1">
      <alignment vertical="center"/>
    </xf>
    <xf numFmtId="0" fontId="2" fillId="0" borderId="1" xfId="0" applyFont="1" applyFill="1" applyBorder="1"/>
    <xf numFmtId="0" fontId="2" fillId="0" borderId="0" xfId="0" applyFont="1" applyAlignment="1">
      <alignment horizontal="center" vertical="center" wrapText="1"/>
    </xf>
    <xf numFmtId="10" fontId="0" fillId="0" borderId="0" xfId="5" applyNumberFormat="1" applyFont="1"/>
    <xf numFmtId="0" fontId="2" fillId="0" borderId="5" xfId="0" applyFont="1" applyBorder="1" applyAlignment="1"/>
    <xf numFmtId="170" fontId="0" fillId="0" borderId="1" xfId="1" applyNumberFormat="1" applyFont="1" applyBorder="1"/>
    <xf numFmtId="0" fontId="2" fillId="8" borderId="1" xfId="0" applyFont="1" applyFill="1" applyBorder="1" applyAlignment="1"/>
    <xf numFmtId="10" fontId="0" fillId="0" borderId="1" xfId="5" applyNumberFormat="1" applyFont="1" applyBorder="1" applyAlignment="1">
      <alignment horizontal="center"/>
    </xf>
    <xf numFmtId="170" fontId="0" fillId="0" borderId="1" xfId="0" applyNumberFormat="1" applyBorder="1"/>
    <xf numFmtId="49" fontId="1" fillId="0" borderId="1" xfId="0" applyNumberFormat="1" applyFont="1" applyBorder="1"/>
    <xf numFmtId="0" fontId="31" fillId="8" borderId="1" xfId="0" applyFont="1" applyFill="1" applyBorder="1" applyAlignment="1">
      <alignment horizontal="center" wrapText="1"/>
    </xf>
    <xf numFmtId="0" fontId="1" fillId="8" borderId="1" xfId="0" applyFont="1" applyFill="1" applyBorder="1" applyAlignment="1">
      <alignment vertical="top" wrapText="1"/>
    </xf>
    <xf numFmtId="0" fontId="1" fillId="8" borderId="1" xfId="0" applyFont="1" applyFill="1" applyBorder="1" applyAlignment="1">
      <alignment wrapText="1"/>
    </xf>
    <xf numFmtId="0" fontId="0" fillId="0" borderId="0" xfId="0" applyAlignment="1">
      <alignment horizontal="left"/>
    </xf>
    <xf numFmtId="0" fontId="2" fillId="0" borderId="0" xfId="0" applyFont="1" applyBorder="1" applyAlignment="1">
      <alignment horizontal="left"/>
    </xf>
    <xf numFmtId="3" fontId="0" fillId="0" borderId="2" xfId="0" applyNumberFormat="1" applyFill="1" applyBorder="1"/>
    <xf numFmtId="0" fontId="2" fillId="0" borderId="1" xfId="0" applyFont="1" applyBorder="1" applyAlignment="1">
      <alignment horizontal="center"/>
    </xf>
    <xf numFmtId="0" fontId="2" fillId="8" borderId="1" xfId="0" applyFont="1" applyFill="1" applyBorder="1" applyAlignment="1">
      <alignment horizontal="center"/>
    </xf>
    <xf numFmtId="14" fontId="1" fillId="0" borderId="0" xfId="0" applyNumberFormat="1" applyFont="1"/>
    <xf numFmtId="0" fontId="28" fillId="18" borderId="1" xfId="0" applyFont="1" applyFill="1" applyBorder="1"/>
    <xf numFmtId="14" fontId="31" fillId="0" borderId="1" xfId="0" applyNumberFormat="1" applyFont="1" applyBorder="1"/>
    <xf numFmtId="0" fontId="1" fillId="7" borderId="1" xfId="0" applyFont="1" applyFill="1" applyBorder="1"/>
    <xf numFmtId="0" fontId="28" fillId="0" borderId="1" xfId="0" applyFont="1" applyBorder="1"/>
    <xf numFmtId="0" fontId="28" fillId="0" borderId="1" xfId="0" applyFont="1" applyBorder="1" applyAlignment="1">
      <alignment wrapText="1"/>
    </xf>
    <xf numFmtId="0" fontId="31" fillId="8" borderId="1" xfId="0" applyFont="1" applyFill="1" applyBorder="1"/>
    <xf numFmtId="0" fontId="1" fillId="0" borderId="14" xfId="0" applyFont="1" applyBorder="1"/>
    <xf numFmtId="0" fontId="2" fillId="10" borderId="7" xfId="0" applyFont="1" applyFill="1" applyBorder="1" applyAlignment="1"/>
    <xf numFmtId="0" fontId="2" fillId="10" borderId="5" xfId="0" applyFont="1" applyFill="1" applyBorder="1" applyAlignment="1"/>
    <xf numFmtId="20" fontId="1" fillId="0" borderId="1" xfId="0" applyNumberFormat="1" applyFont="1" applyBorder="1" applyAlignment="1">
      <alignment horizontal="left"/>
    </xf>
    <xf numFmtId="0" fontId="1" fillId="0" borderId="1" xfId="0" applyFont="1" applyBorder="1" applyAlignment="1">
      <alignment horizontal="left"/>
    </xf>
    <xf numFmtId="0" fontId="46" fillId="0" borderId="1" xfId="0" applyFont="1" applyBorder="1" applyAlignment="1">
      <alignment horizontal="left"/>
    </xf>
    <xf numFmtId="0" fontId="1" fillId="0" borderId="1" xfId="0" applyFont="1" applyBorder="1" applyAlignment="1">
      <alignment vertical="top" wrapText="1"/>
    </xf>
    <xf numFmtId="0" fontId="2" fillId="8" borderId="2" xfId="0" applyFont="1" applyFill="1" applyBorder="1"/>
    <xf numFmtId="0" fontId="2" fillId="8" borderId="2" xfId="0" applyFont="1" applyFill="1" applyBorder="1" applyAlignment="1">
      <alignment wrapText="1"/>
    </xf>
    <xf numFmtId="2" fontId="1" fillId="0" borderId="1" xfId="0" applyNumberFormat="1" applyFont="1" applyBorder="1"/>
    <xf numFmtId="0" fontId="1" fillId="0" borderId="5" xfId="0" applyFont="1" applyBorder="1" applyAlignment="1">
      <alignment horizontal="left"/>
    </xf>
    <xf numFmtId="2" fontId="1" fillId="0" borderId="0" xfId="0" applyNumberFormat="1" applyFont="1" applyBorder="1"/>
    <xf numFmtId="0" fontId="1" fillId="0" borderId="15" xfId="0" applyFont="1" applyBorder="1"/>
    <xf numFmtId="0" fontId="1" fillId="0" borderId="17" xfId="0" applyFont="1" applyBorder="1"/>
    <xf numFmtId="0" fontId="1" fillId="0" borderId="17" xfId="0" applyFont="1" applyBorder="1" applyAlignment="1">
      <alignment horizontal="center"/>
    </xf>
    <xf numFmtId="20" fontId="0" fillId="0" borderId="0" xfId="0" applyNumberFormat="1" applyAlignment="1">
      <alignment horizontal="center"/>
    </xf>
    <xf numFmtId="0" fontId="0" fillId="8" borderId="1" xfId="0" applyFill="1" applyBorder="1" applyAlignment="1">
      <alignment horizontal="center"/>
    </xf>
    <xf numFmtId="0" fontId="0" fillId="0" borderId="7" xfId="0" applyBorder="1" applyAlignment="1">
      <alignment horizontal="center"/>
    </xf>
    <xf numFmtId="171" fontId="15" fillId="0" borderId="1" xfId="0" applyNumberFormat="1" applyFont="1" applyBorder="1" applyAlignment="1">
      <alignment horizontal="center"/>
    </xf>
    <xf numFmtId="0" fontId="15" fillId="0" borderId="1" xfId="0" applyFont="1" applyBorder="1" applyAlignment="1">
      <alignment horizontal="center"/>
    </xf>
    <xf numFmtId="0" fontId="2" fillId="8" borderId="11" xfId="0" applyFont="1" applyFill="1" applyBorder="1" applyAlignment="1">
      <alignment horizontal="right"/>
    </xf>
    <xf numFmtId="170" fontId="0" fillId="0" borderId="1" xfId="1" applyNumberFormat="1" applyFont="1" applyBorder="1" applyAlignment="1">
      <alignment horizontal="center" vertical="center"/>
    </xf>
    <xf numFmtId="2" fontId="0" fillId="0" borderId="0" xfId="0" applyNumberFormat="1" applyAlignment="1">
      <alignment horizontal="center"/>
    </xf>
    <xf numFmtId="0" fontId="1" fillId="8" borderId="7" xfId="0" applyFont="1" applyFill="1" applyBorder="1"/>
    <xf numFmtId="20" fontId="29" fillId="0" borderId="1" xfId="0" applyNumberFormat="1" applyFont="1" applyBorder="1"/>
    <xf numFmtId="0" fontId="0" fillId="0" borderId="0" xfId="0" applyAlignment="1">
      <alignment wrapText="1"/>
    </xf>
    <xf numFmtId="164" fontId="0" fillId="19" borderId="1" xfId="0" applyNumberFormat="1" applyFill="1" applyBorder="1" applyAlignment="1">
      <alignment horizontal="center"/>
    </xf>
    <xf numFmtId="2" fontId="2" fillId="0" borderId="0" xfId="0" applyNumberFormat="1" applyFont="1" applyAlignment="1">
      <alignment horizontal="center"/>
    </xf>
    <xf numFmtId="0" fontId="2" fillId="2" borderId="0" xfId="0" applyFont="1" applyFill="1" applyAlignment="1">
      <alignment horizontal="center"/>
    </xf>
    <xf numFmtId="0" fontId="1" fillId="0" borderId="1" xfId="0" applyNumberFormat="1" applyFont="1" applyFill="1" applyBorder="1" applyAlignment="1">
      <alignment horizontal="center"/>
    </xf>
    <xf numFmtId="0" fontId="0" fillId="0" borderId="1" xfId="0" applyFill="1" applyBorder="1" applyAlignment="1">
      <alignment horizontal="center"/>
    </xf>
    <xf numFmtId="0" fontId="3" fillId="0" borderId="1" xfId="0" applyFont="1" applyFill="1" applyBorder="1" applyAlignment="1">
      <alignment horizontal="center"/>
    </xf>
    <xf numFmtId="1" fontId="1" fillId="0" borderId="1" xfId="0" applyNumberFormat="1" applyFont="1" applyFill="1" applyBorder="1" applyAlignment="1">
      <alignment horizontal="center"/>
    </xf>
    <xf numFmtId="0" fontId="24" fillId="0" borderId="1" xfId="0" applyFont="1" applyFill="1" applyBorder="1" applyAlignment="1">
      <alignment horizontal="center"/>
    </xf>
    <xf numFmtId="164" fontId="24" fillId="0" borderId="1" xfId="0" applyNumberFormat="1" applyFont="1" applyFill="1" applyBorder="1" applyAlignment="1">
      <alignment horizontal="center"/>
    </xf>
    <xf numFmtId="1" fontId="24" fillId="0" borderId="1" xfId="0" applyNumberFormat="1" applyFont="1" applyFill="1" applyBorder="1" applyAlignment="1">
      <alignment horizontal="center"/>
    </xf>
    <xf numFmtId="3" fontId="24" fillId="19" borderId="1" xfId="0" applyNumberFormat="1" applyFont="1" applyFill="1" applyBorder="1" applyAlignment="1">
      <alignment horizontal="center"/>
    </xf>
    <xf numFmtId="3" fontId="2" fillId="11" borderId="1" xfId="0" applyNumberFormat="1" applyFont="1" applyFill="1" applyBorder="1" applyAlignment="1">
      <alignment horizontal="center"/>
    </xf>
    <xf numFmtId="14" fontId="2" fillId="19" borderId="1" xfId="0" applyNumberFormat="1" applyFont="1" applyFill="1" applyBorder="1" applyAlignment="1">
      <alignment horizontal="left"/>
    </xf>
    <xf numFmtId="0" fontId="1" fillId="19" borderId="1" xfId="0" applyFont="1" applyFill="1" applyBorder="1" applyAlignment="1">
      <alignment horizontal="left"/>
    </xf>
    <xf numFmtId="0" fontId="1" fillId="0" borderId="0" xfId="6" applyBorder="1"/>
    <xf numFmtId="3" fontId="1" fillId="0" borderId="0" xfId="6" applyNumberFormat="1" applyBorder="1"/>
    <xf numFmtId="0" fontId="6" fillId="0" borderId="0" xfId="0" applyFont="1" applyFill="1"/>
    <xf numFmtId="0" fontId="6" fillId="0" borderId="0" xfId="0" applyFont="1" applyFill="1" applyBorder="1"/>
    <xf numFmtId="3" fontId="0" fillId="0" borderId="0" xfId="0" applyNumberFormat="1" applyBorder="1"/>
    <xf numFmtId="0" fontId="0" fillId="0" borderId="0" xfId="0" applyBorder="1" applyAlignment="1">
      <alignment horizontal="right"/>
    </xf>
    <xf numFmtId="15" fontId="0" fillId="0" borderId="0" xfId="0" applyNumberFormat="1" applyBorder="1" applyAlignment="1"/>
    <xf numFmtId="0" fontId="47" fillId="2" borderId="1" xfId="0" applyFont="1" applyFill="1" applyBorder="1"/>
    <xf numFmtId="0" fontId="47" fillId="2" borderId="1" xfId="0" applyFont="1" applyFill="1" applyBorder="1" applyAlignment="1">
      <alignment horizontal="center"/>
    </xf>
    <xf numFmtId="0" fontId="29" fillId="0" borderId="1" xfId="0" applyFont="1" applyBorder="1" applyAlignment="1">
      <alignment wrapText="1"/>
    </xf>
    <xf numFmtId="164" fontId="29" fillId="0" borderId="1" xfId="0" applyNumberFormat="1" applyFont="1" applyBorder="1" applyAlignment="1">
      <alignment horizontal="center"/>
    </xf>
    <xf numFmtId="0" fontId="29" fillId="0" borderId="1" xfId="0" applyFont="1" applyBorder="1" applyAlignment="1">
      <alignment horizontal="center"/>
    </xf>
    <xf numFmtId="0" fontId="49" fillId="0" borderId="1" xfId="6" applyFont="1" applyBorder="1"/>
    <xf numFmtId="0" fontId="2" fillId="19" borderId="1" xfId="0" applyFont="1" applyFill="1" applyBorder="1" applyAlignment="1">
      <alignment wrapText="1"/>
    </xf>
    <xf numFmtId="1" fontId="0" fillId="0" borderId="1" xfId="0" applyNumberFormat="1" applyBorder="1" applyAlignment="1">
      <alignment horizontal="center" vertical="center"/>
    </xf>
    <xf numFmtId="1" fontId="0" fillId="0" borderId="0" xfId="0" applyNumberFormat="1" applyBorder="1" applyAlignment="1">
      <alignment horizontal="center" vertical="center"/>
    </xf>
    <xf numFmtId="0" fontId="1" fillId="0" borderId="0" xfId="0" applyFont="1" applyAlignment="1">
      <alignment horizontal="right"/>
    </xf>
    <xf numFmtId="0" fontId="1" fillId="0" borderId="0" xfId="0" applyFont="1" applyFill="1" applyBorder="1" applyAlignment="1">
      <alignment horizontal="right"/>
    </xf>
    <xf numFmtId="1" fontId="0" fillId="12" borderId="0" xfId="0" applyNumberFormat="1" applyFill="1" applyBorder="1" applyAlignment="1">
      <alignment horizontal="center" vertical="center"/>
    </xf>
    <xf numFmtId="0" fontId="7" fillId="0" borderId="1" xfId="0" applyFont="1" applyBorder="1" applyAlignment="1">
      <alignment horizontal="center" vertical="center"/>
    </xf>
    <xf numFmtId="164" fontId="1" fillId="0" borderId="0" xfId="0" applyNumberFormat="1" applyFont="1" applyFill="1" applyBorder="1" applyAlignment="1">
      <alignment horizontal="right"/>
    </xf>
    <xf numFmtId="0" fontId="30" fillId="8" borderId="1" xfId="0" applyFont="1" applyFill="1" applyBorder="1" applyAlignment="1">
      <alignment horizontal="center"/>
    </xf>
    <xf numFmtId="14" fontId="47" fillId="0" borderId="1" xfId="0" applyNumberFormat="1" applyFont="1" applyBorder="1" applyAlignment="1">
      <alignment vertical="top" wrapText="1"/>
    </xf>
    <xf numFmtId="0" fontId="17" fillId="0" borderId="1" xfId="0" applyFont="1" applyBorder="1" applyAlignment="1">
      <alignment vertical="top" wrapText="1"/>
    </xf>
    <xf numFmtId="20" fontId="17" fillId="0" borderId="1" xfId="0" applyNumberFormat="1" applyFont="1" applyBorder="1" applyAlignment="1">
      <alignment vertical="top" wrapText="1"/>
    </xf>
    <xf numFmtId="0" fontId="1" fillId="0" borderId="1" xfId="0" applyNumberFormat="1" applyFont="1" applyFill="1" applyBorder="1" applyAlignment="1">
      <alignment horizontal="left"/>
    </xf>
    <xf numFmtId="0" fontId="17" fillId="0" borderId="0" xfId="0" applyFont="1"/>
    <xf numFmtId="0" fontId="17" fillId="0" borderId="0" xfId="0" applyFont="1" applyAlignment="1">
      <alignment horizontal="left" indent="8"/>
    </xf>
    <xf numFmtId="0" fontId="50" fillId="0" borderId="0" xfId="0" applyFont="1"/>
    <xf numFmtId="0" fontId="17" fillId="0" borderId="0" xfId="0" applyFont="1" applyAlignment="1">
      <alignment horizontal="left" vertical="center"/>
    </xf>
    <xf numFmtId="0" fontId="17" fillId="0" borderId="1" xfId="0" applyFont="1" applyBorder="1" applyAlignment="1">
      <alignment vertical="center"/>
    </xf>
    <xf numFmtId="0" fontId="1" fillId="0" borderId="1" xfId="0" applyFont="1" applyFill="1" applyBorder="1" applyAlignment="1">
      <alignment horizontal="center" vertical="center"/>
    </xf>
    <xf numFmtId="0" fontId="30" fillId="8" borderId="1" xfId="0" applyFont="1" applyFill="1" applyBorder="1"/>
    <xf numFmtId="0" fontId="30" fillId="0" borderId="1" xfId="0" applyFont="1" applyBorder="1" applyAlignment="1">
      <alignment horizontal="center"/>
    </xf>
    <xf numFmtId="0" fontId="29" fillId="0" borderId="0" xfId="0" applyFont="1" applyBorder="1"/>
    <xf numFmtId="176" fontId="29" fillId="8" borderId="1" xfId="0" applyNumberFormat="1" applyFont="1" applyFill="1" applyBorder="1"/>
    <xf numFmtId="0" fontId="31" fillId="0" borderId="7" xfId="0" applyFont="1" applyBorder="1" applyAlignment="1">
      <alignment horizontal="center"/>
    </xf>
    <xf numFmtId="0" fontId="31" fillId="0" borderId="5" xfId="0" applyFont="1" applyBorder="1" applyAlignment="1">
      <alignment horizontal="center"/>
    </xf>
    <xf numFmtId="0" fontId="29" fillId="0" borderId="0" xfId="0" applyFont="1" applyBorder="1" applyAlignment="1">
      <alignment horizontal="center"/>
    </xf>
    <xf numFmtId="0" fontId="31" fillId="0" borderId="0" xfId="0" applyFont="1" applyFill="1" applyBorder="1"/>
    <xf numFmtId="0" fontId="28" fillId="18" borderId="0" xfId="0" applyFont="1" applyFill="1" applyBorder="1" applyAlignment="1">
      <alignment horizontal="center"/>
    </xf>
    <xf numFmtId="0" fontId="28" fillId="0" borderId="0" xfId="0" applyFont="1" applyBorder="1" applyAlignment="1">
      <alignment wrapText="1"/>
    </xf>
    <xf numFmtId="0" fontId="28" fillId="0" borderId="0" xfId="0" applyFont="1" applyFill="1" applyBorder="1" applyAlignment="1">
      <alignment horizontal="center"/>
    </xf>
    <xf numFmtId="0" fontId="1" fillId="0" borderId="2" xfId="0" applyFont="1" applyFill="1" applyBorder="1"/>
    <xf numFmtId="0" fontId="0" fillId="0" borderId="9" xfId="0" applyBorder="1"/>
    <xf numFmtId="0" fontId="0" fillId="0" borderId="2" xfId="0" applyBorder="1"/>
    <xf numFmtId="0" fontId="0" fillId="0" borderId="0" xfId="0" applyFill="1" applyBorder="1" applyAlignment="1">
      <alignment horizontal="center" vertical="center"/>
    </xf>
    <xf numFmtId="14" fontId="0" fillId="0" borderId="0" xfId="0" applyNumberFormat="1" applyBorder="1"/>
    <xf numFmtId="20" fontId="0" fillId="0" borderId="0" xfId="0" applyNumberFormat="1" applyBorder="1"/>
    <xf numFmtId="0" fontId="17" fillId="0" borderId="0" xfId="0" applyFont="1" applyFill="1" applyBorder="1" applyAlignment="1">
      <alignment vertical="top" wrapText="1"/>
    </xf>
    <xf numFmtId="20" fontId="17" fillId="0" borderId="7" xfId="0" applyNumberFormat="1" applyFont="1" applyBorder="1" applyAlignment="1">
      <alignment vertical="top" wrapText="1"/>
    </xf>
    <xf numFmtId="0" fontId="17" fillId="0" borderId="7" xfId="0" applyFont="1" applyBorder="1" applyAlignment="1">
      <alignment vertical="top" wrapText="1"/>
    </xf>
    <xf numFmtId="20" fontId="0" fillId="0" borderId="7" xfId="0" applyNumberFormat="1" applyBorder="1"/>
    <xf numFmtId="0" fontId="17" fillId="0" borderId="1" xfId="0" applyFont="1" applyFill="1" applyBorder="1" applyAlignment="1">
      <alignment vertical="top" wrapText="1"/>
    </xf>
    <xf numFmtId="2" fontId="0" fillId="0" borderId="7" xfId="0" applyNumberFormat="1" applyBorder="1"/>
    <xf numFmtId="2" fontId="0" fillId="0" borderId="7" xfId="0" applyNumberFormat="1" applyFill="1" applyBorder="1"/>
    <xf numFmtId="0" fontId="1" fillId="0" borderId="0" xfId="0" applyFont="1" applyBorder="1" applyAlignment="1"/>
    <xf numFmtId="2" fontId="1" fillId="0" borderId="0" xfId="0" applyNumberFormat="1" applyFont="1" applyFill="1" applyBorder="1"/>
    <xf numFmtId="20" fontId="0" fillId="8" borderId="1" xfId="0" applyNumberFormat="1" applyFill="1" applyBorder="1"/>
    <xf numFmtId="0" fontId="0" fillId="8" borderId="1" xfId="0" applyFill="1" applyBorder="1" applyAlignment="1">
      <alignment horizontal="center"/>
    </xf>
    <xf numFmtId="0" fontId="2" fillId="0" borderId="1" xfId="0" applyFont="1" applyBorder="1" applyAlignment="1">
      <alignment horizontal="center"/>
    </xf>
    <xf numFmtId="0" fontId="15" fillId="8" borderId="1" xfId="0" applyFont="1" applyFill="1" applyBorder="1" applyAlignment="1">
      <alignment horizontal="center"/>
    </xf>
    <xf numFmtId="14" fontId="2" fillId="0" borderId="1" xfId="0" applyNumberFormat="1" applyFont="1" applyBorder="1"/>
    <xf numFmtId="14" fontId="2" fillId="0" borderId="7" xfId="0" applyNumberFormat="1" applyFont="1" applyBorder="1"/>
    <xf numFmtId="174" fontId="2" fillId="8" borderId="7" xfId="0" applyNumberFormat="1" applyFont="1" applyFill="1" applyBorder="1" applyAlignment="1">
      <alignment horizontal="right"/>
    </xf>
    <xf numFmtId="0" fontId="2" fillId="8" borderId="1" xfId="0" applyNumberFormat="1" applyFont="1" applyFill="1" applyBorder="1"/>
    <xf numFmtId="2" fontId="15" fillId="0" borderId="1" xfId="0" applyNumberFormat="1" applyFont="1" applyFill="1" applyBorder="1" applyAlignment="1">
      <alignment horizontal="center"/>
    </xf>
    <xf numFmtId="2" fontId="24" fillId="0" borderId="1" xfId="0" applyNumberFormat="1" applyFont="1" applyBorder="1" applyAlignment="1">
      <alignment horizontal="center"/>
    </xf>
    <xf numFmtId="2" fontId="2" fillId="0" borderId="1" xfId="0" applyNumberFormat="1" applyFont="1" applyFill="1" applyBorder="1" applyAlignment="1">
      <alignment horizontal="center"/>
    </xf>
    <xf numFmtId="2" fontId="15" fillId="8" borderId="1" xfId="0" applyNumberFormat="1" applyFont="1" applyFill="1" applyBorder="1" applyAlignment="1">
      <alignment horizontal="center"/>
    </xf>
    <xf numFmtId="172" fontId="1" fillId="0" borderId="0" xfId="0" applyNumberFormat="1" applyFont="1" applyFill="1" applyBorder="1" applyAlignment="1">
      <alignment horizontal="left"/>
    </xf>
    <xf numFmtId="0" fontId="11" fillId="0" borderId="0" xfId="0" applyFont="1"/>
    <xf numFmtId="14" fontId="11" fillId="0" borderId="0" xfId="0" applyNumberFormat="1" applyFont="1"/>
    <xf numFmtId="0" fontId="11" fillId="0" borderId="0" xfId="0" applyNumberFormat="1" applyFont="1"/>
    <xf numFmtId="165" fontId="11" fillId="0" borderId="0" xfId="0" applyNumberFormat="1" applyFont="1"/>
    <xf numFmtId="3" fontId="1" fillId="19" borderId="1" xfId="0" applyNumberFormat="1" applyFont="1" applyFill="1" applyBorder="1" applyAlignment="1">
      <alignment horizontal="left"/>
    </xf>
    <xf numFmtId="14" fontId="2" fillId="8" borderId="1" xfId="0" applyNumberFormat="1" applyFont="1" applyFill="1" applyBorder="1"/>
    <xf numFmtId="0" fontId="2" fillId="2" borderId="0" xfId="0" applyFont="1" applyFill="1" applyAlignment="1">
      <alignment horizontal="center"/>
    </xf>
    <xf numFmtId="0" fontId="1" fillId="8" borderId="1" xfId="0" applyFont="1" applyFill="1" applyBorder="1" applyAlignment="1">
      <alignment horizontal="center"/>
    </xf>
    <xf numFmtId="0" fontId="0" fillId="8" borderId="1" xfId="0" applyFill="1" applyBorder="1" applyAlignment="1">
      <alignment horizontal="center"/>
    </xf>
    <xf numFmtId="0" fontId="0" fillId="0" borderId="0" xfId="0" applyAlignment="1">
      <alignment horizontal="left"/>
    </xf>
    <xf numFmtId="0" fontId="0" fillId="0" borderId="7" xfId="0" applyBorder="1" applyAlignment="1">
      <alignment horizontal="center"/>
    </xf>
    <xf numFmtId="0" fontId="2" fillId="0" borderId="1" xfId="0" applyFont="1" applyBorder="1" applyAlignment="1">
      <alignment horizontal="center"/>
    </xf>
    <xf numFmtId="0" fontId="31" fillId="0" borderId="1" xfId="0" applyFont="1" applyBorder="1" applyAlignment="1">
      <alignment horizontal="center"/>
    </xf>
    <xf numFmtId="0" fontId="1" fillId="0" borderId="1" xfId="0" applyFont="1" applyFill="1" applyBorder="1" applyAlignment="1">
      <alignment horizontal="left"/>
    </xf>
    <xf numFmtId="170" fontId="1" fillId="0" borderId="1" xfId="1" applyNumberFormat="1" applyFont="1" applyBorder="1" applyAlignment="1">
      <alignment horizontal="center" vertical="center"/>
    </xf>
    <xf numFmtId="170" fontId="15" fillId="8" borderId="1" xfId="1" applyNumberFormat="1" applyFont="1" applyFill="1" applyBorder="1" applyAlignment="1">
      <alignment horizontal="center" vertical="center"/>
    </xf>
    <xf numFmtId="170" fontId="0" fillId="8" borderId="1" xfId="1" applyNumberFormat="1" applyFont="1" applyFill="1" applyBorder="1" applyAlignment="1">
      <alignment horizontal="center" vertical="center"/>
    </xf>
    <xf numFmtId="2" fontId="2" fillId="0" borderId="0" xfId="0" applyNumberFormat="1" applyFont="1"/>
    <xf numFmtId="1" fontId="2" fillId="0" borderId="0" xfId="0" applyNumberFormat="1" applyFont="1" applyAlignment="1">
      <alignment horizontal="center"/>
    </xf>
    <xf numFmtId="1" fontId="0" fillId="0" borderId="0" xfId="0" applyNumberFormat="1" applyAlignment="1">
      <alignment horizontal="center"/>
    </xf>
    <xf numFmtId="0" fontId="2" fillId="0" borderId="11" xfId="0" applyFont="1" applyFill="1" applyBorder="1"/>
    <xf numFmtId="2" fontId="2" fillId="0" borderId="1" xfId="0" applyNumberFormat="1" applyFont="1" applyBorder="1"/>
    <xf numFmtId="164" fontId="2" fillId="0" borderId="1" xfId="0" applyNumberFormat="1" applyFont="1" applyBorder="1"/>
    <xf numFmtId="164" fontId="2" fillId="0" borderId="11" xfId="0" applyNumberFormat="1" applyFont="1" applyFill="1" applyBorder="1"/>
    <xf numFmtId="174" fontId="2" fillId="8" borderId="0" xfId="0" applyNumberFormat="1" applyFont="1" applyFill="1" applyAlignment="1">
      <alignment horizontal="center"/>
    </xf>
    <xf numFmtId="174" fontId="2" fillId="8" borderId="1" xfId="0" applyNumberFormat="1" applyFont="1" applyFill="1" applyBorder="1" applyAlignment="1">
      <alignment horizontal="center"/>
    </xf>
    <xf numFmtId="0" fontId="3" fillId="0" borderId="1" xfId="0" applyFont="1" applyBorder="1"/>
    <xf numFmtId="3" fontId="0" fillId="0" borderId="0" xfId="0" applyNumberFormat="1" applyFill="1" applyAlignment="1">
      <alignment horizontal="center"/>
    </xf>
    <xf numFmtId="3" fontId="1" fillId="0" borderId="1" xfId="0" applyNumberFormat="1" applyFont="1" applyFill="1" applyBorder="1" applyAlignment="1">
      <alignment horizontal="center"/>
    </xf>
    <xf numFmtId="164" fontId="15" fillId="2" borderId="0" xfId="0" applyNumberFormat="1" applyFont="1" applyFill="1" applyBorder="1" applyAlignment="1">
      <alignment horizontal="left" vertical="top" wrapText="1"/>
    </xf>
    <xf numFmtId="0" fontId="1" fillId="0" borderId="0" xfId="0" applyNumberFormat="1" applyFont="1" applyFill="1" applyBorder="1" applyAlignment="1">
      <alignment horizontal="center"/>
    </xf>
    <xf numFmtId="0" fontId="29" fillId="0" borderId="0" xfId="0" applyFont="1" applyFill="1" applyBorder="1"/>
    <xf numFmtId="14" fontId="29" fillId="0" borderId="0" xfId="0" applyNumberFormat="1" applyFont="1" applyFill="1" applyBorder="1"/>
    <xf numFmtId="0" fontId="30" fillId="0" borderId="0" xfId="0" applyFont="1" applyFill="1" applyBorder="1"/>
    <xf numFmtId="20" fontId="29" fillId="0" borderId="0" xfId="0" applyNumberFormat="1" applyFont="1" applyFill="1" applyBorder="1"/>
    <xf numFmtId="0" fontId="30" fillId="0" borderId="0" xfId="0" applyFont="1" applyFill="1" applyBorder="1" applyAlignment="1">
      <alignment wrapText="1"/>
    </xf>
    <xf numFmtId="9" fontId="29" fillId="0" borderId="0" xfId="0" applyNumberFormat="1" applyFont="1" applyFill="1" applyBorder="1"/>
    <xf numFmtId="0" fontId="11" fillId="0" borderId="0" xfId="0" applyFont="1" applyFill="1" applyBorder="1"/>
    <xf numFmtId="0" fontId="11" fillId="0" borderId="0" xfId="0" applyFont="1" applyFill="1" applyBorder="1" applyAlignment="1">
      <alignment wrapText="1"/>
    </xf>
    <xf numFmtId="0" fontId="29" fillId="0" borderId="0" xfId="0" applyFont="1" applyFill="1" applyBorder="1" applyAlignment="1"/>
    <xf numFmtId="0" fontId="30" fillId="0" borderId="0" xfId="0" applyFont="1" applyFill="1" applyBorder="1" applyAlignment="1"/>
    <xf numFmtId="0" fontId="0" fillId="0" borderId="0" xfId="0" applyFill="1" applyBorder="1" applyAlignment="1"/>
    <xf numFmtId="0" fontId="7" fillId="0" borderId="7" xfId="0" applyFont="1" applyBorder="1"/>
    <xf numFmtId="0" fontId="13" fillId="0" borderId="1" xfId="0" applyFont="1" applyBorder="1" applyAlignment="1"/>
    <xf numFmtId="0" fontId="13" fillId="0" borderId="1" xfId="0" applyFont="1" applyBorder="1" applyAlignment="1">
      <alignment horizontal="center"/>
    </xf>
    <xf numFmtId="2" fontId="2" fillId="2" borderId="1" xfId="0" applyNumberFormat="1" applyFont="1" applyFill="1" applyBorder="1"/>
    <xf numFmtId="2" fontId="4" fillId="2" borderId="1" xfId="0" applyNumberFormat="1" applyFont="1" applyFill="1" applyBorder="1"/>
    <xf numFmtId="2" fontId="2" fillId="2" borderId="5" xfId="0" applyNumberFormat="1" applyFont="1" applyFill="1" applyBorder="1"/>
    <xf numFmtId="175" fontId="4" fillId="2" borderId="1" xfId="0" applyNumberFormat="1" applyFont="1" applyFill="1" applyBorder="1"/>
    <xf numFmtId="175" fontId="2" fillId="5" borderId="1" xfId="0" applyNumberFormat="1" applyFont="1" applyFill="1" applyBorder="1" applyAlignment="1">
      <alignment horizontal="center"/>
    </xf>
    <xf numFmtId="165" fontId="31" fillId="0" borderId="1" xfId="0" applyNumberFormat="1" applyFont="1" applyBorder="1" applyAlignment="1">
      <alignment horizontal="center"/>
    </xf>
    <xf numFmtId="0" fontId="28" fillId="8" borderId="0" xfId="0" applyFont="1" applyFill="1" applyBorder="1" applyAlignment="1">
      <alignment horizontal="center"/>
    </xf>
    <xf numFmtId="0" fontId="31" fillId="0" borderId="0" xfId="0" applyFont="1" applyBorder="1" applyAlignment="1">
      <alignment horizontal="center"/>
    </xf>
    <xf numFmtId="0" fontId="0" fillId="0" borderId="0" xfId="0" applyBorder="1" applyAlignment="1">
      <alignment horizontal="center"/>
    </xf>
    <xf numFmtId="0" fontId="31" fillId="0" borderId="0" xfId="0" applyFont="1" applyFill="1" applyBorder="1" applyAlignment="1">
      <alignment horizontal="center"/>
    </xf>
    <xf numFmtId="0" fontId="1" fillId="8" borderId="11" xfId="0" applyFont="1" applyFill="1" applyBorder="1" applyAlignment="1">
      <alignment wrapText="1"/>
    </xf>
    <xf numFmtId="9" fontId="0" fillId="0" borderId="1" xfId="5" applyFont="1" applyBorder="1" applyAlignment="1">
      <alignment horizontal="center"/>
    </xf>
    <xf numFmtId="9" fontId="0" fillId="0" borderId="1" xfId="5" applyFont="1" applyFill="1" applyBorder="1" applyAlignment="1">
      <alignment horizontal="center"/>
    </xf>
    <xf numFmtId="0" fontId="1" fillId="8" borderId="11" xfId="0" applyFont="1" applyFill="1" applyBorder="1" applyAlignment="1">
      <alignment horizontal="center" wrapText="1"/>
    </xf>
    <xf numFmtId="0" fontId="29" fillId="0" borderId="1" xfId="0" applyFont="1" applyFill="1" applyBorder="1" applyAlignment="1">
      <alignment horizontal="center"/>
    </xf>
    <xf numFmtId="9" fontId="1" fillId="0" borderId="1" xfId="5" applyFont="1" applyBorder="1" applyAlignment="1">
      <alignment horizontal="center"/>
    </xf>
    <xf numFmtId="2" fontId="0" fillId="0" borderId="0" xfId="0" applyNumberFormat="1" applyFill="1" applyBorder="1" applyAlignment="1"/>
    <xf numFmtId="14" fontId="2" fillId="8" borderId="1" xfId="0" applyNumberFormat="1" applyFont="1" applyFill="1" applyBorder="1" applyAlignment="1">
      <alignment horizontal="center" vertical="center"/>
    </xf>
    <xf numFmtId="1" fontId="15" fillId="0" borderId="0" xfId="0" applyNumberFormat="1" applyFont="1" applyFill="1" applyBorder="1"/>
    <xf numFmtId="165" fontId="15" fillId="2" borderId="7" xfId="0" applyNumberFormat="1" applyFont="1" applyFill="1" applyBorder="1" applyAlignment="1">
      <alignment horizontal="left" vertical="top" wrapText="1"/>
    </xf>
    <xf numFmtId="164" fontId="15" fillId="2" borderId="7" xfId="0" applyNumberFormat="1" applyFont="1" applyFill="1" applyBorder="1" applyAlignment="1">
      <alignment horizontal="left" vertical="top" wrapText="1"/>
    </xf>
    <xf numFmtId="0" fontId="2" fillId="0" borderId="1" xfId="0" applyNumberFormat="1" applyFont="1" applyFill="1" applyBorder="1" applyAlignment="1">
      <alignment horizontal="center"/>
    </xf>
    <xf numFmtId="14" fontId="6" fillId="0" borderId="1" xfId="0" applyNumberFormat="1" applyFont="1" applyBorder="1"/>
    <xf numFmtId="14" fontId="0" fillId="0" borderId="1" xfId="0" applyNumberFormat="1" applyBorder="1" applyAlignment="1">
      <alignment horizontal="center"/>
    </xf>
    <xf numFmtId="2" fontId="0" fillId="0" borderId="1" xfId="0" applyNumberFormat="1" applyBorder="1" applyAlignment="1">
      <alignment horizontal="center" vertical="center"/>
    </xf>
    <xf numFmtId="2" fontId="0" fillId="0" borderId="1" xfId="0" applyNumberFormat="1" applyFill="1" applyBorder="1" applyAlignment="1">
      <alignment horizontal="center" vertical="center"/>
    </xf>
    <xf numFmtId="2" fontId="1" fillId="0" borderId="1" xfId="0" applyNumberFormat="1" applyFont="1" applyFill="1" applyBorder="1"/>
    <xf numFmtId="0" fontId="9" fillId="0" borderId="1" xfId="0" applyFont="1" applyBorder="1" applyAlignment="1">
      <alignment horizontal="center"/>
    </xf>
    <xf numFmtId="14" fontId="51" fillId="0" borderId="0" xfId="0" applyNumberFormat="1" applyFont="1"/>
    <xf numFmtId="0" fontId="9" fillId="0" borderId="1" xfId="0" applyFont="1" applyFill="1" applyBorder="1" applyAlignment="1">
      <alignment horizontal="center"/>
    </xf>
    <xf numFmtId="0" fontId="9" fillId="0" borderId="1" xfId="0" applyFont="1" applyFill="1" applyBorder="1"/>
    <xf numFmtId="0" fontId="9" fillId="0" borderId="0" xfId="0" applyFont="1" applyBorder="1"/>
    <xf numFmtId="0" fontId="9" fillId="20" borderId="1" xfId="0" applyFont="1" applyFill="1" applyBorder="1" applyAlignment="1">
      <alignment vertical="top"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52" fillId="0" borderId="1" xfId="3" applyFont="1" applyFill="1" applyBorder="1" applyAlignment="1">
      <alignment horizontal="left"/>
    </xf>
    <xf numFmtId="0" fontId="9" fillId="0" borderId="1" xfId="0" applyFont="1" applyBorder="1" applyAlignment="1">
      <alignment vertical="top"/>
    </xf>
    <xf numFmtId="0" fontId="9" fillId="0" borderId="1" xfId="0" applyFont="1" applyBorder="1" applyAlignment="1">
      <alignment horizontal="left"/>
    </xf>
    <xf numFmtId="0" fontId="9" fillId="0" borderId="0" xfId="0" applyFont="1" applyBorder="1" applyAlignment="1">
      <alignment horizontal="center"/>
    </xf>
    <xf numFmtId="0" fontId="9" fillId="0" borderId="0" xfId="0" applyFont="1" applyBorder="1" applyAlignment="1">
      <alignment horizontal="center"/>
    </xf>
    <xf numFmtId="0" fontId="54" fillId="21" borderId="1" xfId="0" applyFont="1" applyFill="1" applyBorder="1" applyAlignment="1">
      <alignment vertical="top" wrapText="1"/>
    </xf>
    <xf numFmtId="0" fontId="54" fillId="21" borderId="1" xfId="0" applyFont="1" applyFill="1" applyBorder="1" applyAlignment="1">
      <alignment horizontal="center" vertical="top" wrapText="1"/>
    </xf>
    <xf numFmtId="0" fontId="54" fillId="0" borderId="1" xfId="0" applyFont="1" applyBorder="1" applyAlignment="1">
      <alignment horizontal="center" vertical="top" wrapText="1"/>
    </xf>
    <xf numFmtId="0" fontId="55" fillId="0" borderId="1" xfId="0" applyFont="1" applyBorder="1" applyAlignment="1">
      <alignment vertical="top" wrapText="1"/>
    </xf>
    <xf numFmtId="0" fontId="17" fillId="0" borderId="1" xfId="0" applyFont="1" applyBorder="1" applyAlignment="1">
      <alignment horizontal="left"/>
    </xf>
    <xf numFmtId="0" fontId="17" fillId="0" borderId="1" xfId="0" applyFont="1" applyBorder="1" applyAlignment="1">
      <alignment horizontal="center"/>
    </xf>
    <xf numFmtId="0" fontId="55" fillId="0" borderId="0" xfId="0" applyFont="1" applyBorder="1" applyAlignment="1">
      <alignment horizontal="center" vertical="top" wrapText="1"/>
    </xf>
    <xf numFmtId="0" fontId="9" fillId="0" borderId="0" xfId="0" applyFont="1" applyFill="1"/>
    <xf numFmtId="0" fontId="20" fillId="0" borderId="1" xfId="0" applyFont="1" applyBorder="1"/>
    <xf numFmtId="0" fontId="9" fillId="0" borderId="0" xfId="0" applyFont="1" applyFill="1" applyBorder="1" applyAlignment="1">
      <alignment horizontal="center"/>
    </xf>
    <xf numFmtId="0" fontId="4" fillId="0" borderId="0" xfId="0" applyFont="1" applyFill="1" applyBorder="1" applyAlignment="1">
      <alignment horizontal="center" vertical="center"/>
    </xf>
    <xf numFmtId="44" fontId="9" fillId="0" borderId="1" xfId="7" applyFont="1" applyBorder="1"/>
    <xf numFmtId="0" fontId="9" fillId="0" borderId="0" xfId="0" applyFont="1" applyFill="1" applyBorder="1" applyAlignment="1">
      <alignment vertical="center"/>
    </xf>
    <xf numFmtId="0" fontId="4" fillId="0" borderId="1" xfId="0" applyFont="1" applyFill="1" applyBorder="1" applyAlignment="1">
      <alignment horizontal="center" vertical="center"/>
    </xf>
    <xf numFmtId="44" fontId="9" fillId="0" borderId="0" xfId="0" applyNumberFormat="1" applyFont="1" applyBorder="1"/>
    <xf numFmtId="177" fontId="9" fillId="0" borderId="1" xfId="0" applyNumberFormat="1" applyFont="1" applyBorder="1"/>
    <xf numFmtId="44" fontId="9" fillId="0" borderId="1" xfId="0" applyNumberFormat="1" applyFont="1" applyFill="1" applyBorder="1" applyAlignment="1">
      <alignment horizontal="center"/>
    </xf>
    <xf numFmtId="44" fontId="9" fillId="0" borderId="1" xfId="0" applyNumberFormat="1" applyFont="1" applyBorder="1"/>
    <xf numFmtId="44" fontId="9" fillId="0" borderId="1" xfId="7" applyFont="1" applyBorder="1" applyAlignment="1">
      <alignment horizontal="center"/>
    </xf>
    <xf numFmtId="177" fontId="9" fillId="0" borderId="1" xfId="0" applyNumberFormat="1" applyFont="1" applyBorder="1" applyAlignment="1">
      <alignment horizontal="center"/>
    </xf>
    <xf numFmtId="0" fontId="9" fillId="0" borderId="9" xfId="0" applyFont="1" applyBorder="1" applyAlignment="1">
      <alignment vertical="center" wrapText="1"/>
    </xf>
    <xf numFmtId="0" fontId="52" fillId="0" borderId="9" xfId="3" applyFont="1" applyFill="1" applyBorder="1" applyAlignment="1">
      <alignment vertical="center" wrapText="1"/>
    </xf>
    <xf numFmtId="0" fontId="9" fillId="0" borderId="0" xfId="0" applyFont="1" applyBorder="1" applyAlignment="1">
      <alignment horizontal="center"/>
    </xf>
    <xf numFmtId="0" fontId="4" fillId="0" borderId="1" xfId="0" applyFont="1" applyBorder="1" applyAlignment="1">
      <alignment horizontal="center"/>
    </xf>
    <xf numFmtId="0" fontId="55" fillId="0" borderId="1" xfId="0" applyFont="1" applyBorder="1" applyAlignment="1">
      <alignment horizontal="left" vertical="top" wrapText="1" indent="1"/>
    </xf>
    <xf numFmtId="0" fontId="55" fillId="0" borderId="1" xfId="0" applyFont="1" applyBorder="1" applyAlignment="1">
      <alignment horizontal="center" vertical="top" wrapText="1"/>
    </xf>
    <xf numFmtId="0" fontId="31" fillId="0" borderId="1" xfId="0" applyFont="1" applyBorder="1" applyAlignment="1">
      <alignment horizontal="left" vertical="top" wrapText="1"/>
    </xf>
    <xf numFmtId="0" fontId="9" fillId="0" borderId="1" xfId="0" applyFont="1" applyBorder="1" applyAlignment="1">
      <alignment horizontal="center" vertical="center"/>
    </xf>
    <xf numFmtId="0" fontId="9" fillId="0" borderId="0" xfId="0" applyFont="1" applyFill="1" applyBorder="1"/>
    <xf numFmtId="0" fontId="4" fillId="0" borderId="0" xfId="0" applyFont="1" applyFill="1" applyBorder="1" applyAlignment="1">
      <alignment vertical="center" wrapText="1"/>
    </xf>
    <xf numFmtId="0" fontId="0" fillId="0" borderId="1" xfId="0" applyNumberFormat="1" applyFill="1" applyBorder="1" applyAlignment="1">
      <alignment horizontal="center"/>
    </xf>
    <xf numFmtId="164" fontId="0" fillId="0" borderId="1" xfId="0" applyNumberFormat="1" applyFill="1" applyBorder="1" applyAlignment="1">
      <alignment horizontal="center"/>
    </xf>
    <xf numFmtId="173" fontId="1" fillId="0" borderId="1" xfId="0" applyNumberFormat="1" applyFont="1" applyFill="1" applyBorder="1" applyAlignment="1">
      <alignment horizontal="center"/>
    </xf>
    <xf numFmtId="0" fontId="9" fillId="0" borderId="0" xfId="0" applyFont="1" applyBorder="1" applyAlignment="1">
      <alignment horizontal="center"/>
    </xf>
    <xf numFmtId="0" fontId="4" fillId="8" borderId="1" xfId="0" applyFont="1" applyFill="1" applyBorder="1" applyAlignment="1">
      <alignment horizontal="center" vertical="center"/>
    </xf>
    <xf numFmtId="44" fontId="4" fillId="8" borderId="1" xfId="7" applyFont="1" applyFill="1" applyBorder="1" applyAlignment="1">
      <alignment horizontal="center" vertical="center"/>
    </xf>
    <xf numFmtId="44" fontId="9" fillId="0" borderId="1" xfId="7" applyFont="1" applyFill="1" applyBorder="1" applyAlignment="1">
      <alignment horizontal="center"/>
    </xf>
    <xf numFmtId="2" fontId="2" fillId="0" borderId="0" xfId="0" applyNumberFormat="1" applyFont="1" applyAlignment="1">
      <alignment horizontal="center"/>
    </xf>
    <xf numFmtId="0" fontId="6" fillId="0" borderId="1" xfId="0" applyFont="1" applyFill="1" applyBorder="1" applyAlignment="1">
      <alignment wrapText="1"/>
    </xf>
    <xf numFmtId="1" fontId="30" fillId="0" borderId="1" xfId="0" applyNumberFormat="1" applyFont="1" applyBorder="1" applyAlignment="1">
      <alignment horizontal="center"/>
    </xf>
    <xf numFmtId="164" fontId="30" fillId="0" borderId="1" xfId="0" applyNumberFormat="1" applyFont="1" applyBorder="1" applyAlignment="1">
      <alignment horizontal="center"/>
    </xf>
    <xf numFmtId="165" fontId="30" fillId="0" borderId="0" xfId="0" applyNumberFormat="1" applyFont="1"/>
    <xf numFmtId="165" fontId="30" fillId="0" borderId="1" xfId="0" applyNumberFormat="1" applyFont="1" applyBorder="1" applyAlignment="1">
      <alignment horizontal="right"/>
    </xf>
    <xf numFmtId="15" fontId="30" fillId="2" borderId="1" xfId="0" applyNumberFormat="1" applyFont="1" applyFill="1" applyBorder="1" applyAlignment="1">
      <alignment horizontal="center"/>
    </xf>
    <xf numFmtId="164" fontId="30" fillId="2" borderId="1" xfId="0" applyNumberFormat="1" applyFont="1" applyFill="1" applyBorder="1"/>
    <xf numFmtId="165" fontId="30" fillId="2" borderId="1" xfId="0" applyNumberFormat="1" applyFont="1" applyFill="1" applyBorder="1" applyAlignment="1">
      <alignment horizontal="left" vertical="top" wrapText="1"/>
    </xf>
    <xf numFmtId="3" fontId="30" fillId="2" borderId="1" xfId="0" applyNumberFormat="1" applyFont="1" applyFill="1" applyBorder="1" applyAlignment="1">
      <alignment horizontal="center"/>
    </xf>
    <xf numFmtId="164" fontId="30" fillId="2" borderId="1" xfId="0" applyNumberFormat="1" applyFont="1" applyFill="1" applyBorder="1" applyAlignment="1">
      <alignment horizontal="center"/>
    </xf>
    <xf numFmtId="0" fontId="30" fillId="2" borderId="1" xfId="0" applyFont="1" applyFill="1" applyBorder="1"/>
    <xf numFmtId="0" fontId="29" fillId="0" borderId="1" xfId="0" applyNumberFormat="1" applyFont="1" applyFill="1" applyBorder="1" applyAlignment="1">
      <alignment horizontal="center"/>
    </xf>
    <xf numFmtId="0" fontId="30" fillId="2" borderId="1" xfId="0" applyFont="1" applyFill="1" applyBorder="1" applyAlignment="1">
      <alignment horizontal="center"/>
    </xf>
    <xf numFmtId="0" fontId="30" fillId="2" borderId="1" xfId="0" applyFont="1" applyFill="1" applyBorder="1" applyAlignment="1">
      <alignment horizontal="right"/>
    </xf>
    <xf numFmtId="0" fontId="30" fillId="0" borderId="0" xfId="0" applyFont="1" applyFill="1" applyBorder="1" applyAlignment="1">
      <alignment horizontal="right"/>
    </xf>
    <xf numFmtId="3" fontId="30" fillId="0" borderId="0" xfId="0" applyNumberFormat="1" applyFont="1" applyFill="1" applyBorder="1" applyAlignment="1">
      <alignment horizontal="center"/>
    </xf>
    <xf numFmtId="1" fontId="29" fillId="0" borderId="1" xfId="0" applyNumberFormat="1" applyFont="1" applyFill="1" applyBorder="1" applyAlignment="1">
      <alignment horizontal="center"/>
    </xf>
    <xf numFmtId="165" fontId="30" fillId="0" borderId="1" xfId="0" applyNumberFormat="1" applyFont="1" applyFill="1" applyBorder="1" applyAlignment="1">
      <alignment horizontal="left" vertical="top" wrapText="1"/>
    </xf>
    <xf numFmtId="3" fontId="30" fillId="0" borderId="1" xfId="0" applyNumberFormat="1" applyFont="1" applyFill="1" applyBorder="1" applyAlignment="1">
      <alignment horizontal="center"/>
    </xf>
    <xf numFmtId="0" fontId="30" fillId="0" borderId="1" xfId="0" applyFont="1" applyBorder="1"/>
    <xf numFmtId="1" fontId="30" fillId="0" borderId="2" xfId="0" applyNumberFormat="1" applyFont="1" applyBorder="1" applyAlignment="1">
      <alignment horizontal="center"/>
    </xf>
    <xf numFmtId="164" fontId="30" fillId="2" borderId="2" xfId="0" applyNumberFormat="1" applyFont="1" applyFill="1" applyBorder="1" applyAlignment="1">
      <alignment horizontal="center"/>
    </xf>
    <xf numFmtId="1" fontId="30" fillId="2" borderId="1" xfId="0" applyNumberFormat="1" applyFont="1" applyFill="1" applyBorder="1" applyAlignment="1">
      <alignment horizontal="center"/>
    </xf>
    <xf numFmtId="0" fontId="30" fillId="2" borderId="1" xfId="0" applyFont="1" applyFill="1" applyBorder="1" applyAlignment="1">
      <alignment wrapText="1"/>
    </xf>
    <xf numFmtId="15" fontId="30" fillId="2" borderId="1" xfId="0" applyNumberFormat="1" applyFont="1" applyFill="1" applyBorder="1"/>
    <xf numFmtId="164" fontId="30" fillId="0" borderId="4" xfId="0" applyNumberFormat="1" applyFont="1" applyBorder="1" applyAlignment="1">
      <alignment horizontal="center"/>
    </xf>
    <xf numFmtId="3" fontId="29" fillId="0" borderId="1" xfId="0" applyNumberFormat="1" applyFont="1" applyBorder="1" applyAlignment="1">
      <alignment horizontal="center"/>
    </xf>
    <xf numFmtId="0" fontId="29" fillId="0" borderId="1" xfId="0" applyFont="1" applyBorder="1" applyAlignment="1">
      <alignment horizontal="left"/>
    </xf>
    <xf numFmtId="0" fontId="29" fillId="0" borderId="7" xfId="0" applyFont="1" applyFill="1" applyBorder="1" applyAlignment="1">
      <alignment horizontal="left"/>
    </xf>
    <xf numFmtId="0" fontId="29" fillId="0" borderId="7" xfId="0" applyFont="1" applyBorder="1" applyAlignment="1">
      <alignment horizontal="left"/>
    </xf>
    <xf numFmtId="0" fontId="30" fillId="8" borderId="1" xfId="0" applyFont="1" applyFill="1" applyBorder="1" applyAlignment="1">
      <alignment horizontal="center" vertical="top" wrapText="1"/>
    </xf>
    <xf numFmtId="0" fontId="30" fillId="8" borderId="7" xfId="0" applyFont="1" applyFill="1" applyBorder="1" applyAlignment="1">
      <alignment horizontal="center" vertical="top" wrapText="1"/>
    </xf>
    <xf numFmtId="0" fontId="9" fillId="0" borderId="1" xfId="0" applyFont="1" applyBorder="1" applyAlignment="1">
      <alignment horizontal="right" vertical="center"/>
    </xf>
    <xf numFmtId="0" fontId="4" fillId="8" borderId="1" xfId="0" applyFont="1" applyFill="1" applyBorder="1" applyAlignment="1">
      <alignment horizontal="center"/>
    </xf>
    <xf numFmtId="0" fontId="1" fillId="8" borderId="9" xfId="0" applyFont="1" applyFill="1" applyBorder="1"/>
    <xf numFmtId="1" fontId="0" fillId="0" borderId="1" xfId="0" applyNumberFormat="1" applyBorder="1" applyAlignment="1">
      <alignment horizontal="center"/>
    </xf>
    <xf numFmtId="3" fontId="0" fillId="8" borderId="1" xfId="0" applyNumberFormat="1" applyFill="1" applyBorder="1"/>
    <xf numFmtId="165" fontId="15" fillId="2" borderId="5" xfId="0" applyNumberFormat="1" applyFont="1" applyFill="1" applyBorder="1"/>
    <xf numFmtId="165" fontId="15" fillId="2" borderId="1" xfId="0" applyNumberFormat="1" applyFont="1" applyFill="1" applyBorder="1"/>
    <xf numFmtId="165" fontId="29" fillId="0" borderId="1" xfId="0" applyNumberFormat="1" applyFont="1" applyBorder="1" applyAlignment="1">
      <alignment horizontal="center"/>
    </xf>
    <xf numFmtId="165" fontId="30" fillId="0" borderId="0" xfId="0" applyNumberFormat="1" applyFont="1" applyBorder="1" applyAlignment="1">
      <alignment horizontal="right"/>
    </xf>
    <xf numFmtId="1" fontId="30" fillId="0" borderId="0" xfId="0" applyNumberFormat="1" applyFont="1" applyBorder="1" applyAlignment="1">
      <alignment horizontal="center"/>
    </xf>
    <xf numFmtId="164" fontId="30" fillId="0" borderId="0" xfId="0" applyNumberFormat="1" applyFont="1" applyBorder="1" applyAlignment="1">
      <alignment horizontal="center"/>
    </xf>
    <xf numFmtId="165" fontId="30" fillId="0" borderId="0" xfId="0" applyNumberFormat="1" applyFont="1" applyFill="1" applyBorder="1" applyAlignment="1">
      <alignment horizontal="left" vertical="top" wrapText="1"/>
    </xf>
    <xf numFmtId="0" fontId="30" fillId="0" borderId="6" xfId="0" applyFont="1" applyFill="1" applyBorder="1" applyAlignment="1">
      <alignment horizontal="right"/>
    </xf>
    <xf numFmtId="164" fontId="30" fillId="0" borderId="1" xfId="0" applyNumberFormat="1" applyFont="1" applyFill="1" applyBorder="1" applyAlignment="1">
      <alignment horizontal="center"/>
    </xf>
    <xf numFmtId="164" fontId="30" fillId="0" borderId="4" xfId="0" applyNumberFormat="1" applyFont="1" applyFill="1" applyBorder="1" applyAlignment="1">
      <alignment horizontal="center"/>
    </xf>
    <xf numFmtId="165" fontId="29" fillId="0" borderId="1" xfId="0" applyNumberFormat="1" applyFont="1" applyFill="1" applyBorder="1" applyAlignment="1">
      <alignment horizontal="left" vertical="top" wrapText="1"/>
    </xf>
    <xf numFmtId="0" fontId="2" fillId="0" borderId="0" xfId="0" applyFont="1" applyBorder="1" applyAlignment="1">
      <alignment horizontal="center"/>
    </xf>
    <xf numFmtId="0" fontId="15" fillId="0" borderId="0" xfId="0" applyFont="1" applyBorder="1"/>
    <xf numFmtId="0" fontId="0" fillId="0" borderId="0" xfId="0" applyBorder="1" applyAlignment="1">
      <alignment horizontal="left"/>
    </xf>
    <xf numFmtId="15" fontId="0" fillId="0" borderId="0" xfId="0" applyNumberFormat="1" applyFill="1" applyBorder="1"/>
    <xf numFmtId="15" fontId="0" fillId="0" borderId="0" xfId="0" applyNumberFormat="1" applyFill="1" applyBorder="1" applyAlignment="1"/>
    <xf numFmtId="0" fontId="11" fillId="0" borderId="1" xfId="0" applyFont="1" applyBorder="1" applyAlignment="1">
      <alignment horizontal="right"/>
    </xf>
    <xf numFmtId="0" fontId="15" fillId="0" borderId="1" xfId="0" applyFont="1" applyBorder="1"/>
    <xf numFmtId="0" fontId="0" fillId="0" borderId="1" xfId="0" applyBorder="1" applyAlignment="1">
      <alignment horizontal="fill"/>
    </xf>
    <xf numFmtId="0" fontId="0" fillId="0" borderId="0" xfId="0" applyBorder="1" applyAlignment="1"/>
    <xf numFmtId="15" fontId="11" fillId="0" borderId="1" xfId="0" applyNumberFormat="1" applyFont="1" applyBorder="1" applyAlignment="1">
      <alignment horizontal="center"/>
    </xf>
    <xf numFmtId="0" fontId="11" fillId="0" borderId="1" xfId="0" applyFont="1" applyBorder="1" applyAlignment="1">
      <alignment horizontal="center"/>
    </xf>
    <xf numFmtId="3" fontId="6" fillId="0" borderId="1" xfId="0" applyNumberFormat="1" applyFont="1" applyBorder="1" applyAlignment="1">
      <alignment horizontal="right"/>
    </xf>
    <xf numFmtId="164" fontId="6" fillId="0" borderId="1" xfId="0" applyNumberFormat="1" applyFont="1" applyBorder="1" applyAlignment="1">
      <alignment horizontal="right"/>
    </xf>
    <xf numFmtId="0" fontId="11" fillId="0" borderId="0" xfId="0" applyFont="1" applyFill="1" applyBorder="1" applyAlignment="1">
      <alignment horizontal="left"/>
    </xf>
    <xf numFmtId="3" fontId="6" fillId="0" borderId="0" xfId="0" applyNumberFormat="1" applyFont="1" applyFill="1" applyBorder="1" applyAlignment="1">
      <alignment horizontal="right"/>
    </xf>
    <xf numFmtId="3" fontId="6" fillId="0" borderId="0" xfId="6" applyNumberFormat="1" applyFont="1" applyFill="1" applyBorder="1" applyAlignment="1">
      <alignment horizontal="right"/>
    </xf>
    <xf numFmtId="16" fontId="11" fillId="0" borderId="1" xfId="0" applyNumberFormat="1" applyFont="1" applyFill="1" applyBorder="1" applyAlignment="1">
      <alignment horizontal="left"/>
    </xf>
    <xf numFmtId="15" fontId="11" fillId="0" borderId="1" xfId="0" applyNumberFormat="1" applyFont="1" applyFill="1" applyBorder="1" applyAlignment="1">
      <alignment horizontal="left"/>
    </xf>
    <xf numFmtId="169" fontId="11" fillId="0" borderId="1" xfId="6" applyNumberFormat="1" applyFont="1" applyFill="1" applyBorder="1" applyAlignment="1">
      <alignment horizontal="right"/>
    </xf>
    <xf numFmtId="164" fontId="6" fillId="0" borderId="0" xfId="6" applyNumberFormat="1" applyFont="1" applyFill="1" applyBorder="1" applyAlignment="1">
      <alignment horizontal="right"/>
    </xf>
    <xf numFmtId="164" fontId="6" fillId="0" borderId="0" xfId="0" applyNumberFormat="1" applyFont="1" applyFill="1" applyBorder="1" applyAlignment="1">
      <alignment horizontal="right"/>
    </xf>
    <xf numFmtId="0" fontId="11" fillId="0" borderId="7" xfId="0" applyFont="1" applyBorder="1" applyAlignment="1">
      <alignment horizontal="right"/>
    </xf>
    <xf numFmtId="3" fontId="11" fillId="0" borderId="1" xfId="0" applyNumberFormat="1" applyFont="1" applyFill="1" applyBorder="1" applyAlignment="1">
      <alignment horizontal="left"/>
    </xf>
    <xf numFmtId="1" fontId="6" fillId="0" borderId="0" xfId="0" applyNumberFormat="1" applyFont="1" applyFill="1" applyBorder="1"/>
    <xf numFmtId="170" fontId="6" fillId="0" borderId="0" xfId="1" applyNumberFormat="1" applyFont="1" applyFill="1" applyBorder="1"/>
    <xf numFmtId="0" fontId="1" fillId="0" borderId="0" xfId="6" applyFill="1" applyBorder="1"/>
    <xf numFmtId="3" fontId="0" fillId="0" borderId="0" xfId="0" applyNumberFormat="1" applyFill="1" applyBorder="1"/>
    <xf numFmtId="3" fontId="1" fillId="0" borderId="0" xfId="6" applyNumberFormat="1" applyFill="1" applyBorder="1"/>
    <xf numFmtId="170" fontId="0" fillId="0" borderId="0" xfId="0" applyNumberFormat="1" applyBorder="1"/>
    <xf numFmtId="3" fontId="2" fillId="8" borderId="1" xfId="0" applyNumberFormat="1" applyFont="1" applyFill="1" applyBorder="1"/>
    <xf numFmtId="170" fontId="29" fillId="0" borderId="1" xfId="1" applyNumberFormat="1" applyFont="1" applyBorder="1" applyAlignment="1">
      <alignment horizontal="center" vertical="center"/>
    </xf>
    <xf numFmtId="170" fontId="29" fillId="0" borderId="1" xfId="1" applyNumberFormat="1" applyFont="1" applyBorder="1" applyAlignment="1">
      <alignment horizontal="center"/>
    </xf>
    <xf numFmtId="3" fontId="31" fillId="0" borderId="1" xfId="0" applyNumberFormat="1" applyFont="1" applyBorder="1"/>
    <xf numFmtId="0" fontId="6" fillId="0" borderId="1" xfId="0" applyFont="1" applyBorder="1" applyAlignment="1">
      <alignment horizontal="left"/>
    </xf>
    <xf numFmtId="0" fontId="49" fillId="0" borderId="7" xfId="6" applyFont="1" applyBorder="1"/>
    <xf numFmtId="0" fontId="6" fillId="0" borderId="5" xfId="0" applyFont="1" applyBorder="1" applyAlignment="1">
      <alignment horizontal="left"/>
    </xf>
    <xf numFmtId="1" fontId="3" fillId="0" borderId="0" xfId="0" applyNumberFormat="1" applyFont="1"/>
    <xf numFmtId="0" fontId="47" fillId="0" borderId="0" xfId="0" applyFont="1" applyAlignment="1">
      <alignment horizontal="center"/>
    </xf>
    <xf numFmtId="0" fontId="30" fillId="8" borderId="1" xfId="0" applyFont="1" applyFill="1" applyBorder="1" applyAlignment="1">
      <alignment horizontal="center"/>
    </xf>
    <xf numFmtId="0" fontId="29" fillId="8" borderId="1" xfId="0" applyFont="1" applyFill="1" applyBorder="1" applyAlignment="1">
      <alignment horizontal="center"/>
    </xf>
    <xf numFmtId="0" fontId="30" fillId="0" borderId="9" xfId="0" applyFont="1" applyFill="1" applyBorder="1" applyAlignment="1">
      <alignment horizontal="center" vertical="top" wrapText="1"/>
    </xf>
    <xf numFmtId="0" fontId="30" fillId="0" borderId="11" xfId="0" applyFont="1" applyFill="1" applyBorder="1" applyAlignment="1">
      <alignment horizontal="center" vertical="top" wrapText="1"/>
    </xf>
    <xf numFmtId="0" fontId="30" fillId="0" borderId="2" xfId="0" applyFont="1" applyFill="1" applyBorder="1" applyAlignment="1">
      <alignment horizontal="center" vertical="top" wrapText="1"/>
    </xf>
    <xf numFmtId="0" fontId="48" fillId="0" borderId="12" xfId="0" applyFont="1" applyBorder="1" applyAlignment="1">
      <alignment horizontal="center"/>
    </xf>
    <xf numFmtId="0" fontId="30" fillId="8" borderId="7" xfId="0" applyFont="1" applyFill="1" applyBorder="1" applyAlignment="1">
      <alignment horizontal="center"/>
    </xf>
    <xf numFmtId="0" fontId="30" fillId="8" borderId="5" xfId="0" applyFont="1" applyFill="1" applyBorder="1" applyAlignment="1">
      <alignment horizontal="center"/>
    </xf>
    <xf numFmtId="0" fontId="10" fillId="0" borderId="9" xfId="0" applyFont="1" applyBorder="1" applyAlignment="1">
      <alignment vertical="top" wrapText="1"/>
    </xf>
    <xf numFmtId="0" fontId="10" fillId="0" borderId="11" xfId="0" applyFont="1" applyBorder="1" applyAlignment="1">
      <alignment vertical="top" wrapText="1"/>
    </xf>
    <xf numFmtId="0" fontId="10" fillId="0" borderId="2" xfId="0" applyFont="1" applyBorder="1" applyAlignment="1">
      <alignment vertical="top" wrapText="1"/>
    </xf>
    <xf numFmtId="0" fontId="4" fillId="0" borderId="0" xfId="0" applyFont="1" applyBorder="1" applyAlignment="1">
      <alignment horizontal="center"/>
    </xf>
    <xf numFmtId="0" fontId="9" fillId="0" borderId="0" xfId="0" applyFont="1" applyBorder="1" applyAlignment="1">
      <alignment horizontal="center"/>
    </xf>
    <xf numFmtId="0" fontId="2" fillId="2" borderId="9" xfId="0" applyFont="1" applyFill="1" applyBorder="1" applyAlignment="1">
      <alignment horizontal="center" wrapText="1"/>
    </xf>
    <xf numFmtId="0" fontId="2" fillId="2" borderId="2" xfId="0" applyFont="1" applyFill="1" applyBorder="1" applyAlignment="1">
      <alignment horizontal="center" wrapText="1"/>
    </xf>
    <xf numFmtId="0" fontId="2" fillId="2" borderId="9" xfId="0" applyFont="1" applyFill="1" applyBorder="1" applyAlignment="1">
      <alignment horizontal="center"/>
    </xf>
    <xf numFmtId="0" fontId="2" fillId="2" borderId="2" xfId="0" applyFont="1" applyFill="1" applyBorder="1" applyAlignment="1">
      <alignment horizontal="center"/>
    </xf>
    <xf numFmtId="0" fontId="2" fillId="2" borderId="1" xfId="0" applyFont="1" applyFill="1" applyBorder="1" applyAlignment="1">
      <alignment horizontal="center"/>
    </xf>
    <xf numFmtId="0" fontId="10" fillId="0" borderId="9" xfId="0" applyFont="1" applyFill="1" applyBorder="1" applyAlignment="1">
      <alignment vertical="top" wrapText="1"/>
    </xf>
    <xf numFmtId="0" fontId="10" fillId="0" borderId="11" xfId="0" applyFont="1" applyFill="1" applyBorder="1" applyAlignment="1">
      <alignment vertical="top" wrapText="1"/>
    </xf>
    <xf numFmtId="0" fontId="10" fillId="0" borderId="2" xfId="0" applyFont="1" applyFill="1" applyBorder="1" applyAlignment="1">
      <alignment vertical="top" wrapText="1"/>
    </xf>
    <xf numFmtId="0" fontId="10" fillId="0" borderId="9" xfId="0" applyFont="1" applyBorder="1" applyAlignment="1">
      <alignment horizontal="left" vertical="top" wrapText="1"/>
    </xf>
    <xf numFmtId="0" fontId="10" fillId="0" borderId="11" xfId="0" applyFont="1" applyBorder="1" applyAlignment="1">
      <alignment horizontal="left" vertical="top" wrapText="1"/>
    </xf>
    <xf numFmtId="0" fontId="10" fillId="0" borderId="2" xfId="0" applyFont="1" applyBorder="1" applyAlignment="1">
      <alignment horizontal="left" vertical="top" wrapText="1"/>
    </xf>
    <xf numFmtId="0" fontId="4" fillId="0" borderId="0" xfId="0" applyFont="1" applyAlignment="1">
      <alignment horizontal="center"/>
    </xf>
    <xf numFmtId="0" fontId="30" fillId="0" borderId="0" xfId="0" applyFont="1" applyAlignment="1">
      <alignment horizontal="center"/>
    </xf>
    <xf numFmtId="165" fontId="30" fillId="0" borderId="1" xfId="0" applyNumberFormat="1" applyFont="1" applyBorder="1" applyAlignment="1">
      <alignment horizontal="center"/>
    </xf>
    <xf numFmtId="0" fontId="2" fillId="0" borderId="0" xfId="0" applyFont="1" applyAlignment="1">
      <alignment horizontal="center"/>
    </xf>
    <xf numFmtId="2" fontId="2" fillId="0" borderId="0" xfId="0" applyNumberFormat="1" applyFont="1" applyAlignment="1">
      <alignment horizontal="center"/>
    </xf>
    <xf numFmtId="0" fontId="2" fillId="0" borderId="0" xfId="0" applyFont="1" applyAlignment="1">
      <alignment horizontal="left"/>
    </xf>
    <xf numFmtId="0" fontId="2" fillId="2" borderId="0" xfId="0" applyFont="1" applyFill="1" applyAlignment="1">
      <alignment horizontal="center"/>
    </xf>
    <xf numFmtId="165" fontId="4" fillId="0" borderId="12" xfId="0" applyNumberFormat="1" applyFont="1" applyBorder="1" applyAlignment="1">
      <alignment horizontal="center"/>
    </xf>
    <xf numFmtId="0" fontId="0" fillId="0" borderId="0" xfId="0" applyBorder="1" applyAlignment="1">
      <alignment horizontal="center" wrapText="1"/>
    </xf>
    <xf numFmtId="0" fontId="11" fillId="5" borderId="1" xfId="0" applyFont="1" applyFill="1" applyBorder="1" applyAlignment="1">
      <alignment horizontal="center" wrapText="1"/>
    </xf>
    <xf numFmtId="0" fontId="4" fillId="0" borderId="7" xfId="0" applyFont="1" applyBorder="1" applyAlignment="1">
      <alignment horizontal="center"/>
    </xf>
    <xf numFmtId="0" fontId="4" fillId="0" borderId="14" xfId="0" applyFont="1" applyBorder="1" applyAlignment="1">
      <alignment horizontal="center"/>
    </xf>
    <xf numFmtId="0" fontId="4" fillId="0" borderId="5" xfId="0" applyFont="1" applyBorder="1" applyAlignment="1">
      <alignment horizontal="center"/>
    </xf>
    <xf numFmtId="164" fontId="4" fillId="9" borderId="7" xfId="0" applyNumberFormat="1" applyFont="1" applyFill="1" applyBorder="1" applyAlignment="1">
      <alignment horizontal="center"/>
    </xf>
    <xf numFmtId="164" fontId="4" fillId="9" borderId="14" xfId="0" applyNumberFormat="1" applyFont="1" applyFill="1" applyBorder="1" applyAlignment="1">
      <alignment horizontal="center"/>
    </xf>
    <xf numFmtId="164" fontId="4" fillId="9" borderId="5" xfId="0" applyNumberFormat="1" applyFont="1" applyFill="1" applyBorder="1" applyAlignment="1">
      <alignment horizontal="center"/>
    </xf>
    <xf numFmtId="0" fontId="1" fillId="8" borderId="1" xfId="0" applyFont="1" applyFill="1" applyBorder="1" applyAlignment="1">
      <alignment horizontal="center"/>
    </xf>
    <xf numFmtId="0" fontId="0" fillId="8" borderId="1" xfId="0" applyFill="1" applyBorder="1" applyAlignment="1">
      <alignment horizontal="center"/>
    </xf>
    <xf numFmtId="0" fontId="1" fillId="8" borderId="1" xfId="0" applyFont="1" applyFill="1" applyBorder="1" applyAlignment="1">
      <alignment horizontal="center" wrapText="1"/>
    </xf>
    <xf numFmtId="0" fontId="2" fillId="8" borderId="1" xfId="0" applyFont="1" applyFill="1" applyBorder="1" applyAlignment="1">
      <alignment horizontal="center" wrapText="1"/>
    </xf>
    <xf numFmtId="0" fontId="11" fillId="8" borderId="7" xfId="0" applyFont="1" applyFill="1" applyBorder="1" applyAlignment="1">
      <alignment horizontal="center"/>
    </xf>
    <xf numFmtId="0" fontId="11" fillId="8" borderId="14" xfId="0" applyFont="1" applyFill="1" applyBorder="1"/>
    <xf numFmtId="0" fontId="11" fillId="8" borderId="5" xfId="0" applyFont="1" applyFill="1" applyBorder="1"/>
    <xf numFmtId="0" fontId="1" fillId="9" borderId="7" xfId="0" applyFont="1" applyFill="1" applyBorder="1" applyAlignment="1">
      <alignment horizontal="center"/>
    </xf>
    <xf numFmtId="0" fontId="1" fillId="9" borderId="14" xfId="0" applyFont="1" applyFill="1" applyBorder="1" applyAlignment="1">
      <alignment horizontal="center"/>
    </xf>
    <xf numFmtId="0" fontId="1" fillId="9" borderId="5" xfId="0" applyFont="1" applyFill="1" applyBorder="1" applyAlignment="1">
      <alignment horizontal="center"/>
    </xf>
    <xf numFmtId="0" fontId="1" fillId="13" borderId="7" xfId="0" applyFont="1" applyFill="1" applyBorder="1" applyAlignment="1">
      <alignment horizontal="center"/>
    </xf>
    <xf numFmtId="0" fontId="1" fillId="13" borderId="14" xfId="0" applyFont="1" applyFill="1" applyBorder="1" applyAlignment="1">
      <alignment horizontal="center"/>
    </xf>
    <xf numFmtId="0" fontId="1" fillId="13" borderId="5" xfId="0" applyFont="1" applyFill="1" applyBorder="1" applyAlignment="1">
      <alignment horizontal="center"/>
    </xf>
    <xf numFmtId="0" fontId="0" fillId="0" borderId="0" xfId="0" applyAlignment="1">
      <alignment horizontal="left"/>
    </xf>
    <xf numFmtId="0" fontId="2" fillId="0" borderId="12" xfId="0" applyFont="1" applyBorder="1" applyAlignment="1">
      <alignment horizontal="center"/>
    </xf>
    <xf numFmtId="15" fontId="11" fillId="0" borderId="1" xfId="0" applyNumberFormat="1" applyFont="1" applyBorder="1" applyAlignment="1">
      <alignment horizontal="center"/>
    </xf>
    <xf numFmtId="0" fontId="2" fillId="0" borderId="0" xfId="0" applyFont="1" applyFill="1" applyBorder="1" applyAlignment="1">
      <alignment horizontal="center"/>
    </xf>
    <xf numFmtId="15" fontId="15" fillId="0" borderId="7" xfId="0" applyNumberFormat="1" applyFont="1" applyBorder="1" applyAlignment="1">
      <alignment horizontal="center"/>
    </xf>
    <xf numFmtId="15" fontId="15" fillId="0" borderId="14" xfId="0" applyNumberFormat="1" applyFont="1" applyBorder="1" applyAlignment="1">
      <alignment horizontal="center"/>
    </xf>
    <xf numFmtId="15" fontId="15" fillId="0" borderId="5" xfId="0" applyNumberFormat="1" applyFont="1" applyBorder="1" applyAlignment="1">
      <alignment horizontal="center"/>
    </xf>
    <xf numFmtId="0" fontId="15" fillId="0" borderId="7" xfId="0" applyFont="1" applyBorder="1" applyAlignment="1">
      <alignment horizontal="center"/>
    </xf>
    <xf numFmtId="0" fontId="15" fillId="0" borderId="14" xfId="0" applyFont="1" applyBorder="1" applyAlignment="1">
      <alignment horizontal="center"/>
    </xf>
    <xf numFmtId="0" fontId="15" fillId="0" borderId="5" xfId="0" applyFont="1" applyBorder="1" applyAlignment="1">
      <alignment horizontal="center"/>
    </xf>
    <xf numFmtId="0" fontId="2" fillId="8" borderId="7" xfId="0" applyFont="1" applyFill="1" applyBorder="1" applyAlignment="1">
      <alignment horizontal="center"/>
    </xf>
    <xf numFmtId="0" fontId="2" fillId="8" borderId="5" xfId="0" applyFont="1" applyFill="1" applyBorder="1" applyAlignment="1">
      <alignment horizontal="center"/>
    </xf>
    <xf numFmtId="0" fontId="15" fillId="8" borderId="9" xfId="0" applyFont="1" applyFill="1" applyBorder="1" applyAlignment="1">
      <alignment horizontal="center" vertical="center"/>
    </xf>
    <xf numFmtId="0" fontId="15" fillId="8" borderId="11" xfId="0" applyFont="1" applyFill="1" applyBorder="1" applyAlignment="1">
      <alignment horizontal="center" vertical="center"/>
    </xf>
    <xf numFmtId="0" fontId="15" fillId="8" borderId="2" xfId="0" applyFont="1" applyFill="1" applyBorder="1" applyAlignment="1">
      <alignment horizontal="center" vertical="center"/>
    </xf>
    <xf numFmtId="0" fontId="1" fillId="0" borderId="9" xfId="0" applyFont="1" applyBorder="1" applyAlignment="1">
      <alignment horizontal="left" vertical="top" wrapText="1"/>
    </xf>
    <xf numFmtId="0" fontId="1" fillId="0" borderId="11" xfId="0" applyFont="1" applyBorder="1" applyAlignment="1">
      <alignment horizontal="left" vertical="top" wrapText="1"/>
    </xf>
    <xf numFmtId="0" fontId="3" fillId="0" borderId="11" xfId="0" applyFont="1" applyBorder="1" applyAlignment="1">
      <alignment horizontal="left" vertical="top" wrapText="1"/>
    </xf>
    <xf numFmtId="0" fontId="3" fillId="0" borderId="2" xfId="0" applyFont="1" applyBorder="1" applyAlignment="1">
      <alignment horizontal="left" vertical="top" wrapText="1"/>
    </xf>
    <xf numFmtId="0" fontId="0" fillId="0" borderId="11" xfId="0" applyBorder="1" applyAlignment="1">
      <alignment horizontal="left" vertical="top" wrapText="1"/>
    </xf>
    <xf numFmtId="0" fontId="0" fillId="0" borderId="2" xfId="0" applyBorder="1" applyAlignment="1">
      <alignment horizontal="left" vertical="top" wrapText="1"/>
    </xf>
    <xf numFmtId="0" fontId="1" fillId="8" borderId="9" xfId="0" applyFont="1" applyFill="1" applyBorder="1" applyAlignment="1">
      <alignment horizontal="left" vertical="top" wrapText="1"/>
    </xf>
    <xf numFmtId="0" fontId="0" fillId="8" borderId="11" xfId="0" applyFill="1" applyBorder="1" applyAlignment="1">
      <alignment horizontal="left" vertical="top" wrapText="1"/>
    </xf>
    <xf numFmtId="0" fontId="0" fillId="8" borderId="2" xfId="0" applyFill="1" applyBorder="1" applyAlignment="1">
      <alignment horizontal="left" vertical="top" wrapText="1"/>
    </xf>
    <xf numFmtId="0" fontId="13" fillId="8" borderId="1" xfId="0" applyFont="1" applyFill="1" applyBorder="1" applyAlignment="1">
      <alignment horizontal="center" vertical="center"/>
    </xf>
    <xf numFmtId="0" fontId="13" fillId="14" borderId="9"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13" fillId="14" borderId="9" xfId="0" applyFont="1" applyFill="1" applyBorder="1" applyAlignment="1">
      <alignment horizontal="center" vertical="center"/>
    </xf>
    <xf numFmtId="0" fontId="13" fillId="14" borderId="2" xfId="0" applyFont="1" applyFill="1" applyBorder="1" applyAlignment="1">
      <alignment horizontal="center" vertical="center"/>
    </xf>
    <xf numFmtId="14" fontId="13" fillId="15" borderId="7" xfId="0" applyNumberFormat="1" applyFont="1" applyFill="1" applyBorder="1" applyAlignment="1">
      <alignment horizontal="center"/>
    </xf>
    <xf numFmtId="14" fontId="13" fillId="15" borderId="14" xfId="0" applyNumberFormat="1" applyFont="1" applyFill="1" applyBorder="1" applyAlignment="1">
      <alignment horizontal="center"/>
    </xf>
    <xf numFmtId="14" fontId="13" fillId="15" borderId="5" xfId="0" applyNumberFormat="1" applyFont="1" applyFill="1" applyBorder="1" applyAlignment="1">
      <alignment horizontal="center"/>
    </xf>
    <xf numFmtId="0" fontId="13" fillId="8" borderId="7"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5" xfId="0" applyFont="1" applyFill="1" applyBorder="1" applyAlignment="1">
      <alignment horizontal="center" vertical="center"/>
    </xf>
    <xf numFmtId="0" fontId="13" fillId="8" borderId="7" xfId="0" applyFont="1" applyFill="1" applyBorder="1" applyAlignment="1">
      <alignment horizontal="center"/>
    </xf>
    <xf numFmtId="0" fontId="13" fillId="8" borderId="14" xfId="0" applyFont="1" applyFill="1" applyBorder="1" applyAlignment="1">
      <alignment horizontal="center"/>
    </xf>
    <xf numFmtId="0" fontId="13" fillId="8" borderId="5" xfId="0" applyFont="1" applyFill="1" applyBorder="1" applyAlignment="1">
      <alignment horizont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left" vertical="top" wrapText="1"/>
    </xf>
    <xf numFmtId="0" fontId="7" fillId="0" borderId="11" xfId="0" applyFont="1" applyBorder="1" applyAlignment="1">
      <alignment horizontal="left" vertical="top" wrapText="1"/>
    </xf>
    <xf numFmtId="0" fontId="7" fillId="0" borderId="2" xfId="0" applyFont="1" applyBorder="1" applyAlignment="1">
      <alignment horizontal="left" vertical="top" wrapText="1"/>
    </xf>
    <xf numFmtId="0" fontId="15" fillId="0" borderId="1" xfId="0" applyFont="1" applyBorder="1" applyAlignment="1">
      <alignment horizontal="center"/>
    </xf>
    <xf numFmtId="0" fontId="7" fillId="0" borderId="1" xfId="0" applyFont="1" applyBorder="1" applyAlignment="1">
      <alignment horizontal="left" vertical="top"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0" fillId="0" borderId="7" xfId="0" applyBorder="1" applyAlignment="1">
      <alignment horizontal="center"/>
    </xf>
    <xf numFmtId="0" fontId="0" fillId="0" borderId="5" xfId="0" applyBorder="1" applyAlignment="1">
      <alignment horizontal="center"/>
    </xf>
    <xf numFmtId="171" fontId="15" fillId="0" borderId="1" xfId="0" applyNumberFormat="1" applyFont="1" applyBorder="1" applyAlignment="1">
      <alignment horizontal="center"/>
    </xf>
    <xf numFmtId="171" fontId="15" fillId="0" borderId="7" xfId="0" applyNumberFormat="1" applyFont="1" applyBorder="1" applyAlignment="1">
      <alignment horizontal="center"/>
    </xf>
    <xf numFmtId="0" fontId="30" fillId="0" borderId="0" xfId="0" applyFont="1" applyFill="1" applyBorder="1" applyAlignment="1">
      <alignment horizontal="center"/>
    </xf>
    <xf numFmtId="0" fontId="29" fillId="0" borderId="0" xfId="0" applyFont="1" applyFill="1" applyBorder="1" applyAlignment="1">
      <alignment horizontal="center"/>
    </xf>
    <xf numFmtId="0" fontId="13" fillId="0" borderId="7" xfId="0" applyFont="1" applyBorder="1" applyAlignment="1">
      <alignment horizontal="center"/>
    </xf>
    <xf numFmtId="0" fontId="13" fillId="0" borderId="14" xfId="0" applyFont="1" applyBorder="1" applyAlignment="1">
      <alignment horizontal="center"/>
    </xf>
    <xf numFmtId="0" fontId="33" fillId="8" borderId="1" xfId="0" applyFont="1" applyFill="1" applyBorder="1" applyAlignment="1">
      <alignment horizontal="center"/>
    </xf>
    <xf numFmtId="0" fontId="30" fillId="8" borderId="14" xfId="0" applyFont="1" applyFill="1" applyBorder="1" applyAlignment="1">
      <alignment horizontal="center"/>
    </xf>
    <xf numFmtId="49" fontId="31" fillId="0" borderId="11" xfId="0" applyNumberFormat="1" applyFont="1" applyBorder="1" applyAlignment="1">
      <alignment horizontal="center" vertical="top"/>
    </xf>
    <xf numFmtId="49" fontId="31" fillId="0" borderId="1" xfId="0" applyNumberFormat="1" applyFont="1" applyBorder="1" applyAlignment="1">
      <alignment horizontal="center" vertical="top"/>
    </xf>
    <xf numFmtId="0" fontId="31" fillId="0" borderId="12" xfId="0" applyFont="1" applyBorder="1" applyAlignment="1">
      <alignment horizontal="center"/>
    </xf>
    <xf numFmtId="0" fontId="30" fillId="0" borderId="12" xfId="0" applyFont="1" applyBorder="1" applyAlignment="1">
      <alignment horizontal="center"/>
    </xf>
    <xf numFmtId="0" fontId="31" fillId="0" borderId="1" xfId="0" applyFont="1" applyBorder="1" applyAlignment="1">
      <alignment horizontal="center" vertical="top"/>
    </xf>
    <xf numFmtId="0" fontId="31" fillId="0" borderId="11" xfId="0" applyFont="1" applyBorder="1" applyAlignment="1">
      <alignment horizontal="center" vertical="top"/>
    </xf>
    <xf numFmtId="0" fontId="31" fillId="0" borderId="2" xfId="0" applyFont="1" applyBorder="1" applyAlignment="1">
      <alignment horizontal="center" vertical="top"/>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xf>
    <xf numFmtId="0" fontId="0" fillId="8" borderId="9" xfId="0" applyFill="1" applyBorder="1" applyAlignment="1">
      <alignment horizontal="center" vertical="center"/>
    </xf>
    <xf numFmtId="0" fontId="0" fillId="8" borderId="2" xfId="0" applyFill="1" applyBorder="1" applyAlignment="1">
      <alignment horizontal="center" vertical="center"/>
    </xf>
    <xf numFmtId="0" fontId="0" fillId="8" borderId="16" xfId="0" applyFill="1" applyBorder="1" applyAlignment="1">
      <alignment horizontal="center"/>
    </xf>
    <xf numFmtId="0" fontId="0" fillId="8" borderId="6" xfId="0" applyFill="1" applyBorder="1" applyAlignment="1">
      <alignment horizontal="center"/>
    </xf>
    <xf numFmtId="0" fontId="2" fillId="0" borderId="1" xfId="0" applyFont="1" applyBorder="1" applyAlignment="1">
      <alignment horizontal="center"/>
    </xf>
    <xf numFmtId="0" fontId="0" fillId="0" borderId="16" xfId="0" applyBorder="1" applyAlignment="1">
      <alignment horizontal="center"/>
    </xf>
    <xf numFmtId="0" fontId="0" fillId="0" borderId="6" xfId="0" applyBorder="1" applyAlignment="1">
      <alignment horizontal="center"/>
    </xf>
    <xf numFmtId="0" fontId="2" fillId="0" borderId="9" xfId="0" applyFont="1" applyBorder="1" applyAlignment="1">
      <alignment horizontal="center"/>
    </xf>
    <xf numFmtId="0" fontId="2" fillId="0" borderId="2" xfId="0" applyFont="1"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7" xfId="0" applyBorder="1" applyAlignment="1">
      <alignment horizontal="left"/>
    </xf>
    <xf numFmtId="0" fontId="0" fillId="0" borderId="14" xfId="0" applyBorder="1" applyAlignment="1">
      <alignment horizontal="left"/>
    </xf>
    <xf numFmtId="0" fontId="13" fillId="0" borderId="23" xfId="0" applyFont="1" applyBorder="1" applyAlignment="1">
      <alignment horizontal="center" wrapText="1"/>
    </xf>
    <xf numFmtId="0" fontId="13" fillId="0" borderId="24" xfId="0" applyFont="1" applyBorder="1" applyAlignment="1">
      <alignment horizontal="center" wrapText="1"/>
    </xf>
    <xf numFmtId="0" fontId="13" fillId="8" borderId="1" xfId="0" applyFont="1" applyFill="1" applyBorder="1" applyAlignment="1">
      <alignment horizontal="center" wrapText="1"/>
    </xf>
    <xf numFmtId="0" fontId="2" fillId="8" borderId="9" xfId="0" applyFont="1" applyFill="1" applyBorder="1" applyAlignment="1">
      <alignment horizontal="center"/>
    </xf>
    <xf numFmtId="0" fontId="2" fillId="8" borderId="2" xfId="0" applyFont="1" applyFill="1" applyBorder="1" applyAlignment="1">
      <alignment horizontal="center"/>
    </xf>
    <xf numFmtId="0" fontId="11" fillId="8" borderId="9" xfId="0" applyFont="1" applyFill="1" applyBorder="1" applyAlignment="1">
      <alignment horizontal="center"/>
    </xf>
    <xf numFmtId="0" fontId="11" fillId="8" borderId="2" xfId="0" applyFont="1" applyFill="1" applyBorder="1" applyAlignment="1">
      <alignment horizontal="center"/>
    </xf>
    <xf numFmtId="0" fontId="2" fillId="8" borderId="19" xfId="0" applyFont="1" applyFill="1" applyBorder="1" applyAlignment="1">
      <alignment horizontal="center"/>
    </xf>
    <xf numFmtId="0" fontId="2" fillId="8" borderId="25" xfId="0" applyFont="1" applyFill="1" applyBorder="1" applyAlignment="1">
      <alignment horizontal="center"/>
    </xf>
    <xf numFmtId="14" fontId="39" fillId="15" borderId="22" xfId="0" applyNumberFormat="1" applyFont="1" applyFill="1" applyBorder="1" applyAlignment="1">
      <alignment horizontal="center"/>
    </xf>
    <xf numFmtId="14" fontId="39" fillId="15" borderId="17" xfId="0" applyNumberFormat="1" applyFont="1" applyFill="1" applyBorder="1" applyAlignment="1">
      <alignment horizontal="center"/>
    </xf>
    <xf numFmtId="0" fontId="31" fillId="0" borderId="7"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1" xfId="0" applyFont="1" applyBorder="1" applyAlignment="1">
      <alignment horizontal="left" vertical="top" wrapText="1"/>
    </xf>
    <xf numFmtId="0" fontId="31" fillId="0" borderId="1" xfId="0" applyFont="1" applyBorder="1" applyAlignment="1">
      <alignment horizontal="center"/>
    </xf>
    <xf numFmtId="0" fontId="28" fillId="18" borderId="7" xfId="0" applyFont="1" applyFill="1" applyBorder="1" applyAlignment="1">
      <alignment horizontal="center"/>
    </xf>
    <xf numFmtId="0" fontId="28" fillId="18" borderId="14" xfId="0" applyFont="1" applyFill="1" applyBorder="1" applyAlignment="1">
      <alignment horizontal="center"/>
    </xf>
    <xf numFmtId="0" fontId="28" fillId="18" borderId="5" xfId="0" applyFont="1" applyFill="1" applyBorder="1" applyAlignment="1">
      <alignment horizontal="center"/>
    </xf>
    <xf numFmtId="0" fontId="31" fillId="0" borderId="7" xfId="0" applyFont="1" applyBorder="1" applyAlignment="1">
      <alignment horizontal="center"/>
    </xf>
    <xf numFmtId="0" fontId="31" fillId="0" borderId="5" xfId="0" applyFont="1" applyBorder="1" applyAlignment="1">
      <alignment horizontal="center"/>
    </xf>
    <xf numFmtId="0" fontId="28" fillId="18" borderId="1" xfId="0" applyFont="1" applyFill="1" applyBorder="1" applyAlignment="1">
      <alignment horizontal="center"/>
    </xf>
    <xf numFmtId="0" fontId="28" fillId="18" borderId="6" xfId="0" applyFont="1" applyFill="1" applyBorder="1" applyAlignment="1">
      <alignment horizontal="center"/>
    </xf>
    <xf numFmtId="0" fontId="28" fillId="18" borderId="12" xfId="0" applyFont="1" applyFill="1" applyBorder="1" applyAlignment="1">
      <alignment horizontal="center"/>
    </xf>
    <xf numFmtId="0" fontId="28" fillId="18" borderId="25" xfId="0" applyFont="1" applyFill="1" applyBorder="1" applyAlignment="1">
      <alignment horizontal="center"/>
    </xf>
    <xf numFmtId="0" fontId="30" fillId="12" borderId="1" xfId="0" applyFont="1" applyFill="1" applyBorder="1" applyAlignment="1">
      <alignment horizontal="center"/>
    </xf>
    <xf numFmtId="0" fontId="29" fillId="0" borderId="4" xfId="0" applyFont="1" applyBorder="1" applyAlignment="1">
      <alignment horizontal="center"/>
    </xf>
    <xf numFmtId="0" fontId="29" fillId="0" borderId="0" xfId="0" applyFont="1" applyBorder="1" applyAlignment="1">
      <alignment horizontal="center"/>
    </xf>
    <xf numFmtId="0" fontId="20" fillId="0" borderId="4" xfId="0" applyFont="1" applyBorder="1" applyAlignment="1">
      <alignment horizontal="center"/>
    </xf>
    <xf numFmtId="0" fontId="20" fillId="0" borderId="0" xfId="0" applyFont="1" applyAlignment="1">
      <alignment horizontal="center"/>
    </xf>
    <xf numFmtId="0" fontId="1" fillId="0" borderId="7" xfId="0" applyFont="1" applyBorder="1" applyAlignment="1">
      <alignment horizontal="center" vertical="top" wrapText="1"/>
    </xf>
    <xf numFmtId="0" fontId="1" fillId="0" borderId="5" xfId="0" applyFont="1" applyBorder="1" applyAlignment="1">
      <alignment horizontal="center" vertical="top" wrapText="1"/>
    </xf>
    <xf numFmtId="0" fontId="2" fillId="8" borderId="1" xfId="0" applyFont="1" applyFill="1" applyBorder="1" applyAlignment="1">
      <alignment horizontal="center"/>
    </xf>
    <xf numFmtId="0" fontId="1" fillId="0" borderId="1" xfId="0" applyFont="1" applyBorder="1" applyAlignment="1">
      <alignment horizontal="center" vertical="top" wrapText="1"/>
    </xf>
    <xf numFmtId="0" fontId="2" fillId="10" borderId="1" xfId="0" applyFont="1" applyFill="1" applyBorder="1" applyAlignment="1">
      <alignment horizontal="left"/>
    </xf>
    <xf numFmtId="0" fontId="0" fillId="8" borderId="9" xfId="0" applyFill="1" applyBorder="1" applyAlignment="1">
      <alignment horizontal="center"/>
    </xf>
    <xf numFmtId="0" fontId="0" fillId="8" borderId="2" xfId="0" applyFill="1" applyBorder="1" applyAlignment="1">
      <alignment horizontal="center"/>
    </xf>
    <xf numFmtId="0" fontId="15" fillId="8" borderId="1" xfId="0" applyFont="1" applyFill="1" applyBorder="1" applyAlignment="1">
      <alignment horizontal="center"/>
    </xf>
    <xf numFmtId="0" fontId="1" fillId="0" borderId="16" xfId="0" applyFont="1" applyFill="1" applyBorder="1" applyAlignment="1">
      <alignment horizontal="left"/>
    </xf>
    <xf numFmtId="0" fontId="1" fillId="0" borderId="3" xfId="0" applyFont="1" applyFill="1" applyBorder="1" applyAlignment="1">
      <alignment horizontal="left"/>
    </xf>
    <xf numFmtId="0" fontId="1" fillId="0" borderId="0" xfId="0" applyFont="1" applyAlignment="1">
      <alignment horizontal="center" wrapText="1"/>
    </xf>
    <xf numFmtId="0" fontId="15" fillId="8" borderId="7" xfId="0" applyFont="1" applyFill="1" applyBorder="1" applyAlignment="1">
      <alignment horizontal="center"/>
    </xf>
    <xf numFmtId="0" fontId="15" fillId="8" borderId="14" xfId="0" applyFont="1" applyFill="1" applyBorder="1" applyAlignment="1">
      <alignment horizontal="center"/>
    </xf>
    <xf numFmtId="0" fontId="15" fillId="8" borderId="5" xfId="0" applyFont="1" applyFill="1" applyBorder="1" applyAlignment="1">
      <alignment horizontal="center"/>
    </xf>
    <xf numFmtId="0" fontId="2" fillId="8" borderId="1" xfId="0" applyFont="1" applyFill="1" applyBorder="1" applyAlignment="1">
      <alignment horizontal="center" vertical="center"/>
    </xf>
    <xf numFmtId="0" fontId="2" fillId="0" borderId="0" xfId="0" applyFont="1" applyAlignment="1">
      <alignment horizontal="center" vertical="center" wrapText="1"/>
    </xf>
    <xf numFmtId="0" fontId="2" fillId="10" borderId="1" xfId="0" applyFont="1" applyFill="1" applyBorder="1" applyAlignment="1">
      <alignment horizontal="center"/>
    </xf>
    <xf numFmtId="0" fontId="2" fillId="10" borderId="7" xfId="0" applyFont="1" applyFill="1" applyBorder="1" applyAlignment="1">
      <alignment horizontal="center"/>
    </xf>
    <xf numFmtId="0" fontId="2" fillId="10" borderId="14" xfId="0" applyFont="1" applyFill="1" applyBorder="1" applyAlignment="1">
      <alignment horizontal="center"/>
    </xf>
    <xf numFmtId="0" fontId="2" fillId="10" borderId="5" xfId="0" applyFont="1" applyFill="1" applyBorder="1" applyAlignment="1">
      <alignment horizontal="center"/>
    </xf>
    <xf numFmtId="0" fontId="19" fillId="0" borderId="7" xfId="0" applyFont="1" applyBorder="1" applyAlignment="1">
      <alignment horizontal="center"/>
    </xf>
    <xf numFmtId="0" fontId="19" fillId="0" borderId="5" xfId="0" applyFont="1" applyBorder="1" applyAlignment="1">
      <alignment horizontal="center"/>
    </xf>
    <xf numFmtId="0" fontId="9" fillId="0" borderId="1" xfId="0" applyFont="1" applyBorder="1" applyAlignment="1">
      <alignment horizontal="center" vertical="top" wrapText="1"/>
    </xf>
    <xf numFmtId="0" fontId="47" fillId="0" borderId="7" xfId="0" applyFont="1" applyBorder="1" applyAlignment="1">
      <alignment horizontal="center" vertical="top" wrapText="1"/>
    </xf>
    <xf numFmtId="0" fontId="47" fillId="0" borderId="14" xfId="0" applyFont="1" applyBorder="1" applyAlignment="1">
      <alignment horizontal="center" vertical="top" wrapText="1"/>
    </xf>
    <xf numFmtId="0" fontId="47" fillId="0" borderId="5" xfId="0" applyFont="1" applyBorder="1" applyAlignment="1">
      <alignment horizontal="center" vertical="top" wrapText="1"/>
    </xf>
    <xf numFmtId="20" fontId="9" fillId="0" borderId="7" xfId="0" applyNumberFormat="1" applyFont="1" applyBorder="1" applyAlignment="1">
      <alignment horizontal="center"/>
    </xf>
    <xf numFmtId="20" fontId="9" fillId="0" borderId="5" xfId="0" applyNumberFormat="1" applyFont="1" applyBorder="1" applyAlignment="1">
      <alignment horizontal="center"/>
    </xf>
    <xf numFmtId="20" fontId="9" fillId="0" borderId="1" xfId="0" applyNumberFormat="1" applyFont="1" applyBorder="1" applyAlignment="1">
      <alignment horizontal="center"/>
    </xf>
    <xf numFmtId="14" fontId="0" fillId="0" borderId="12" xfId="0" applyNumberFormat="1" applyBorder="1" applyAlignment="1">
      <alignment horizontal="center"/>
    </xf>
    <xf numFmtId="0" fontId="4" fillId="12" borderId="1" xfId="0" applyFont="1" applyFill="1" applyBorder="1" applyAlignment="1">
      <alignment horizontal="center"/>
    </xf>
    <xf numFmtId="0" fontId="4" fillId="12" borderId="1" xfId="0" applyFont="1" applyFill="1" applyBorder="1" applyAlignment="1">
      <alignment horizontal="center" vertical="center"/>
    </xf>
    <xf numFmtId="0" fontId="4" fillId="12" borderId="7" xfId="0" applyFont="1" applyFill="1" applyBorder="1" applyAlignment="1">
      <alignment horizontal="center" vertical="top" wrapText="1"/>
    </xf>
    <xf numFmtId="0" fontId="4" fillId="12" borderId="14" xfId="0" applyFont="1" applyFill="1" applyBorder="1" applyAlignment="1">
      <alignment horizontal="center" vertical="top" wrapText="1"/>
    </xf>
    <xf numFmtId="0" fontId="54" fillId="8" borderId="1" xfId="0" applyFont="1" applyFill="1" applyBorder="1" applyAlignment="1">
      <alignment horizontal="center" vertical="top" wrapText="1"/>
    </xf>
    <xf numFmtId="0" fontId="47" fillId="8" borderId="1" xfId="0" applyFont="1" applyFill="1" applyBorder="1" applyAlignment="1">
      <alignment horizontal="center"/>
    </xf>
    <xf numFmtId="0" fontId="55" fillId="0" borderId="1" xfId="0" applyFont="1" applyBorder="1" applyAlignment="1">
      <alignment horizontal="left" vertical="top" wrapText="1" indent="1"/>
    </xf>
    <xf numFmtId="0" fontId="55" fillId="0" borderId="1" xfId="0" applyFont="1" applyBorder="1" applyAlignment="1">
      <alignment horizontal="center" vertical="top" wrapText="1"/>
    </xf>
    <xf numFmtId="0" fontId="4" fillId="0" borderId="1" xfId="0" applyFont="1" applyBorder="1" applyAlignment="1">
      <alignment horizontal="center"/>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30" fillId="0" borderId="14" xfId="0" applyFont="1" applyFill="1" applyBorder="1" applyAlignment="1">
      <alignment horizontal="center"/>
    </xf>
    <xf numFmtId="0" fontId="30" fillId="0" borderId="5" xfId="0" applyFont="1" applyFill="1" applyBorder="1" applyAlignment="1">
      <alignment horizontal="center"/>
    </xf>
    <xf numFmtId="0" fontId="30" fillId="0" borderId="7"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8" borderId="2" xfId="0" applyFont="1" applyFill="1" applyBorder="1" applyAlignment="1">
      <alignment horizontal="center" vertical="center" wrapText="1"/>
    </xf>
    <xf numFmtId="1" fontId="31" fillId="0" borderId="0" xfId="0" applyNumberFormat="1" applyFont="1"/>
  </cellXfs>
  <cellStyles count="8">
    <cellStyle name="Comma" xfId="1" builtinId="3"/>
    <cellStyle name="Currency" xfId="7" builtinId="4"/>
    <cellStyle name="Hyperlink" xfId="2" builtinId="8"/>
    <cellStyle name="Normal" xfId="0" builtinId="0"/>
    <cellStyle name="Normal 2" xfId="6" xr:uid="{00000000-0005-0000-0000-000004000000}"/>
    <cellStyle name="Normal_AnalyteLookUp" xfId="3" xr:uid="{00000000-0005-0000-0000-000005000000}"/>
    <cellStyle name="Normal_MethodLookUp" xfId="4" xr:uid="{00000000-0005-0000-0000-000006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US"/>
              <a:t>Bear Creek Reservoir Chlorophyll [ug/l] Trend</a:t>
            </a:r>
          </a:p>
        </c:rich>
      </c:tx>
      <c:layout>
        <c:manualLayout>
          <c:xMode val="edge"/>
          <c:yMode val="edge"/>
          <c:x val="0.24096385542168691"/>
          <c:y val="4.065040650406504E-2"/>
        </c:manualLayout>
      </c:layout>
      <c:overlay val="0"/>
      <c:spPr>
        <a:noFill/>
        <a:ln w="25400">
          <a:noFill/>
        </a:ln>
      </c:spPr>
    </c:title>
    <c:autoTitleDeleted val="0"/>
    <c:plotArea>
      <c:layout>
        <c:manualLayout>
          <c:layoutTarget val="inner"/>
          <c:xMode val="edge"/>
          <c:yMode val="edge"/>
          <c:x val="9.6385731178093584E-2"/>
          <c:y val="0.19105766902339388"/>
          <c:w val="0.89357604946357594"/>
          <c:h val="0.60569346137203661"/>
        </c:manualLayout>
      </c:layout>
      <c:barChart>
        <c:barDir val="col"/>
        <c:grouping val="clustered"/>
        <c:varyColors val="0"/>
        <c:ser>
          <c:idx val="0"/>
          <c:order val="0"/>
          <c:tx>
            <c:strRef>
              <c:f>'Annual Reservoir Trends'!$B$4</c:f>
              <c:strCache>
                <c:ptCount val="1"/>
                <c:pt idx="0">
                  <c:v>Top</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Trends'!$C$3:$T$3</c:f>
              <c:numCache>
                <c:formatCode>General</c:formatCode>
                <c:ptCount val="18"/>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numCache>
            </c:numRef>
          </c:cat>
          <c:val>
            <c:numRef>
              <c:f>'Annual Reservoir Trends'!$C$4:$T$4</c:f>
              <c:numCache>
                <c:formatCode>0.0</c:formatCode>
                <c:ptCount val="18"/>
                <c:pt idx="0">
                  <c:v>17.670000000000002</c:v>
                </c:pt>
                <c:pt idx="1">
                  <c:v>26.03</c:v>
                </c:pt>
                <c:pt idx="2">
                  <c:v>13.73</c:v>
                </c:pt>
                <c:pt idx="3">
                  <c:v>29.68</c:v>
                </c:pt>
                <c:pt idx="4">
                  <c:v>9.4</c:v>
                </c:pt>
                <c:pt idx="5">
                  <c:v>17.100000000000001</c:v>
                </c:pt>
                <c:pt idx="6">
                  <c:v>8.23</c:v>
                </c:pt>
                <c:pt idx="7">
                  <c:v>4.9000000000000004</c:v>
                </c:pt>
                <c:pt idx="8">
                  <c:v>6.2</c:v>
                </c:pt>
                <c:pt idx="9" formatCode="General">
                  <c:v>23.9</c:v>
                </c:pt>
                <c:pt idx="10" formatCode="General">
                  <c:v>24.6</c:v>
                </c:pt>
                <c:pt idx="11" formatCode="General">
                  <c:v>15.4</c:v>
                </c:pt>
                <c:pt idx="12" formatCode="General">
                  <c:v>14.8</c:v>
                </c:pt>
                <c:pt idx="13" formatCode="General">
                  <c:v>6.6</c:v>
                </c:pt>
                <c:pt idx="14" formatCode="General">
                  <c:v>15.4</c:v>
                </c:pt>
                <c:pt idx="15" formatCode="General">
                  <c:v>9.1</c:v>
                </c:pt>
                <c:pt idx="16" formatCode="General">
                  <c:v>9.3000000000000007</c:v>
                </c:pt>
                <c:pt idx="17" formatCode="General">
                  <c:v>17.3</c:v>
                </c:pt>
              </c:numCache>
            </c:numRef>
          </c:val>
          <c:extLst>
            <c:ext xmlns:c16="http://schemas.microsoft.com/office/drawing/2014/chart" uri="{C3380CC4-5D6E-409C-BE32-E72D297353CC}">
              <c16:uniqueId val="{00000001-CA8D-4713-81CB-8C23DA036D37}"/>
            </c:ext>
          </c:extLst>
        </c:ser>
        <c:ser>
          <c:idx val="1"/>
          <c:order val="1"/>
          <c:tx>
            <c:strRef>
              <c:f>'Annual Reservoir Trends'!$B$5</c:f>
              <c:strCache>
                <c:ptCount val="1"/>
                <c:pt idx="0">
                  <c:v>Mid</c:v>
                </c:pt>
              </c:strCache>
            </c:strRef>
          </c:tx>
          <c:spPr>
            <a:solidFill>
              <a:srgbClr val="FFFFCC"/>
            </a:solidFill>
            <a:ln w="12700">
              <a:solidFill>
                <a:srgbClr val="000000"/>
              </a:solidFill>
              <a:prstDash val="solid"/>
            </a:ln>
          </c:spPr>
          <c:invertIfNegative val="0"/>
          <c:cat>
            <c:numRef>
              <c:f>'Annual Reservoir Trends'!$C$3:$R$3</c:f>
              <c:numCache>
                <c:formatCode>General</c:formatCode>
                <c:ptCount val="1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numCache>
            </c:numRef>
          </c:cat>
          <c:val>
            <c:numRef>
              <c:f>'Annual Reservoir Trends'!$C$5:$M$5</c:f>
              <c:numCache>
                <c:formatCode>0.0</c:formatCode>
                <c:ptCount val="11"/>
                <c:pt idx="0">
                  <c:v>19.82</c:v>
                </c:pt>
                <c:pt idx="1">
                  <c:v>15.51</c:v>
                </c:pt>
                <c:pt idx="2">
                  <c:v>5.85</c:v>
                </c:pt>
                <c:pt idx="3">
                  <c:v>17.02</c:v>
                </c:pt>
                <c:pt idx="4">
                  <c:v>6.2</c:v>
                </c:pt>
                <c:pt idx="5">
                  <c:v>10.3</c:v>
                </c:pt>
                <c:pt idx="6">
                  <c:v>2.4300000000000002</c:v>
                </c:pt>
                <c:pt idx="7">
                  <c:v>5.4</c:v>
                </c:pt>
                <c:pt idx="8">
                  <c:v>5.5</c:v>
                </c:pt>
                <c:pt idx="9" formatCode="General">
                  <c:v>8.9</c:v>
                </c:pt>
                <c:pt idx="10" formatCode="General">
                  <c:v>6.3</c:v>
                </c:pt>
              </c:numCache>
            </c:numRef>
          </c:val>
          <c:extLst>
            <c:ext xmlns:c16="http://schemas.microsoft.com/office/drawing/2014/chart" uri="{C3380CC4-5D6E-409C-BE32-E72D297353CC}">
              <c16:uniqueId val="{00000002-CA8D-4713-81CB-8C23DA036D37}"/>
            </c:ext>
          </c:extLst>
        </c:ser>
        <c:dLbls>
          <c:showLegendKey val="0"/>
          <c:showVal val="0"/>
          <c:showCatName val="0"/>
          <c:showSerName val="0"/>
          <c:showPercent val="0"/>
          <c:showBubbleSize val="0"/>
        </c:dLbls>
        <c:gapWidth val="150"/>
        <c:axId val="111178880"/>
        <c:axId val="118301824"/>
      </c:barChart>
      <c:catAx>
        <c:axId val="111178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118301824"/>
        <c:crosses val="autoZero"/>
        <c:auto val="1"/>
        <c:lblAlgn val="ctr"/>
        <c:lblOffset val="100"/>
        <c:tickLblSkip val="1"/>
        <c:tickMarkSkip val="1"/>
        <c:noMultiLvlLbl val="0"/>
      </c:catAx>
      <c:valAx>
        <c:axId val="11830182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Arial"/>
                <a:ea typeface="Arial"/>
                <a:cs typeface="Arial"/>
              </a:defRPr>
            </a:pPr>
            <a:endParaRPr lang="en-US"/>
          </a:p>
        </c:txPr>
        <c:crossAx val="11117888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egendEntry>
        <c:idx val="0"/>
        <c:txPr>
          <a:bodyPr/>
          <a:lstStyle/>
          <a:p>
            <a:pPr>
              <a:defRPr sz="620" b="0" i="0" u="none" strike="noStrike" baseline="0">
                <a:solidFill>
                  <a:srgbClr val="000000"/>
                </a:solidFill>
                <a:latin typeface="Arial"/>
                <a:ea typeface="Arial"/>
                <a:cs typeface="Arial"/>
              </a:defRPr>
            </a:pPr>
            <a:endParaRPr lang="en-US"/>
          </a:p>
        </c:txPr>
      </c:legendEntry>
      <c:legendEntry>
        <c:idx val="1"/>
        <c:txPr>
          <a:bodyPr/>
          <a:lstStyle/>
          <a:p>
            <a:pPr>
              <a:defRPr sz="620" b="0" i="0" u="none" strike="noStrike" baseline="0">
                <a:solidFill>
                  <a:srgbClr val="000000"/>
                </a:solidFill>
                <a:latin typeface="Arial"/>
                <a:ea typeface="Arial"/>
                <a:cs typeface="Arial"/>
              </a:defRPr>
            </a:pPr>
            <a:endParaRPr lang="en-US"/>
          </a:p>
        </c:txPr>
      </c:legendEntry>
      <c:layout>
        <c:manualLayout>
          <c:xMode val="edge"/>
          <c:yMode val="edge"/>
          <c:x val="0.7489974596549368"/>
          <c:y val="0.17479760151933582"/>
          <c:w val="0.23895624492722903"/>
          <c:h val="0.1829276828201480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9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a:t>Nitrate Distribution In Water Column</a:t>
            </a:r>
          </a:p>
        </c:rich>
      </c:tx>
      <c:layout>
        <c:manualLayout>
          <c:xMode val="edge"/>
          <c:yMode val="edge"/>
          <c:x val="0.23166023166023444"/>
          <c:y val="3.333333333333334E-2"/>
        </c:manualLayout>
      </c:layout>
      <c:overlay val="0"/>
    </c:title>
    <c:autoTitleDeleted val="0"/>
    <c:plotArea>
      <c:layout>
        <c:manualLayout>
          <c:layoutTarget val="inner"/>
          <c:xMode val="edge"/>
          <c:yMode val="edge"/>
          <c:x val="0.16023166023166022"/>
          <c:y val="0.12820566659936741"/>
          <c:w val="0.81274131274133365"/>
          <c:h val="0.71795033313143564"/>
        </c:manualLayout>
      </c:layout>
      <c:barChart>
        <c:barDir val="col"/>
        <c:grouping val="stacked"/>
        <c:varyColors val="0"/>
        <c:ser>
          <c:idx val="2"/>
          <c:order val="0"/>
          <c:tx>
            <c:strRef>
              <c:f>'Nitrate Trends'!$E$48</c:f>
              <c:strCache>
                <c:ptCount val="1"/>
                <c:pt idx="0">
                  <c:v>Reservoir Bottom</c:v>
                </c:pt>
              </c:strCache>
            </c:strRef>
          </c:tx>
          <c:invertIfNegative val="0"/>
          <c:cat>
            <c:numRef>
              <c:f>'Nitrate Trends'!$F$3:$F$24</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'Nitrate Trends'!$G$48:$G$69</c:f>
              <c:numCache>
                <c:formatCode>0</c:formatCode>
                <c:ptCount val="22"/>
                <c:pt idx="0">
                  <c:v>341</c:v>
                </c:pt>
                <c:pt idx="1">
                  <c:v>228</c:v>
                </c:pt>
                <c:pt idx="2">
                  <c:v>332</c:v>
                </c:pt>
                <c:pt idx="3">
                  <c:v>308</c:v>
                </c:pt>
                <c:pt idx="4">
                  <c:v>503</c:v>
                </c:pt>
                <c:pt idx="5">
                  <c:v>560.9375</c:v>
                </c:pt>
                <c:pt idx="6">
                  <c:v>340.9935714285715</c:v>
                </c:pt>
                <c:pt idx="7">
                  <c:v>342</c:v>
                </c:pt>
                <c:pt idx="8">
                  <c:v>231</c:v>
                </c:pt>
                <c:pt idx="9">
                  <c:v>483</c:v>
                </c:pt>
                <c:pt idx="10">
                  <c:v>390</c:v>
                </c:pt>
                <c:pt idx="11">
                  <c:v>268</c:v>
                </c:pt>
                <c:pt idx="12">
                  <c:v>259</c:v>
                </c:pt>
                <c:pt idx="13">
                  <c:v>224</c:v>
                </c:pt>
                <c:pt idx="14">
                  <c:v>210</c:v>
                </c:pt>
                <c:pt idx="15">
                  <c:v>151</c:v>
                </c:pt>
                <c:pt idx="16">
                  <c:v>232</c:v>
                </c:pt>
                <c:pt idx="17">
                  <c:v>230</c:v>
                </c:pt>
                <c:pt idx="18">
                  <c:v>244</c:v>
                </c:pt>
                <c:pt idx="19">
                  <c:v>222</c:v>
                </c:pt>
                <c:pt idx="20">
                  <c:v>186</c:v>
                </c:pt>
                <c:pt idx="21">
                  <c:v>101.8</c:v>
                </c:pt>
              </c:numCache>
            </c:numRef>
          </c:val>
          <c:extLst>
            <c:ext xmlns:c16="http://schemas.microsoft.com/office/drawing/2014/chart" uri="{C3380CC4-5D6E-409C-BE32-E72D297353CC}">
              <c16:uniqueId val="{00000000-9918-4528-A777-4FA15E2BC721}"/>
            </c:ext>
          </c:extLst>
        </c:ser>
        <c:ser>
          <c:idx val="0"/>
          <c:order val="1"/>
          <c:tx>
            <c:strRef>
              <c:f>'Nitrate Trends'!$E$3</c:f>
              <c:strCache>
                <c:ptCount val="1"/>
                <c:pt idx="0">
                  <c:v>Reservoir Top</c:v>
                </c:pt>
              </c:strCache>
            </c:strRef>
          </c:tx>
          <c:invertIfNegative val="0"/>
          <c:cat>
            <c:numRef>
              <c:f>'Nitrate Trends'!$F$3:$F$24</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'Nitrate Trends'!$G$3:$G$24</c:f>
              <c:numCache>
                <c:formatCode>0</c:formatCode>
                <c:ptCount val="22"/>
                <c:pt idx="0">
                  <c:v>442</c:v>
                </c:pt>
                <c:pt idx="1">
                  <c:v>288</c:v>
                </c:pt>
                <c:pt idx="2">
                  <c:v>504</c:v>
                </c:pt>
                <c:pt idx="3">
                  <c:v>382</c:v>
                </c:pt>
                <c:pt idx="4">
                  <c:v>474</c:v>
                </c:pt>
                <c:pt idx="5">
                  <c:v>577.75</c:v>
                </c:pt>
                <c:pt idx="6">
                  <c:v>392.83071428571424</c:v>
                </c:pt>
                <c:pt idx="7">
                  <c:v>388</c:v>
                </c:pt>
                <c:pt idx="8">
                  <c:v>224</c:v>
                </c:pt>
                <c:pt idx="9">
                  <c:v>431</c:v>
                </c:pt>
                <c:pt idx="10">
                  <c:v>401</c:v>
                </c:pt>
                <c:pt idx="11">
                  <c:v>289</c:v>
                </c:pt>
                <c:pt idx="12">
                  <c:v>268</c:v>
                </c:pt>
                <c:pt idx="13">
                  <c:v>268</c:v>
                </c:pt>
                <c:pt idx="14">
                  <c:v>186</c:v>
                </c:pt>
                <c:pt idx="15">
                  <c:v>158</c:v>
                </c:pt>
                <c:pt idx="16">
                  <c:v>222</c:v>
                </c:pt>
                <c:pt idx="17">
                  <c:v>233</c:v>
                </c:pt>
                <c:pt idx="18">
                  <c:v>291</c:v>
                </c:pt>
                <c:pt idx="19">
                  <c:v>287</c:v>
                </c:pt>
                <c:pt idx="20">
                  <c:v>158</c:v>
                </c:pt>
                <c:pt idx="21">
                  <c:v>165</c:v>
                </c:pt>
              </c:numCache>
            </c:numRef>
          </c:val>
          <c:extLst>
            <c:ext xmlns:c16="http://schemas.microsoft.com/office/drawing/2014/chart" uri="{C3380CC4-5D6E-409C-BE32-E72D297353CC}">
              <c16:uniqueId val="{00000001-9918-4528-A777-4FA15E2BC721}"/>
            </c:ext>
          </c:extLst>
        </c:ser>
        <c:dLbls>
          <c:showLegendKey val="0"/>
          <c:showVal val="0"/>
          <c:showCatName val="0"/>
          <c:showSerName val="0"/>
          <c:showPercent val="0"/>
          <c:showBubbleSize val="0"/>
        </c:dLbls>
        <c:gapWidth val="70"/>
        <c:overlap val="100"/>
        <c:axId val="110216320"/>
        <c:axId val="110217856"/>
      </c:barChart>
      <c:catAx>
        <c:axId val="110216320"/>
        <c:scaling>
          <c:orientation val="minMax"/>
        </c:scaling>
        <c:delete val="0"/>
        <c:axPos val="b"/>
        <c:numFmt formatCode="General" sourceLinked="1"/>
        <c:majorTickMark val="out"/>
        <c:minorTickMark val="none"/>
        <c:tickLblPos val="nextTo"/>
        <c:txPr>
          <a:bodyPr rot="-2700000" vert="horz"/>
          <a:lstStyle/>
          <a:p>
            <a:pPr>
              <a:defRPr/>
            </a:pPr>
            <a:endParaRPr lang="en-US"/>
          </a:p>
        </c:txPr>
        <c:crossAx val="110217856"/>
        <c:crosses val="autoZero"/>
        <c:auto val="1"/>
        <c:lblAlgn val="ctr"/>
        <c:lblOffset val="100"/>
        <c:tickLblSkip val="1"/>
        <c:tickMarkSkip val="1"/>
        <c:noMultiLvlLbl val="0"/>
      </c:catAx>
      <c:valAx>
        <c:axId val="110217856"/>
        <c:scaling>
          <c:orientation val="minMax"/>
        </c:scaling>
        <c:delete val="0"/>
        <c:axPos val="l"/>
        <c:majorGridlines/>
        <c:title>
          <c:tx>
            <c:rich>
              <a:bodyPr/>
              <a:lstStyle/>
              <a:p>
                <a:pPr>
                  <a:defRPr/>
                </a:pPr>
                <a:r>
                  <a:rPr lang="en-US"/>
                  <a:t>Nitrate ug/l</a:t>
                </a:r>
              </a:p>
            </c:rich>
          </c:tx>
          <c:layout>
            <c:manualLayout>
              <c:xMode val="edge"/>
              <c:yMode val="edge"/>
              <c:x val="3.0888030888030892E-2"/>
              <c:y val="0.45384723063463217"/>
            </c:manualLayout>
          </c:layout>
          <c:overlay val="0"/>
        </c:title>
        <c:numFmt formatCode="#,##0" sourceLinked="0"/>
        <c:majorTickMark val="out"/>
        <c:minorTickMark val="none"/>
        <c:tickLblPos val="nextTo"/>
        <c:txPr>
          <a:bodyPr rot="0" vert="horz"/>
          <a:lstStyle/>
          <a:p>
            <a:pPr>
              <a:defRPr/>
            </a:pPr>
            <a:endParaRPr lang="en-US"/>
          </a:p>
        </c:txPr>
        <c:crossAx val="110216320"/>
        <c:crosses val="autoZero"/>
        <c:crossBetween val="between"/>
      </c:valAx>
    </c:plotArea>
    <c:legend>
      <c:legendPos val="t"/>
      <c:layout>
        <c:manualLayout>
          <c:xMode val="edge"/>
          <c:yMode val="edge"/>
          <c:x val="0.6460882484029119"/>
          <c:y val="0.16496148507752401"/>
          <c:w val="0.26166856501428015"/>
          <c:h val="0.1238537288102147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xPr>
        <a:bodyPr/>
        <a:lstStyle/>
        <a:p>
          <a:pPr>
            <a:defRPr sz="1100"/>
          </a:pPr>
          <a:endParaRPr lang="en-US"/>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sz="1200"/>
              <a:t>Bear Creek Reservoir Annual Average
Total Phosphorus Trend</a:t>
            </a:r>
          </a:p>
        </c:rich>
      </c:tx>
      <c:layout>
        <c:manualLayout>
          <c:xMode val="edge"/>
          <c:yMode val="edge"/>
          <c:x val="0.36817643921736093"/>
          <c:y val="2.134624156731314E-3"/>
        </c:manualLayout>
      </c:layout>
      <c:overlay val="0"/>
    </c:title>
    <c:autoTitleDeleted val="0"/>
    <c:plotArea>
      <c:layout>
        <c:manualLayout>
          <c:layoutTarget val="inner"/>
          <c:xMode val="edge"/>
          <c:yMode val="edge"/>
          <c:x val="0.10815621564061553"/>
          <c:y val="0.13672940150779275"/>
          <c:w val="0.86524972512490061"/>
          <c:h val="0.7533521926213147"/>
        </c:manualLayout>
      </c:layout>
      <c:barChart>
        <c:barDir val="col"/>
        <c:grouping val="clustered"/>
        <c:varyColors val="0"/>
        <c:ser>
          <c:idx val="0"/>
          <c:order val="0"/>
          <c:tx>
            <c:strRef>
              <c:f>'Phosphorus Trends'!$A$98</c:f>
              <c:strCache>
                <c:ptCount val="1"/>
                <c:pt idx="0">
                  <c:v>Reservoir Average</c:v>
                </c:pt>
              </c:strCache>
            </c:strRef>
          </c:tx>
          <c:invertIfNegative val="0"/>
          <c:trendline>
            <c:trendlineType val="poly"/>
            <c:order val="3"/>
            <c:dispRSqr val="0"/>
            <c:dispEq val="0"/>
          </c:trendline>
          <c:cat>
            <c:numRef>
              <c:f>'Phosphorus Trends'!$B$98:$B$120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'Phosphorus Trends'!$C$98:$C$120</c:f>
              <c:numCache>
                <c:formatCode>0</c:formatCode>
                <c:ptCount val="23"/>
                <c:pt idx="0">
                  <c:v>124.33333333333333</c:v>
                </c:pt>
                <c:pt idx="1">
                  <c:v>183.73333333333335</c:v>
                </c:pt>
                <c:pt idx="2">
                  <c:v>162.40476666666666</c:v>
                </c:pt>
                <c:pt idx="3">
                  <c:v>193</c:v>
                </c:pt>
                <c:pt idx="4">
                  <c:v>87.333333333333329</c:v>
                </c:pt>
                <c:pt idx="5">
                  <c:v>41</c:v>
                </c:pt>
                <c:pt idx="6">
                  <c:v>42.895833333333336</c:v>
                </c:pt>
                <c:pt idx="7">
                  <c:v>56.052465322207688</c:v>
                </c:pt>
                <c:pt idx="8">
                  <c:v>47.433333333333337</c:v>
                </c:pt>
                <c:pt idx="9">
                  <c:v>41.666666666666664</c:v>
                </c:pt>
                <c:pt idx="10">
                  <c:v>57.333333333333336</c:v>
                </c:pt>
                <c:pt idx="11">
                  <c:v>49.333333333333336</c:v>
                </c:pt>
                <c:pt idx="12">
                  <c:v>50.199999999999996</c:v>
                </c:pt>
                <c:pt idx="13">
                  <c:v>49.533333333333331</c:v>
                </c:pt>
                <c:pt idx="14">
                  <c:v>31.833333333333329</c:v>
                </c:pt>
                <c:pt idx="15">
                  <c:v>39</c:v>
                </c:pt>
                <c:pt idx="16" formatCode="General">
                  <c:v>24</c:v>
                </c:pt>
                <c:pt idx="17" formatCode="General">
                  <c:v>30.7</c:v>
                </c:pt>
                <c:pt idx="18">
                  <c:v>50.6</c:v>
                </c:pt>
                <c:pt idx="19">
                  <c:v>34.799999999999997</c:v>
                </c:pt>
                <c:pt idx="20">
                  <c:v>33.6</c:v>
                </c:pt>
                <c:pt idx="21">
                  <c:v>40.799999999999997</c:v>
                </c:pt>
                <c:pt idx="22">
                  <c:v>69.8</c:v>
                </c:pt>
              </c:numCache>
            </c:numRef>
          </c:val>
          <c:extLst>
            <c:ext xmlns:c16="http://schemas.microsoft.com/office/drawing/2014/chart" uri="{C3380CC4-5D6E-409C-BE32-E72D297353CC}">
              <c16:uniqueId val="{00000001-A819-4C04-844F-0163D142A50B}"/>
            </c:ext>
          </c:extLst>
        </c:ser>
        <c:dLbls>
          <c:showLegendKey val="0"/>
          <c:showVal val="0"/>
          <c:showCatName val="0"/>
          <c:showSerName val="0"/>
          <c:showPercent val="0"/>
          <c:showBubbleSize val="0"/>
        </c:dLbls>
        <c:gapWidth val="150"/>
        <c:axId val="110349312"/>
        <c:axId val="110355200"/>
      </c:barChart>
      <c:catAx>
        <c:axId val="110349312"/>
        <c:scaling>
          <c:orientation val="minMax"/>
        </c:scaling>
        <c:delete val="0"/>
        <c:axPos val="b"/>
        <c:numFmt formatCode="General" sourceLinked="1"/>
        <c:majorTickMark val="out"/>
        <c:minorTickMark val="none"/>
        <c:tickLblPos val="low"/>
        <c:txPr>
          <a:bodyPr rot="2460000" vert="horz"/>
          <a:lstStyle/>
          <a:p>
            <a:pPr>
              <a:defRPr sz="800"/>
            </a:pPr>
            <a:endParaRPr lang="en-US"/>
          </a:p>
        </c:txPr>
        <c:crossAx val="110355200"/>
        <c:crosses val="autoZero"/>
        <c:auto val="1"/>
        <c:lblAlgn val="ctr"/>
        <c:lblOffset val="100"/>
        <c:tickLblSkip val="1"/>
        <c:tickMarkSkip val="1"/>
        <c:noMultiLvlLbl val="0"/>
      </c:catAx>
      <c:valAx>
        <c:axId val="110355200"/>
        <c:scaling>
          <c:orientation val="minMax"/>
          <c:max val="200"/>
        </c:scaling>
        <c:delete val="0"/>
        <c:axPos val="l"/>
        <c:majorGridlines/>
        <c:minorGridlines/>
        <c:title>
          <c:tx>
            <c:rich>
              <a:bodyPr/>
              <a:lstStyle/>
              <a:p>
                <a:pPr>
                  <a:defRPr/>
                </a:pPr>
                <a:r>
                  <a:rPr lang="en-US"/>
                  <a:t>Total Phosphorus [ug/l]</a:t>
                </a:r>
              </a:p>
            </c:rich>
          </c:tx>
          <c:layout>
            <c:manualLayout>
              <c:xMode val="edge"/>
              <c:yMode val="edge"/>
              <c:x val="2.1276595744680847E-2"/>
              <c:y val="0.33512134060165588"/>
            </c:manualLayout>
          </c:layout>
          <c:overlay val="0"/>
        </c:title>
        <c:numFmt formatCode="0" sourceLinked="1"/>
        <c:majorTickMark val="out"/>
        <c:minorTickMark val="none"/>
        <c:tickLblPos val="nextTo"/>
        <c:txPr>
          <a:bodyPr rot="0" vert="horz"/>
          <a:lstStyle/>
          <a:p>
            <a:pPr>
              <a:defRPr/>
            </a:pPr>
            <a:endParaRPr lang="en-US"/>
          </a:p>
        </c:txPr>
        <c:crossAx val="110349312"/>
        <c:crosses val="autoZero"/>
        <c:crossBetween val="between"/>
      </c:valAx>
    </c:plotArea>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alignWithMargins="0"/>
    <c:pageMargins b="1" l="0.75000000000001465" r="0.75000000000001465" t="1" header="0.5" footer="0.5"/>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Bear Creek Reservoir - Total Phosphorus Average Trends</a:t>
            </a:r>
          </a:p>
        </c:rich>
      </c:tx>
      <c:layout>
        <c:manualLayout>
          <c:xMode val="edge"/>
          <c:yMode val="edge"/>
          <c:x val="0.13982300884955737"/>
          <c:y val="4.6461465044142412E-2"/>
        </c:manualLayout>
      </c:layout>
      <c:overlay val="0"/>
      <c:spPr>
        <a:noFill/>
        <a:ln w="25400">
          <a:noFill/>
        </a:ln>
      </c:spPr>
    </c:title>
    <c:autoTitleDeleted val="0"/>
    <c:plotArea>
      <c:layout>
        <c:manualLayout>
          <c:layoutTarget val="inner"/>
          <c:xMode val="edge"/>
          <c:yMode val="edge"/>
          <c:x val="0.12212399934665809"/>
          <c:y val="0.14130434782608794"/>
          <c:w val="0.860177734528632"/>
          <c:h val="0.69836956521739058"/>
        </c:manualLayout>
      </c:layout>
      <c:lineChart>
        <c:grouping val="standard"/>
        <c:varyColors val="0"/>
        <c:ser>
          <c:idx val="0"/>
          <c:order val="0"/>
          <c:tx>
            <c:strRef>
              <c:f>'Phosphorus Trends'!$E$74</c:f>
              <c:strCache>
                <c:ptCount val="1"/>
                <c:pt idx="0">
                  <c:v>Average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numRef>
              <c:f>'Phosphorus Trends'!$F$74:$F$96</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'Phosphorus Trends'!$G$74:$G$96</c:f>
              <c:numCache>
                <c:formatCode>0</c:formatCode>
                <c:ptCount val="23"/>
                <c:pt idx="0">
                  <c:v>435.5</c:v>
                </c:pt>
                <c:pt idx="1">
                  <c:v>325</c:v>
                </c:pt>
                <c:pt idx="2">
                  <c:v>319.5</c:v>
                </c:pt>
                <c:pt idx="3">
                  <c:v>242.5</c:v>
                </c:pt>
                <c:pt idx="4">
                  <c:v>106.5</c:v>
                </c:pt>
                <c:pt idx="5">
                  <c:v>60</c:v>
                </c:pt>
                <c:pt idx="6">
                  <c:v>37.28125</c:v>
                </c:pt>
                <c:pt idx="7">
                  <c:v>71.546519746997504</c:v>
                </c:pt>
                <c:pt idx="8">
                  <c:v>36.9</c:v>
                </c:pt>
                <c:pt idx="9">
                  <c:v>42.5</c:v>
                </c:pt>
                <c:pt idx="10">
                  <c:v>28</c:v>
                </c:pt>
                <c:pt idx="11">
                  <c:v>22</c:v>
                </c:pt>
                <c:pt idx="12">
                  <c:v>76.100000000000009</c:v>
                </c:pt>
                <c:pt idx="13">
                  <c:v>67.95</c:v>
                </c:pt>
                <c:pt idx="14">
                  <c:v>27.9</c:v>
                </c:pt>
                <c:pt idx="15">
                  <c:v>33.5</c:v>
                </c:pt>
                <c:pt idx="16">
                  <c:v>14.45</c:v>
                </c:pt>
                <c:pt idx="17">
                  <c:v>32</c:v>
                </c:pt>
                <c:pt idx="18">
                  <c:v>26.25</c:v>
                </c:pt>
                <c:pt idx="19">
                  <c:v>27.3</c:v>
                </c:pt>
                <c:pt idx="20">
                  <c:v>32.6</c:v>
                </c:pt>
                <c:pt idx="21">
                  <c:v>24.7</c:v>
                </c:pt>
                <c:pt idx="22">
                  <c:v>47</c:v>
                </c:pt>
              </c:numCache>
            </c:numRef>
          </c:val>
          <c:smooth val="0"/>
          <c:extLst>
            <c:ext xmlns:c16="http://schemas.microsoft.com/office/drawing/2014/chart" uri="{C3380CC4-5D6E-409C-BE32-E72D297353CC}">
              <c16:uniqueId val="{00000000-7768-4D0E-B6F7-F4CC5DE38E00}"/>
            </c:ext>
          </c:extLst>
        </c:ser>
        <c:ser>
          <c:idx val="1"/>
          <c:order val="1"/>
          <c:tx>
            <c:strRef>
              <c:f>'Phosphorus Trends'!$E$98</c:f>
              <c:strCache>
                <c:ptCount val="1"/>
                <c:pt idx="0">
                  <c:v>Retained In Reservoir</c:v>
                </c:pt>
              </c:strCache>
            </c:strRef>
          </c:tx>
          <c:spPr>
            <a:ln w="25400">
              <a:solidFill>
                <a:srgbClr val="FF00FF"/>
              </a:solidFill>
              <a:prstDash val="solid"/>
            </a:ln>
          </c:spPr>
          <c:marker>
            <c:symbol val="square"/>
            <c:size val="6"/>
            <c:spPr>
              <a:solidFill>
                <a:srgbClr val="FF00FF"/>
              </a:solidFill>
              <a:ln>
                <a:solidFill>
                  <a:srgbClr val="FF00FF"/>
                </a:solidFill>
                <a:prstDash val="solid"/>
              </a:ln>
            </c:spPr>
          </c:marker>
          <c:cat>
            <c:numRef>
              <c:f>'Phosphorus Trends'!$F$74:$F$96</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'Phosphorus Trends'!$G$98:$G$120</c:f>
              <c:numCache>
                <c:formatCode>0</c:formatCode>
                <c:ptCount val="23"/>
                <c:pt idx="0" formatCode="General">
                  <c:v>307.5</c:v>
                </c:pt>
                <c:pt idx="1">
                  <c:v>144</c:v>
                </c:pt>
                <c:pt idx="2">
                  <c:v>162.5</c:v>
                </c:pt>
                <c:pt idx="3">
                  <c:v>65.5</c:v>
                </c:pt>
                <c:pt idx="4">
                  <c:v>14.5</c:v>
                </c:pt>
                <c:pt idx="5">
                  <c:v>24</c:v>
                </c:pt>
                <c:pt idx="6">
                  <c:v>2.34375</c:v>
                </c:pt>
                <c:pt idx="7">
                  <c:v>32.546519746997504</c:v>
                </c:pt>
                <c:pt idx="8">
                  <c:v>2.3999999999999986</c:v>
                </c:pt>
                <c:pt idx="9">
                  <c:v>7.5</c:v>
                </c:pt>
                <c:pt idx="10">
                  <c:v>-30</c:v>
                </c:pt>
                <c:pt idx="11">
                  <c:v>-24</c:v>
                </c:pt>
                <c:pt idx="12">
                  <c:v>29.20000000000001</c:v>
                </c:pt>
                <c:pt idx="13">
                  <c:v>4.6500000000000057</c:v>
                </c:pt>
                <c:pt idx="14">
                  <c:v>-2.2000000000000028</c:v>
                </c:pt>
                <c:pt idx="15">
                  <c:v>1.5</c:v>
                </c:pt>
                <c:pt idx="16">
                  <c:v>-8.3500000000000014</c:v>
                </c:pt>
                <c:pt idx="17">
                  <c:v>1</c:v>
                </c:pt>
                <c:pt idx="18">
                  <c:v>-2.75</c:v>
                </c:pt>
                <c:pt idx="19">
                  <c:v>3.1000000000000014</c:v>
                </c:pt>
                <c:pt idx="20">
                  <c:v>1.5</c:v>
                </c:pt>
                <c:pt idx="21">
                  <c:v>-14.8</c:v>
                </c:pt>
                <c:pt idx="22">
                  <c:v>-8.8999999999999986</c:v>
                </c:pt>
              </c:numCache>
            </c:numRef>
          </c:val>
          <c:smooth val="0"/>
          <c:extLst>
            <c:ext xmlns:c16="http://schemas.microsoft.com/office/drawing/2014/chart" uri="{C3380CC4-5D6E-409C-BE32-E72D297353CC}">
              <c16:uniqueId val="{00000001-7768-4D0E-B6F7-F4CC5DE38E00}"/>
            </c:ext>
          </c:extLst>
        </c:ser>
        <c:ser>
          <c:idx val="2"/>
          <c:order val="2"/>
          <c:tx>
            <c:strRef>
              <c:f>'Phosphorus Trends'!$A$74</c:f>
              <c:strCache>
                <c:ptCount val="1"/>
                <c:pt idx="0">
                  <c:v>Bear Creek Outflow</c:v>
                </c:pt>
              </c:strCache>
            </c:strRef>
          </c:tx>
          <c:spPr>
            <a:ln w="38100">
              <a:solidFill>
                <a:srgbClr val="FF0000"/>
              </a:solidFill>
              <a:prstDash val="solid"/>
            </a:ln>
          </c:spPr>
          <c:marker>
            <c:symbol val="triangle"/>
            <c:size val="9"/>
            <c:spPr>
              <a:solidFill>
                <a:srgbClr val="FF0000"/>
              </a:solidFill>
              <a:ln>
                <a:solidFill>
                  <a:srgbClr val="FF0000"/>
                </a:solidFill>
                <a:prstDash val="solid"/>
              </a:ln>
            </c:spPr>
          </c:marker>
          <c:cat>
            <c:numRef>
              <c:f>'Phosphorus Trends'!$F$74:$F$96</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'Phosphorus Trends'!$C$74:$C$96</c:f>
              <c:numCache>
                <c:formatCode>0</c:formatCode>
                <c:ptCount val="23"/>
                <c:pt idx="0">
                  <c:v>128</c:v>
                </c:pt>
                <c:pt idx="1">
                  <c:v>181</c:v>
                </c:pt>
                <c:pt idx="2">
                  <c:v>157</c:v>
                </c:pt>
                <c:pt idx="3">
                  <c:v>177</c:v>
                </c:pt>
                <c:pt idx="4">
                  <c:v>92</c:v>
                </c:pt>
                <c:pt idx="5">
                  <c:v>36</c:v>
                </c:pt>
                <c:pt idx="6">
                  <c:v>34.9375</c:v>
                </c:pt>
                <c:pt idx="7">
                  <c:v>39</c:v>
                </c:pt>
                <c:pt idx="8">
                  <c:v>34.5</c:v>
                </c:pt>
                <c:pt idx="9">
                  <c:v>35</c:v>
                </c:pt>
                <c:pt idx="10">
                  <c:v>58</c:v>
                </c:pt>
                <c:pt idx="11">
                  <c:v>46</c:v>
                </c:pt>
                <c:pt idx="12">
                  <c:v>46.9</c:v>
                </c:pt>
                <c:pt idx="13">
                  <c:v>63.3</c:v>
                </c:pt>
                <c:pt idx="14">
                  <c:v>30.1</c:v>
                </c:pt>
                <c:pt idx="15">
                  <c:v>32</c:v>
                </c:pt>
                <c:pt idx="16">
                  <c:v>22.8</c:v>
                </c:pt>
                <c:pt idx="17">
                  <c:v>31</c:v>
                </c:pt>
                <c:pt idx="18">
                  <c:v>29</c:v>
                </c:pt>
                <c:pt idx="19">
                  <c:v>24.2</c:v>
                </c:pt>
                <c:pt idx="20">
                  <c:v>31.1</c:v>
                </c:pt>
                <c:pt idx="21">
                  <c:v>39.5</c:v>
                </c:pt>
                <c:pt idx="22">
                  <c:v>55.9</c:v>
                </c:pt>
              </c:numCache>
            </c:numRef>
          </c:val>
          <c:smooth val="0"/>
          <c:extLst>
            <c:ext xmlns:c16="http://schemas.microsoft.com/office/drawing/2014/chart" uri="{C3380CC4-5D6E-409C-BE32-E72D297353CC}">
              <c16:uniqueId val="{00000002-7768-4D0E-B6F7-F4CC5DE38E00}"/>
            </c:ext>
          </c:extLst>
        </c:ser>
        <c:dLbls>
          <c:showLegendKey val="0"/>
          <c:showVal val="0"/>
          <c:showCatName val="0"/>
          <c:showSerName val="0"/>
          <c:showPercent val="0"/>
          <c:showBubbleSize val="0"/>
        </c:dLbls>
        <c:marker val="1"/>
        <c:smooth val="0"/>
        <c:axId val="118369280"/>
        <c:axId val="118387840"/>
      </c:lineChart>
      <c:catAx>
        <c:axId val="1183692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640000" vert="horz"/>
          <a:lstStyle/>
          <a:p>
            <a:pPr>
              <a:defRPr sz="800" b="1" i="0" u="none" strike="noStrike" baseline="0">
                <a:solidFill>
                  <a:srgbClr val="000000"/>
                </a:solidFill>
                <a:latin typeface="Arial"/>
                <a:ea typeface="Arial"/>
                <a:cs typeface="Arial"/>
              </a:defRPr>
            </a:pPr>
            <a:endParaRPr lang="en-US"/>
          </a:p>
        </c:txPr>
        <c:crossAx val="118387840"/>
        <c:crossesAt val="-50"/>
        <c:auto val="1"/>
        <c:lblAlgn val="ctr"/>
        <c:lblOffset val="100"/>
        <c:tickLblSkip val="1"/>
        <c:tickMarkSkip val="1"/>
        <c:noMultiLvlLbl val="0"/>
      </c:catAx>
      <c:valAx>
        <c:axId val="118387840"/>
        <c:scaling>
          <c:orientation val="minMax"/>
          <c:max val="500"/>
          <c:min val="-50"/>
        </c:scaling>
        <c:delete val="0"/>
        <c:axPos val="l"/>
        <c:majorGridlines>
          <c:spPr>
            <a:ln w="3175">
              <a:solidFill>
                <a:srgbClr val="000000"/>
              </a:solidFill>
              <a:prstDash val="solid"/>
            </a:ln>
          </c:spPr>
        </c:majorGridlines>
        <c:minorGridlines/>
        <c:title>
          <c:tx>
            <c:rich>
              <a:bodyPr/>
              <a:lstStyle/>
              <a:p>
                <a:pPr>
                  <a:defRPr sz="900" b="1" i="0" u="none" strike="noStrike" baseline="0">
                    <a:solidFill>
                      <a:srgbClr val="000000"/>
                    </a:solidFill>
                    <a:latin typeface="Arial"/>
                    <a:ea typeface="Arial"/>
                    <a:cs typeface="Arial"/>
                  </a:defRPr>
                </a:pPr>
                <a:r>
                  <a:rPr lang="en-US"/>
                  <a:t>Total Phosphorus [ug/l]
</a:t>
                </a:r>
              </a:p>
            </c:rich>
          </c:tx>
          <c:layout>
            <c:manualLayout>
              <c:xMode val="edge"/>
              <c:yMode val="edge"/>
              <c:x val="8.8495575221241747E-3"/>
              <c:y val="0.3070652173913043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18369280"/>
        <c:crosses val="autoZero"/>
        <c:crossBetween val="between"/>
        <c:majorUnit val="50"/>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57876161939936765"/>
          <c:y val="0.20108695652173941"/>
          <c:w val="0.34513311499779326"/>
          <c:h val="0.15217391304347827"/>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Bear Creek Watershed - Total Phosphorus Trends 
</a:t>
            </a:r>
          </a:p>
        </c:rich>
      </c:tx>
      <c:layout>
        <c:manualLayout>
          <c:xMode val="edge"/>
          <c:yMode val="edge"/>
          <c:x val="0.19651347068145841"/>
          <c:y val="3.4482758620689655E-2"/>
        </c:manualLayout>
      </c:layout>
      <c:overlay val="0"/>
      <c:spPr>
        <a:noFill/>
        <a:ln w="25400">
          <a:noFill/>
        </a:ln>
      </c:spPr>
    </c:title>
    <c:autoTitleDeleted val="0"/>
    <c:plotArea>
      <c:layout>
        <c:manualLayout>
          <c:layoutTarget val="inner"/>
          <c:xMode val="edge"/>
          <c:yMode val="edge"/>
          <c:x val="8.8748087692594582E-2"/>
          <c:y val="0.1285268424992079"/>
          <c:w val="0.9033287497281951"/>
          <c:h val="0.74608264670271851"/>
        </c:manualLayout>
      </c:layout>
      <c:barChart>
        <c:barDir val="col"/>
        <c:grouping val="clustered"/>
        <c:varyColors val="0"/>
        <c:ser>
          <c:idx val="0"/>
          <c:order val="0"/>
          <c:tx>
            <c:strRef>
              <c:f>'Phosphorus Trends'!$E$3</c:f>
              <c:strCache>
                <c:ptCount val="1"/>
                <c:pt idx="0">
                  <c:v>Bear Creek Inflow</c:v>
                </c:pt>
              </c:strCache>
            </c:strRef>
          </c:tx>
          <c:spPr>
            <a:solidFill>
              <a:srgbClr val="9999FF"/>
            </a:solidFill>
            <a:ln w="12700">
              <a:solidFill>
                <a:srgbClr val="000000"/>
              </a:solidFill>
              <a:prstDash val="solid"/>
            </a:ln>
          </c:spPr>
          <c:invertIfNegative val="0"/>
          <c:cat>
            <c:numRef>
              <c:f>'Phosphorus Trends'!$F$3:$F$25</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'Phosphorus Trends'!$G$3:$G$25</c:f>
              <c:numCache>
                <c:formatCode>0</c:formatCode>
                <c:ptCount val="23"/>
                <c:pt idx="0">
                  <c:v>334</c:v>
                </c:pt>
                <c:pt idx="1">
                  <c:v>267</c:v>
                </c:pt>
                <c:pt idx="2">
                  <c:v>277</c:v>
                </c:pt>
                <c:pt idx="3">
                  <c:v>216</c:v>
                </c:pt>
                <c:pt idx="4">
                  <c:v>122</c:v>
                </c:pt>
                <c:pt idx="5">
                  <c:v>73</c:v>
                </c:pt>
                <c:pt idx="6">
                  <c:v>58.5</c:v>
                </c:pt>
                <c:pt idx="7">
                  <c:v>63.093039493995008</c:v>
                </c:pt>
                <c:pt idx="8">
                  <c:v>40.799999999999997</c:v>
                </c:pt>
                <c:pt idx="9">
                  <c:v>38</c:v>
                </c:pt>
                <c:pt idx="10">
                  <c:v>37</c:v>
                </c:pt>
                <c:pt idx="11">
                  <c:v>22</c:v>
                </c:pt>
                <c:pt idx="12">
                  <c:v>137.30000000000001</c:v>
                </c:pt>
                <c:pt idx="13">
                  <c:v>113.3</c:v>
                </c:pt>
                <c:pt idx="14">
                  <c:v>34.1</c:v>
                </c:pt>
                <c:pt idx="15">
                  <c:v>44</c:v>
                </c:pt>
                <c:pt idx="16">
                  <c:v>21.3</c:v>
                </c:pt>
                <c:pt idx="17">
                  <c:v>41</c:v>
                </c:pt>
                <c:pt idx="18">
                  <c:v>37.700000000000003</c:v>
                </c:pt>
                <c:pt idx="19">
                  <c:v>19.100000000000001</c:v>
                </c:pt>
                <c:pt idx="20">
                  <c:v>45.9</c:v>
                </c:pt>
                <c:pt idx="21">
                  <c:v>36.9</c:v>
                </c:pt>
                <c:pt idx="22">
                  <c:v>61.7</c:v>
                </c:pt>
              </c:numCache>
            </c:numRef>
          </c:val>
          <c:extLst>
            <c:ext xmlns:c16="http://schemas.microsoft.com/office/drawing/2014/chart" uri="{C3380CC4-5D6E-409C-BE32-E72D297353CC}">
              <c16:uniqueId val="{00000000-E2BB-479C-85D5-C7B4D517EA61}"/>
            </c:ext>
          </c:extLst>
        </c:ser>
        <c:ser>
          <c:idx val="1"/>
          <c:order val="1"/>
          <c:tx>
            <c:strRef>
              <c:f>'Phosphorus Trends'!$E$48</c:f>
              <c:strCache>
                <c:ptCount val="1"/>
                <c:pt idx="0">
                  <c:v>Turkey Creek Inflow</c:v>
                </c:pt>
              </c:strCache>
            </c:strRef>
          </c:tx>
          <c:spPr>
            <a:solidFill>
              <a:srgbClr val="993366"/>
            </a:solidFill>
            <a:ln w="12700">
              <a:solidFill>
                <a:srgbClr val="000000"/>
              </a:solidFill>
              <a:prstDash val="solid"/>
            </a:ln>
          </c:spPr>
          <c:invertIfNegative val="0"/>
          <c:cat>
            <c:numRef>
              <c:f>'Phosphorus Trends'!$F$3:$F$25</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'Phosphorus Trends'!$G$48:$G$70</c:f>
              <c:numCache>
                <c:formatCode>0</c:formatCode>
                <c:ptCount val="23"/>
                <c:pt idx="0" formatCode="General">
                  <c:v>537</c:v>
                </c:pt>
                <c:pt idx="1">
                  <c:v>383</c:v>
                </c:pt>
                <c:pt idx="2">
                  <c:v>362</c:v>
                </c:pt>
                <c:pt idx="3">
                  <c:v>269</c:v>
                </c:pt>
                <c:pt idx="4">
                  <c:v>91</c:v>
                </c:pt>
                <c:pt idx="5">
                  <c:v>47</c:v>
                </c:pt>
                <c:pt idx="6">
                  <c:v>16.0625</c:v>
                </c:pt>
                <c:pt idx="7" formatCode="0.0_)">
                  <c:v>80</c:v>
                </c:pt>
                <c:pt idx="8" formatCode="0.0_)">
                  <c:v>33</c:v>
                </c:pt>
                <c:pt idx="9" formatCode="0.0_)">
                  <c:v>47</c:v>
                </c:pt>
                <c:pt idx="10" formatCode="0.0_)">
                  <c:v>19</c:v>
                </c:pt>
                <c:pt idx="11" formatCode="0.0_)">
                  <c:v>22</c:v>
                </c:pt>
                <c:pt idx="12" formatCode="0.0_)">
                  <c:v>14.9</c:v>
                </c:pt>
                <c:pt idx="13" formatCode="0.0_)">
                  <c:v>22.6</c:v>
                </c:pt>
                <c:pt idx="14" formatCode="0.0_)">
                  <c:v>21.7</c:v>
                </c:pt>
                <c:pt idx="15" formatCode="0.0_)">
                  <c:v>23</c:v>
                </c:pt>
                <c:pt idx="16" formatCode="0.0_)">
                  <c:v>7.6</c:v>
                </c:pt>
                <c:pt idx="17" formatCode="0.0_)">
                  <c:v>23</c:v>
                </c:pt>
                <c:pt idx="18" formatCode="0.0_)">
                  <c:v>14.8</c:v>
                </c:pt>
                <c:pt idx="19" formatCode="0.0_)">
                  <c:v>35.5</c:v>
                </c:pt>
                <c:pt idx="20" formatCode="0.0_)">
                  <c:v>19.3</c:v>
                </c:pt>
                <c:pt idx="21" formatCode="0.0_)">
                  <c:v>12.5</c:v>
                </c:pt>
                <c:pt idx="22" formatCode="0.0_)">
                  <c:v>32.299999999999997</c:v>
                </c:pt>
              </c:numCache>
            </c:numRef>
          </c:val>
          <c:extLst>
            <c:ext xmlns:c16="http://schemas.microsoft.com/office/drawing/2014/chart" uri="{C3380CC4-5D6E-409C-BE32-E72D297353CC}">
              <c16:uniqueId val="{00000001-E2BB-479C-85D5-C7B4D517EA61}"/>
            </c:ext>
          </c:extLst>
        </c:ser>
        <c:dLbls>
          <c:showLegendKey val="0"/>
          <c:showVal val="0"/>
          <c:showCatName val="0"/>
          <c:showSerName val="0"/>
          <c:showPercent val="0"/>
          <c:showBubbleSize val="0"/>
        </c:dLbls>
        <c:gapWidth val="150"/>
        <c:axId val="118408320"/>
        <c:axId val="118409856"/>
      </c:barChart>
      <c:catAx>
        <c:axId val="1184083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8409856"/>
        <c:crosses val="autoZero"/>
        <c:auto val="1"/>
        <c:lblAlgn val="ctr"/>
        <c:lblOffset val="100"/>
        <c:tickLblSkip val="1"/>
        <c:tickMarkSkip val="1"/>
        <c:noMultiLvlLbl val="0"/>
      </c:catAx>
      <c:valAx>
        <c:axId val="118409856"/>
        <c:scaling>
          <c:orientation val="minMax"/>
        </c:scaling>
        <c:delete val="0"/>
        <c:axPos val="l"/>
        <c:majorGridlines>
          <c:spPr>
            <a:ln w="3175">
              <a:solidFill>
                <a:srgbClr val="000000"/>
              </a:solidFill>
              <a:prstDash val="solid"/>
            </a:ln>
          </c:spPr>
        </c:majorGridlines>
        <c:minorGridlines/>
        <c:title>
          <c:tx>
            <c:rich>
              <a:bodyPr/>
              <a:lstStyle/>
              <a:p>
                <a:pPr>
                  <a:defRPr sz="1150" b="1" i="0" u="none" strike="noStrike" baseline="0">
                    <a:solidFill>
                      <a:srgbClr val="000000"/>
                    </a:solidFill>
                    <a:latin typeface="Arial"/>
                    <a:ea typeface="Arial"/>
                    <a:cs typeface="Arial"/>
                  </a:defRPr>
                </a:pPr>
                <a:r>
                  <a:rPr lang="en-US"/>
                  <a:t>Total Phosphorus [ug/l]</a:t>
                </a:r>
              </a:p>
            </c:rich>
          </c:tx>
          <c:layout>
            <c:manualLayout>
              <c:xMode val="edge"/>
              <c:yMode val="edge"/>
              <c:x val="7.9239302694136312E-3"/>
              <c:y val="0.2351100469808045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8408320"/>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71828985998854644"/>
          <c:y val="0.14768951218375787"/>
          <c:w val="0.22345499997920226"/>
          <c:h val="0.14360961458765023"/>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a:pPr>
            <a:r>
              <a:rPr lang="en-US"/>
              <a:t>Total Phosphorus Distributon In Water Column</a:t>
            </a:r>
          </a:p>
        </c:rich>
      </c:tx>
      <c:layout>
        <c:manualLayout>
          <c:xMode val="edge"/>
          <c:yMode val="edge"/>
          <c:x val="0.21894409937889137"/>
          <c:y val="3.333333333333334E-2"/>
        </c:manualLayout>
      </c:layout>
      <c:overlay val="0"/>
    </c:title>
    <c:autoTitleDeleted val="0"/>
    <c:plotArea>
      <c:layout>
        <c:manualLayout>
          <c:layoutTarget val="inner"/>
          <c:xMode val="edge"/>
          <c:yMode val="edge"/>
          <c:x val="0.13899613899615054"/>
          <c:y val="0.11794925634295711"/>
          <c:w val="0.83397683397683464"/>
          <c:h val="0.68557486917908861"/>
        </c:manualLayout>
      </c:layout>
      <c:barChart>
        <c:barDir val="col"/>
        <c:grouping val="stacked"/>
        <c:varyColors val="0"/>
        <c:ser>
          <c:idx val="2"/>
          <c:order val="0"/>
          <c:tx>
            <c:strRef>
              <c:f>'Phosphorus Trends'!$A$3</c:f>
              <c:strCache>
                <c:ptCount val="1"/>
                <c:pt idx="0">
                  <c:v>Reservoir Bottom</c:v>
                </c:pt>
              </c:strCache>
            </c:strRef>
          </c:tx>
          <c:invertIfNegative val="0"/>
          <c:cat>
            <c:numRef>
              <c:f>'Phosphorus Trends'!$B$48:$B$70</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'Phosphorus Trends'!$C$3:$C$25</c:f>
              <c:numCache>
                <c:formatCode>0</c:formatCode>
                <c:ptCount val="23"/>
                <c:pt idx="0">
                  <c:v>119.5</c:v>
                </c:pt>
                <c:pt idx="1">
                  <c:v>270</c:v>
                </c:pt>
                <c:pt idx="2">
                  <c:v>201</c:v>
                </c:pt>
                <c:pt idx="3">
                  <c:v>240</c:v>
                </c:pt>
                <c:pt idx="4">
                  <c:v>100</c:v>
                </c:pt>
                <c:pt idx="5">
                  <c:v>52</c:v>
                </c:pt>
                <c:pt idx="6">
                  <c:v>66.1875</c:v>
                </c:pt>
                <c:pt idx="7">
                  <c:v>85.579818007202547</c:v>
                </c:pt>
                <c:pt idx="8">
                  <c:v>69.2</c:v>
                </c:pt>
                <c:pt idx="9">
                  <c:v>54</c:v>
                </c:pt>
                <c:pt idx="10">
                  <c:v>56</c:v>
                </c:pt>
                <c:pt idx="11">
                  <c:v>64</c:v>
                </c:pt>
                <c:pt idx="12">
                  <c:v>55.5</c:v>
                </c:pt>
                <c:pt idx="13">
                  <c:v>52.9</c:v>
                </c:pt>
                <c:pt idx="14">
                  <c:v>44.3</c:v>
                </c:pt>
                <c:pt idx="15">
                  <c:v>47</c:v>
                </c:pt>
                <c:pt idx="16">
                  <c:v>26</c:v>
                </c:pt>
                <c:pt idx="17">
                  <c:v>31</c:v>
                </c:pt>
                <c:pt idx="18">
                  <c:v>62.2</c:v>
                </c:pt>
                <c:pt idx="19">
                  <c:v>35.299999999999997</c:v>
                </c:pt>
                <c:pt idx="20">
                  <c:v>38.9</c:v>
                </c:pt>
                <c:pt idx="21">
                  <c:v>47.9</c:v>
                </c:pt>
                <c:pt idx="22">
                  <c:v>69.8</c:v>
                </c:pt>
              </c:numCache>
            </c:numRef>
          </c:val>
          <c:extLst>
            <c:ext xmlns:c16="http://schemas.microsoft.com/office/drawing/2014/chart" uri="{C3380CC4-5D6E-409C-BE32-E72D297353CC}">
              <c16:uniqueId val="{00000000-5A6C-42EF-A201-CC84C57F273C}"/>
            </c:ext>
          </c:extLst>
        </c:ser>
        <c:ser>
          <c:idx val="0"/>
          <c:order val="1"/>
          <c:tx>
            <c:strRef>
              <c:f>'Phosphorus Trends'!$A$48</c:f>
              <c:strCache>
                <c:ptCount val="1"/>
                <c:pt idx="0">
                  <c:v>Reservoir Top</c:v>
                </c:pt>
              </c:strCache>
            </c:strRef>
          </c:tx>
          <c:invertIfNegative val="0"/>
          <c:val>
            <c:numRef>
              <c:f>'Phosphorus Trends'!$C$48:$C$70</c:f>
              <c:numCache>
                <c:formatCode>0</c:formatCode>
                <c:ptCount val="23"/>
                <c:pt idx="0">
                  <c:v>129</c:v>
                </c:pt>
                <c:pt idx="1">
                  <c:v>144</c:v>
                </c:pt>
                <c:pt idx="2">
                  <c:v>146</c:v>
                </c:pt>
                <c:pt idx="3">
                  <c:v>175</c:v>
                </c:pt>
                <c:pt idx="4">
                  <c:v>83</c:v>
                </c:pt>
                <c:pt idx="5">
                  <c:v>34</c:v>
                </c:pt>
                <c:pt idx="6">
                  <c:v>29.4375</c:v>
                </c:pt>
                <c:pt idx="7" formatCode="0.0_)">
                  <c:v>38</c:v>
                </c:pt>
                <c:pt idx="8" formatCode="0.0_)">
                  <c:v>33.299999999999997</c:v>
                </c:pt>
                <c:pt idx="9" formatCode="0.0_)">
                  <c:v>34</c:v>
                </c:pt>
                <c:pt idx="10" formatCode="0.0_)">
                  <c:v>59</c:v>
                </c:pt>
                <c:pt idx="11" formatCode="0.0_)">
                  <c:v>42</c:v>
                </c:pt>
                <c:pt idx="12" formatCode="0.0_)">
                  <c:v>46.1</c:v>
                </c:pt>
                <c:pt idx="13" formatCode="0.0_)">
                  <c:v>49.1</c:v>
                </c:pt>
                <c:pt idx="14" formatCode="0.0_)">
                  <c:v>24.3</c:v>
                </c:pt>
                <c:pt idx="15" formatCode="0.0_)">
                  <c:v>33</c:v>
                </c:pt>
                <c:pt idx="16" formatCode="0.0_)">
                  <c:v>21.6</c:v>
                </c:pt>
                <c:pt idx="17" formatCode="0.0_)">
                  <c:v>30</c:v>
                </c:pt>
                <c:pt idx="18" formatCode="0.0_)">
                  <c:v>39.799999999999997</c:v>
                </c:pt>
                <c:pt idx="19" formatCode="0.0_)">
                  <c:v>34.200000000000003</c:v>
                </c:pt>
                <c:pt idx="20" formatCode="0.0_)">
                  <c:v>28.3</c:v>
                </c:pt>
                <c:pt idx="21" formatCode="0.0_)">
                  <c:v>33.700000000000003</c:v>
                </c:pt>
                <c:pt idx="22" formatCode="0.0_)">
                  <c:v>53.4</c:v>
                </c:pt>
              </c:numCache>
            </c:numRef>
          </c:val>
          <c:extLst>
            <c:ext xmlns:c16="http://schemas.microsoft.com/office/drawing/2014/chart" uri="{C3380CC4-5D6E-409C-BE32-E72D297353CC}">
              <c16:uniqueId val="{00000001-5A6C-42EF-A201-CC84C57F273C}"/>
            </c:ext>
          </c:extLst>
        </c:ser>
        <c:dLbls>
          <c:showLegendKey val="0"/>
          <c:showVal val="0"/>
          <c:showCatName val="0"/>
          <c:showSerName val="0"/>
          <c:showPercent val="0"/>
          <c:showBubbleSize val="0"/>
        </c:dLbls>
        <c:gapWidth val="150"/>
        <c:overlap val="100"/>
        <c:axId val="118447104"/>
        <c:axId val="118457088"/>
      </c:barChart>
      <c:catAx>
        <c:axId val="118447104"/>
        <c:scaling>
          <c:orientation val="minMax"/>
        </c:scaling>
        <c:delete val="0"/>
        <c:axPos val="b"/>
        <c:numFmt formatCode="General" sourceLinked="1"/>
        <c:majorTickMark val="out"/>
        <c:minorTickMark val="none"/>
        <c:tickLblPos val="nextTo"/>
        <c:txPr>
          <a:bodyPr rot="-5400000" vert="horz"/>
          <a:lstStyle/>
          <a:p>
            <a:pPr>
              <a:defRPr/>
            </a:pPr>
            <a:endParaRPr lang="en-US"/>
          </a:p>
        </c:txPr>
        <c:crossAx val="118457088"/>
        <c:crosses val="autoZero"/>
        <c:auto val="1"/>
        <c:lblAlgn val="ctr"/>
        <c:lblOffset val="100"/>
        <c:tickLblSkip val="1"/>
        <c:tickMarkSkip val="1"/>
        <c:noMultiLvlLbl val="0"/>
      </c:catAx>
      <c:valAx>
        <c:axId val="118457088"/>
        <c:scaling>
          <c:orientation val="minMax"/>
        </c:scaling>
        <c:delete val="0"/>
        <c:axPos val="l"/>
        <c:majorGridlines/>
        <c:minorGridlines/>
        <c:title>
          <c:tx>
            <c:rich>
              <a:bodyPr/>
              <a:lstStyle/>
              <a:p>
                <a:pPr>
                  <a:defRPr/>
                </a:pPr>
                <a:r>
                  <a:rPr lang="en-US"/>
                  <a:t>Total Phosphorus ug/l</a:t>
                </a:r>
              </a:p>
            </c:rich>
          </c:tx>
          <c:layout>
            <c:manualLayout>
              <c:xMode val="edge"/>
              <c:yMode val="edge"/>
              <c:x val="3.7099166951957092E-2"/>
              <c:y val="0.21503062117235391"/>
            </c:manualLayout>
          </c:layout>
          <c:overlay val="0"/>
        </c:title>
        <c:numFmt formatCode="0" sourceLinked="1"/>
        <c:majorTickMark val="out"/>
        <c:minorTickMark val="none"/>
        <c:tickLblPos val="nextTo"/>
        <c:txPr>
          <a:bodyPr rot="0" vert="horz"/>
          <a:lstStyle/>
          <a:p>
            <a:pPr>
              <a:defRPr/>
            </a:pPr>
            <a:endParaRPr lang="en-US"/>
          </a:p>
        </c:txPr>
        <c:crossAx val="118447104"/>
        <c:crosses val="autoZero"/>
        <c:crossBetween val="between"/>
      </c:valAx>
    </c:plotArea>
    <c:legend>
      <c:legendPos val="t"/>
      <c:layout>
        <c:manualLayout>
          <c:xMode val="edge"/>
          <c:yMode val="edge"/>
          <c:x val="0.68951614907533687"/>
          <c:y val="0.16643748799692795"/>
          <c:w val="0.24699525902160419"/>
          <c:h val="0.1773547005811270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xPr>
        <a:bodyPr/>
        <a:lstStyle/>
        <a:p>
          <a:pPr>
            <a:defRPr sz="105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alignWithMargins="0"/>
    <c:pageMargins b="1" l="0.75000000000001465" r="0.75000000000001465" t="1" header="0.5" footer="0.5"/>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a:t>2008 Total Suspended Sediment Load into Reservoir</a:t>
            </a:r>
          </a:p>
        </c:rich>
      </c:tx>
      <c:layout>
        <c:manualLayout>
          <c:xMode val="edge"/>
          <c:yMode val="edge"/>
          <c:x val="0.30093209054593872"/>
          <c:y val="4.2194092827004523E-2"/>
        </c:manualLayout>
      </c:layout>
      <c:overlay val="0"/>
      <c:spPr>
        <a:noFill/>
        <a:ln w="25400">
          <a:noFill/>
        </a:ln>
      </c:spPr>
    </c:title>
    <c:autoTitleDeleted val="0"/>
    <c:plotArea>
      <c:layout>
        <c:manualLayout>
          <c:layoutTarget val="inner"/>
          <c:xMode val="edge"/>
          <c:yMode val="edge"/>
          <c:x val="0.14233576642335766"/>
          <c:y val="0.12658280006757675"/>
          <c:w val="0.83211678832113956"/>
          <c:h val="0.71730253371623098"/>
        </c:manualLayout>
      </c:layout>
      <c:lineChart>
        <c:grouping val="standard"/>
        <c:varyColors val="0"/>
        <c:ser>
          <c:idx val="0"/>
          <c:order val="0"/>
          <c:tx>
            <c:strRef>
              <c:f>Loading!$A$59</c:f>
              <c:strCache>
                <c:ptCount val="1"/>
                <c:pt idx="0">
                  <c:v>Site 15a-Bear Creek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strRef>
              <c:f>Loading!$B$57:$M$57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Loading!$B$59:$M$59</c:f>
              <c:numCache>
                <c:formatCode>#,##0</c:formatCode>
                <c:ptCount val="12"/>
                <c:pt idx="0">
                  <c:v>2827.2336353100004</c:v>
                </c:pt>
                <c:pt idx="1">
                  <c:v>2827.2336353100004</c:v>
                </c:pt>
                <c:pt idx="2">
                  <c:v>76900.754880432025</c:v>
                </c:pt>
                <c:pt idx="3">
                  <c:v>17528.848538922</c:v>
                </c:pt>
                <c:pt idx="4">
                  <c:v>41277.611075526002</c:v>
                </c:pt>
                <c:pt idx="5">
                  <c:v>27706.889626038006</c:v>
                </c:pt>
                <c:pt idx="6">
                  <c:v>100366.794053505</c:v>
                </c:pt>
                <c:pt idx="7">
                  <c:v>42125.781166119006</c:v>
                </c:pt>
                <c:pt idx="8">
                  <c:v>160021.42375854601</c:v>
                </c:pt>
                <c:pt idx="9">
                  <c:v>17528.848538922</c:v>
                </c:pt>
                <c:pt idx="10">
                  <c:v>12439.827995364001</c:v>
                </c:pt>
                <c:pt idx="11">
                  <c:v>11308.934541240002</c:v>
                </c:pt>
              </c:numCache>
            </c:numRef>
          </c:val>
          <c:smooth val="0"/>
          <c:extLst>
            <c:ext xmlns:c16="http://schemas.microsoft.com/office/drawing/2014/chart" uri="{C3380CC4-5D6E-409C-BE32-E72D297353CC}">
              <c16:uniqueId val="{00000000-8BC3-4839-9A0C-52537E9FB223}"/>
            </c:ext>
          </c:extLst>
        </c:ser>
        <c:ser>
          <c:idx val="1"/>
          <c:order val="1"/>
          <c:tx>
            <c:strRef>
              <c:f>Loading!$A$58</c:f>
              <c:strCache>
                <c:ptCount val="1"/>
                <c:pt idx="0">
                  <c:v>Site 16a-Turkey Creek Inflow</c:v>
                </c:pt>
              </c:strCache>
            </c:strRef>
          </c:tx>
          <c:spPr>
            <a:ln w="38100">
              <a:solidFill>
                <a:srgbClr val="FF00FF"/>
              </a:solidFill>
              <a:prstDash val="solid"/>
            </a:ln>
          </c:spPr>
          <c:marker>
            <c:symbol val="square"/>
            <c:size val="6"/>
            <c:spPr>
              <a:solidFill>
                <a:srgbClr val="FF00FF"/>
              </a:solidFill>
              <a:ln>
                <a:solidFill>
                  <a:srgbClr val="FF00FF"/>
                </a:solidFill>
                <a:prstDash val="solid"/>
              </a:ln>
            </c:spPr>
          </c:marker>
          <c:cat>
            <c:strRef>
              <c:f>Loading!$B$57:$M$57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Loading!$B$58:$M$58</c:f>
              <c:numCache>
                <c:formatCode>#,##0</c:formatCode>
                <c:ptCount val="12"/>
                <c:pt idx="0">
                  <c:v>217.60827270000001</c:v>
                </c:pt>
                <c:pt idx="1">
                  <c:v>957.47639988000014</c:v>
                </c:pt>
                <c:pt idx="2">
                  <c:v>2741.8642360200001</c:v>
                </c:pt>
                <c:pt idx="3">
                  <c:v>1044.5197089600003</c:v>
                </c:pt>
                <c:pt idx="4">
                  <c:v>5766.6192265500003</c:v>
                </c:pt>
                <c:pt idx="5">
                  <c:v>2720.1034087500007</c:v>
                </c:pt>
                <c:pt idx="6">
                  <c:v>22533.336638084998</c:v>
                </c:pt>
                <c:pt idx="7">
                  <c:v>7594.5287172300004</c:v>
                </c:pt>
                <c:pt idx="8">
                  <c:v>2415.4518269700002</c:v>
                </c:pt>
                <c:pt idx="9">
                  <c:v>3938.7097358700007</c:v>
                </c:pt>
                <c:pt idx="10">
                  <c:v>4003.9922176800005</c:v>
                </c:pt>
                <c:pt idx="11">
                  <c:v>3525.2540177400006</c:v>
                </c:pt>
              </c:numCache>
            </c:numRef>
          </c:val>
          <c:smooth val="0"/>
          <c:extLst>
            <c:ext xmlns:c16="http://schemas.microsoft.com/office/drawing/2014/chart" uri="{C3380CC4-5D6E-409C-BE32-E72D297353CC}">
              <c16:uniqueId val="{00000001-8BC3-4839-9A0C-52537E9FB223}"/>
            </c:ext>
          </c:extLst>
        </c:ser>
        <c:dLbls>
          <c:showLegendKey val="0"/>
          <c:showVal val="0"/>
          <c:showCatName val="0"/>
          <c:showSerName val="0"/>
          <c:showPercent val="0"/>
          <c:showBubbleSize val="0"/>
        </c:dLbls>
        <c:marker val="1"/>
        <c:smooth val="0"/>
        <c:axId val="118555008"/>
        <c:axId val="118556928"/>
      </c:lineChart>
      <c:catAx>
        <c:axId val="1185550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8556928"/>
        <c:crosses val="autoZero"/>
        <c:auto val="1"/>
        <c:lblAlgn val="ctr"/>
        <c:lblOffset val="100"/>
        <c:tickLblSkip val="1"/>
        <c:tickMarkSkip val="1"/>
        <c:noMultiLvlLbl val="0"/>
      </c:catAx>
      <c:valAx>
        <c:axId val="118556928"/>
        <c:scaling>
          <c:orientation val="minMax"/>
          <c:min val="0"/>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Total TSS Load (Pounds)</a:t>
                </a:r>
              </a:p>
            </c:rich>
          </c:tx>
          <c:layout>
            <c:manualLayout>
              <c:xMode val="edge"/>
              <c:yMode val="edge"/>
              <c:x val="2.1897802055702412E-2"/>
              <c:y val="0.1476797678771167"/>
            </c:manualLayout>
          </c:layout>
          <c:overlay val="0"/>
          <c:spPr>
            <a:noFill/>
            <a:ln w="25400">
              <a:noFill/>
            </a:ln>
          </c:spPr>
        </c:title>
        <c:numFmt formatCode="#,##0" sourceLinked="1"/>
        <c:majorTickMark val="out"/>
        <c:minorTickMark val="none"/>
        <c:tickLblPos val="nextTo"/>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8555008"/>
        <c:crosses val="autoZero"/>
        <c:crossBetween val="between"/>
      </c:valAx>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83955460960189565"/>
          <c:y val="0.14205433181613364"/>
          <c:w val="0.13237824632773099"/>
          <c:h val="0.22362957794832417"/>
        </c:manualLayout>
      </c:layout>
      <c:overlay val="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2012 Total Suspended Sediment Load into Reservoir</a:t>
            </a:r>
          </a:p>
        </c:rich>
      </c:tx>
      <c:overlay val="0"/>
      <c:spPr>
        <a:noFill/>
        <a:ln w="25400">
          <a:noFill/>
        </a:ln>
      </c:spPr>
    </c:title>
    <c:autoTitleDeleted val="0"/>
    <c:plotArea>
      <c:layout>
        <c:manualLayout>
          <c:layoutTarget val="inner"/>
          <c:xMode val="edge"/>
          <c:yMode val="edge"/>
          <c:x val="0.24454407320110574"/>
          <c:y val="0.15498154981550014"/>
          <c:w val="0.75545592679890061"/>
          <c:h val="0.59710608129702636"/>
        </c:manualLayout>
      </c:layout>
      <c:lineChart>
        <c:grouping val="standard"/>
        <c:varyColors val="0"/>
        <c:ser>
          <c:idx val="0"/>
          <c:order val="0"/>
          <c:tx>
            <c:strRef>
              <c:f>Loading!$A$59</c:f>
              <c:strCache>
                <c:ptCount val="1"/>
                <c:pt idx="0">
                  <c:v>Site 15a-Bear Creek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strRef>
              <c:f>Loading!$B$3:$M$3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Loading!$B$59:$M$59</c:f>
              <c:numCache>
                <c:formatCode>#,##0</c:formatCode>
                <c:ptCount val="12"/>
                <c:pt idx="0">
                  <c:v>2827.2336353100004</c:v>
                </c:pt>
                <c:pt idx="1">
                  <c:v>2827.2336353100004</c:v>
                </c:pt>
                <c:pt idx="2">
                  <c:v>76900.754880432025</c:v>
                </c:pt>
                <c:pt idx="3">
                  <c:v>17528.848538922</c:v>
                </c:pt>
                <c:pt idx="4">
                  <c:v>41277.611075526002</c:v>
                </c:pt>
                <c:pt idx="5">
                  <c:v>27706.889626038006</c:v>
                </c:pt>
                <c:pt idx="6">
                  <c:v>100366.794053505</c:v>
                </c:pt>
                <c:pt idx="7">
                  <c:v>42125.781166119006</c:v>
                </c:pt>
                <c:pt idx="8">
                  <c:v>160021.42375854601</c:v>
                </c:pt>
                <c:pt idx="9">
                  <c:v>17528.848538922</c:v>
                </c:pt>
                <c:pt idx="10">
                  <c:v>12439.827995364001</c:v>
                </c:pt>
                <c:pt idx="11">
                  <c:v>11308.934541240002</c:v>
                </c:pt>
              </c:numCache>
            </c:numRef>
          </c:val>
          <c:smooth val="0"/>
          <c:extLst>
            <c:ext xmlns:c16="http://schemas.microsoft.com/office/drawing/2014/chart" uri="{C3380CC4-5D6E-409C-BE32-E72D297353CC}">
              <c16:uniqueId val="{00000000-1B62-4C53-9800-C04EA628013D}"/>
            </c:ext>
          </c:extLst>
        </c:ser>
        <c:ser>
          <c:idx val="1"/>
          <c:order val="1"/>
          <c:tx>
            <c:strRef>
              <c:f>Loading!$A$58</c:f>
              <c:strCache>
                <c:ptCount val="1"/>
                <c:pt idx="0">
                  <c:v>Site 16a-Turkey Creek Inflow</c:v>
                </c:pt>
              </c:strCache>
            </c:strRef>
          </c:tx>
          <c:spPr>
            <a:ln w="38100">
              <a:solidFill>
                <a:srgbClr val="FF00FF"/>
              </a:solidFill>
              <a:prstDash val="solid"/>
            </a:ln>
          </c:spPr>
          <c:marker>
            <c:symbol val="square"/>
            <c:size val="3"/>
            <c:spPr>
              <a:solidFill>
                <a:srgbClr val="FF00FF"/>
              </a:solidFill>
              <a:ln>
                <a:solidFill>
                  <a:srgbClr val="FF00FF"/>
                </a:solidFill>
                <a:prstDash val="solid"/>
              </a:ln>
            </c:spPr>
          </c:marker>
          <c:cat>
            <c:strRef>
              <c:f>Loading!$B$3:$M$3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Loading!$B$58:$M$58</c:f>
              <c:numCache>
                <c:formatCode>#,##0</c:formatCode>
                <c:ptCount val="12"/>
                <c:pt idx="0">
                  <c:v>217.60827270000001</c:v>
                </c:pt>
                <c:pt idx="1">
                  <c:v>957.47639988000014</c:v>
                </c:pt>
                <c:pt idx="2">
                  <c:v>2741.8642360200001</c:v>
                </c:pt>
                <c:pt idx="3">
                  <c:v>1044.5197089600003</c:v>
                </c:pt>
                <c:pt idx="4">
                  <c:v>5766.6192265500003</c:v>
                </c:pt>
                <c:pt idx="5">
                  <c:v>2720.1034087500007</c:v>
                </c:pt>
                <c:pt idx="6">
                  <c:v>22533.336638084998</c:v>
                </c:pt>
                <c:pt idx="7">
                  <c:v>7594.5287172300004</c:v>
                </c:pt>
                <c:pt idx="8">
                  <c:v>2415.4518269700002</c:v>
                </c:pt>
                <c:pt idx="9">
                  <c:v>3938.7097358700007</c:v>
                </c:pt>
                <c:pt idx="10">
                  <c:v>4003.9922176800005</c:v>
                </c:pt>
                <c:pt idx="11">
                  <c:v>3525.2540177400006</c:v>
                </c:pt>
              </c:numCache>
            </c:numRef>
          </c:val>
          <c:smooth val="0"/>
          <c:extLst>
            <c:ext xmlns:c16="http://schemas.microsoft.com/office/drawing/2014/chart" uri="{C3380CC4-5D6E-409C-BE32-E72D297353CC}">
              <c16:uniqueId val="{00000001-1B62-4C53-9800-C04EA628013D}"/>
            </c:ext>
          </c:extLst>
        </c:ser>
        <c:dLbls>
          <c:showLegendKey val="0"/>
          <c:showVal val="0"/>
          <c:showCatName val="0"/>
          <c:showSerName val="0"/>
          <c:showPercent val="0"/>
          <c:showBubbleSize val="0"/>
        </c:dLbls>
        <c:marker val="1"/>
        <c:smooth val="0"/>
        <c:axId val="118569600"/>
        <c:axId val="118612736"/>
      </c:lineChart>
      <c:catAx>
        <c:axId val="118569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8612736"/>
        <c:crosses val="autoZero"/>
        <c:auto val="1"/>
        <c:lblAlgn val="ctr"/>
        <c:lblOffset val="100"/>
        <c:tickLblSkip val="1"/>
        <c:tickMarkSkip val="1"/>
        <c:noMultiLvlLbl val="0"/>
      </c:catAx>
      <c:valAx>
        <c:axId val="11861273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Total TSS Load (Pounds)</a:t>
                </a:r>
              </a:p>
            </c:rich>
          </c:tx>
          <c:layout>
            <c:manualLayout>
              <c:xMode val="edge"/>
              <c:yMode val="edge"/>
              <c:x val="0.13027941021904627"/>
              <c:y val="0.11165257479346447"/>
            </c:manualLayout>
          </c:layout>
          <c:overlay val="0"/>
          <c:spPr>
            <a:noFill/>
            <a:ln w="25400">
              <a:noFill/>
            </a:ln>
          </c:spPr>
        </c:title>
        <c:numFmt formatCode="#,##0" sourceLinked="1"/>
        <c:majorTickMark val="none"/>
        <c:minorTickMark val="none"/>
        <c:tickLblPos val="nextTo"/>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8569600"/>
        <c:crosses val="autoZero"/>
        <c:crossBetween val="between"/>
      </c:valAx>
      <c:dTable>
        <c:showHorzBorder val="1"/>
        <c:showVertBorder val="1"/>
        <c:showOutline val="1"/>
        <c:showKeys val="1"/>
        <c:txPr>
          <a:bodyPr/>
          <a:lstStyle/>
          <a:p>
            <a:pPr rtl="0">
              <a:defRPr sz="900"/>
            </a:pPr>
            <a:endParaRPr lang="en-US"/>
          </a:p>
        </c:txPr>
      </c:dTable>
      <c:spPr>
        <a:gradFill>
          <a:gsLst>
            <a:gs pos="0">
              <a:srgbClr val="4F81BD">
                <a:tint val="66000"/>
                <a:satMod val="160000"/>
                <a:alpha val="44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2012 Bear Creek ReservoirTotal Suspended Sediment Load (pounds, %) </a:t>
            </a:r>
          </a:p>
        </c:rich>
      </c:tx>
      <c:layout>
        <c:manualLayout>
          <c:xMode val="edge"/>
          <c:yMode val="edge"/>
          <c:x val="4.2109032145629714E-2"/>
          <c:y val="4.9407062753519491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3.9804644672580484E-2"/>
          <c:y val="0.31304347826087536"/>
          <c:w val="0.93994219077045749"/>
          <c:h val="0.62898550724640911"/>
        </c:manualLayout>
      </c:layout>
      <c:pie3DChart>
        <c:varyColors val="1"/>
        <c:ser>
          <c:idx val="0"/>
          <c:order val="0"/>
          <c:tx>
            <c:strRef>
              <c:f>Loading!$A$57</c:f>
              <c:strCache>
                <c:ptCount val="1"/>
                <c:pt idx="0">
                  <c:v>TSS (Pounds)</c:v>
                </c:pt>
              </c:strCache>
            </c:strRef>
          </c:tx>
          <c:spPr>
            <a:solidFill>
              <a:srgbClr val="00FF00"/>
            </a:solidFill>
            <a:ln w="12700">
              <a:solidFill>
                <a:srgbClr val="000000"/>
              </a:solidFill>
              <a:prstDash val="solid"/>
            </a:ln>
          </c:spPr>
          <c:explosion val="20"/>
          <c:dPt>
            <c:idx val="0"/>
            <c:bubble3D val="0"/>
            <c:explosion val="0"/>
            <c:spPr>
              <a:solidFill>
                <a:srgbClr val="CC99FF"/>
              </a:solidFill>
              <a:ln w="12700">
                <a:solidFill>
                  <a:srgbClr val="000000"/>
                </a:solidFill>
                <a:prstDash val="solid"/>
              </a:ln>
            </c:spPr>
            <c:extLst>
              <c:ext xmlns:c16="http://schemas.microsoft.com/office/drawing/2014/chart" uri="{C3380CC4-5D6E-409C-BE32-E72D297353CC}">
                <c16:uniqueId val="{00000000-D58A-4A0D-A15E-6101D14B17BD}"/>
              </c:ext>
            </c:extLst>
          </c:dPt>
          <c:dPt>
            <c:idx val="1"/>
            <c:bubble3D val="0"/>
            <c:explosion val="41"/>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D58A-4A0D-A15E-6101D14B17BD}"/>
              </c:ext>
            </c:extLst>
          </c:dPt>
          <c:dLbls>
            <c:dLbl>
              <c:idx val="0"/>
              <c:layout>
                <c:manualLayout>
                  <c:x val="4.8115675681384855E-2"/>
                  <c:y val="-2.164439672313689E-2"/>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8A-4A0D-A15E-6101D14B17BD}"/>
                </c:ext>
              </c:extLst>
            </c:dLbl>
            <c:dLbl>
              <c:idx val="1"/>
              <c:layout>
                <c:manualLayout>
                  <c:x val="6.5226635402968997E-2"/>
                  <c:y val="-0.31804024496937888"/>
                </c:manualLayout>
              </c:layout>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58A-4A0D-A15E-6101D14B17BD}"/>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0"/>
            <c:extLst>
              <c:ext xmlns:c15="http://schemas.microsoft.com/office/drawing/2012/chart" uri="{CE6537A1-D6FC-4f65-9D91-7224C49458BB}"/>
            </c:extLst>
          </c:dLbls>
          <c:cat>
            <c:strRef>
              <c:f>Loading!$A$58:$A$59</c:f>
              <c:strCache>
                <c:ptCount val="2"/>
                <c:pt idx="0">
                  <c:v>Site 16a-Turkey Creek Inflow</c:v>
                </c:pt>
                <c:pt idx="1">
                  <c:v>Site 15a-Bear Creek Inflow</c:v>
                </c:pt>
              </c:strCache>
            </c:strRef>
          </c:cat>
          <c:val>
            <c:numRef>
              <c:f>Loading!$N$58:$N$59</c:f>
              <c:numCache>
                <c:formatCode>#,##0</c:formatCode>
                <c:ptCount val="2"/>
                <c:pt idx="0">
                  <c:v>57459.464406435</c:v>
                </c:pt>
                <c:pt idx="1">
                  <c:v>512860.18144523411</c:v>
                </c:pt>
              </c:numCache>
            </c:numRef>
          </c:val>
          <c:extLst>
            <c:ext xmlns:c16="http://schemas.microsoft.com/office/drawing/2014/chart" uri="{C3380CC4-5D6E-409C-BE32-E72D297353CC}">
              <c16:uniqueId val="{00000002-D58A-4A0D-A15E-6101D14B17BD}"/>
            </c:ext>
          </c:extLst>
        </c:ser>
        <c:dLbls>
          <c:showLegendKey val="0"/>
          <c:showVal val="1"/>
          <c:showCatName val="1"/>
          <c:showSerName val="0"/>
          <c:showPercent val="1"/>
          <c:showBubbleSize val="0"/>
          <c:showLeaderLines val="0"/>
        </c:dLbls>
      </c:pie3DChart>
      <c:spPr>
        <a:solidFill>
          <a:srgbClr val="FFFFFF"/>
        </a:solidFill>
        <a:ln w="25400">
          <a:noFill/>
        </a:ln>
      </c:spPr>
    </c:plotArea>
    <c:plotVisOnly val="1"/>
    <c:dispBlanksAs val="zero"/>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2012 Bear Creek Reservoir Nitrate Loading (Pounds, %) </a:t>
            </a:r>
          </a:p>
        </c:rich>
      </c:tx>
      <c:layout>
        <c:manualLayout>
          <c:xMode val="edge"/>
          <c:yMode val="edge"/>
          <c:x val="4.9258979613849632E-2"/>
          <c:y val="3.04340940433293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2.5497223805928396E-2"/>
          <c:y val="0.18071800346990557"/>
          <c:w val="0.9353638329455396"/>
          <c:h val="0.73876382401352481"/>
        </c:manualLayout>
      </c:layout>
      <c:pie3DChart>
        <c:varyColors val="1"/>
        <c:ser>
          <c:idx val="0"/>
          <c:order val="0"/>
          <c:tx>
            <c:strRef>
              <c:f>Loading!$A$16</c:f>
              <c:strCache>
                <c:ptCount val="1"/>
                <c:pt idx="0">
                  <c:v>Nitrate Pounds</c:v>
                </c:pt>
              </c:strCache>
            </c:strRef>
          </c:tx>
          <c:spPr>
            <a:solidFill>
              <a:srgbClr val="00FF00"/>
            </a:solidFill>
            <a:ln w="12700">
              <a:solidFill>
                <a:srgbClr val="000000"/>
              </a:solidFill>
              <a:prstDash val="solid"/>
            </a:ln>
          </c:spPr>
          <c:explosion val="29"/>
          <c:dPt>
            <c:idx val="0"/>
            <c:bubble3D val="0"/>
            <c:spPr>
              <a:solidFill>
                <a:srgbClr val="CC99FF"/>
              </a:solidFill>
              <a:ln w="12700">
                <a:solidFill>
                  <a:srgbClr val="000000"/>
                </a:solidFill>
                <a:prstDash val="solid"/>
              </a:ln>
            </c:spPr>
            <c:extLst>
              <c:ext xmlns:c16="http://schemas.microsoft.com/office/drawing/2014/chart" uri="{C3380CC4-5D6E-409C-BE32-E72D297353CC}">
                <c16:uniqueId val="{00000000-27D5-41E7-844C-B981443D5085}"/>
              </c:ext>
            </c:extLst>
          </c:dPt>
          <c:dPt>
            <c:idx val="1"/>
            <c:bubble3D val="0"/>
            <c:explosion val="34"/>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27D5-41E7-844C-B981443D5085}"/>
              </c:ext>
            </c:extLst>
          </c:dPt>
          <c:dLbls>
            <c:dLbl>
              <c:idx val="0"/>
              <c:layout>
                <c:manualLayout>
                  <c:x val="8.6093347920551122E-2"/>
                  <c:y val="5.4867921170870727E-2"/>
                </c:manualLayout>
              </c:layout>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27D5-41E7-844C-B981443D5085}"/>
                </c:ext>
              </c:extLst>
            </c:dLbl>
            <c:dLbl>
              <c:idx val="1"/>
              <c:layout>
                <c:manualLayout>
                  <c:x val="5.2191421277819734E-2"/>
                  <c:y val="-0.34072937288506538"/>
                </c:manualLayout>
              </c:layout>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27D5-41E7-844C-B981443D5085}"/>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1000" b="1" i="0" u="none" strike="noStrike" baseline="0">
                    <a:solidFill>
                      <a:srgbClr val="000000"/>
                    </a:solidFill>
                    <a:latin typeface="Arial"/>
                    <a:ea typeface="Arial"/>
                    <a:cs typeface="Arial"/>
                  </a:defRPr>
                </a:pPr>
                <a:endParaRPr lang="en-US"/>
              </a:p>
            </c:txPr>
            <c:dLblPos val="outEnd"/>
            <c:showLegendKey val="0"/>
            <c:showVal val="1"/>
            <c:showCatName val="1"/>
            <c:showSerName val="0"/>
            <c:showPercent val="1"/>
            <c:showBubbleSize val="0"/>
            <c:showLeaderLines val="0"/>
            <c:extLst>
              <c:ext xmlns:c15="http://schemas.microsoft.com/office/drawing/2012/chart" uri="{CE6537A1-D6FC-4f65-9D91-7224C49458BB}"/>
            </c:extLst>
          </c:dLbls>
          <c:cat>
            <c:strRef>
              <c:f>Loading!$A$17:$A$18</c:f>
              <c:strCache>
                <c:ptCount val="2"/>
                <c:pt idx="0">
                  <c:v>Site 16a-Turkey Creek Inflow</c:v>
                </c:pt>
                <c:pt idx="1">
                  <c:v>Site 15a-Bear Creek Inflow</c:v>
                </c:pt>
              </c:strCache>
            </c:strRef>
          </c:cat>
          <c:val>
            <c:numRef>
              <c:f>Loading!$N$17:$N$18</c:f>
              <c:numCache>
                <c:formatCode>#,##0</c:formatCode>
                <c:ptCount val="2"/>
                <c:pt idx="0">
                  <c:v>1166.6814159465673</c:v>
                </c:pt>
                <c:pt idx="1">
                  <c:v>9752.4545717364181</c:v>
                </c:pt>
              </c:numCache>
            </c:numRef>
          </c:val>
          <c:extLst>
            <c:ext xmlns:c16="http://schemas.microsoft.com/office/drawing/2014/chart" uri="{C3380CC4-5D6E-409C-BE32-E72D297353CC}">
              <c16:uniqueId val="{00000002-27D5-41E7-844C-B981443D5085}"/>
            </c:ext>
          </c:extLst>
        </c:ser>
        <c:dLbls>
          <c:showLegendKey val="0"/>
          <c:showVal val="1"/>
          <c:showCatName val="1"/>
          <c:showSerName val="0"/>
          <c:showPercent val="1"/>
          <c:showBubbleSize val="0"/>
          <c:showLeaderLines val="0"/>
        </c:dLbls>
      </c:pie3DChart>
      <c:spPr>
        <a:solidFill>
          <a:srgbClr val="FFFFFF"/>
        </a:solidFill>
        <a:ln w="25400">
          <a:noFill/>
        </a:ln>
      </c:spPr>
    </c:plotArea>
    <c:plotVisOnly val="1"/>
    <c:dispBlanksAs val="zero"/>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2012 Bear Creek Reservoir Total Phosphorus Load (Pounds, %) </a:t>
            </a:r>
          </a:p>
        </c:rich>
      </c:tx>
      <c:layout>
        <c:manualLayout>
          <c:xMode val="edge"/>
          <c:yMode val="edge"/>
          <c:x val="3.7426838499120249E-2"/>
          <c:y val="3.6928440548704998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2.2657942405087391E-2"/>
          <c:y val="0.19893546057834793"/>
          <c:w val="0.96172883319163582"/>
          <c:h val="0.74369264977249061"/>
        </c:manualLayout>
      </c:layout>
      <c:pie3DChart>
        <c:varyColors val="1"/>
        <c:ser>
          <c:idx val="0"/>
          <c:order val="0"/>
          <c:tx>
            <c:strRef>
              <c:f>Loading!$A$42</c:f>
              <c:strCache>
                <c:ptCount val="1"/>
                <c:pt idx="0">
                  <c:v>Total Phosphorus Pounds</c:v>
                </c:pt>
              </c:strCache>
            </c:strRef>
          </c:tx>
          <c:spPr>
            <a:solidFill>
              <a:srgbClr val="9999FF"/>
            </a:solidFill>
            <a:ln w="12700">
              <a:solidFill>
                <a:srgbClr val="000000"/>
              </a:solidFill>
              <a:prstDash val="solid"/>
            </a:ln>
          </c:spPr>
          <c:explosion val="47"/>
          <c:dPt>
            <c:idx val="1"/>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0-975B-41A9-845D-41CE27E9C593}"/>
              </c:ext>
            </c:extLst>
          </c:dPt>
          <c:dLbls>
            <c:dLbl>
              <c:idx val="0"/>
              <c:layout>
                <c:manualLayout>
                  <c:x val="-2.5039123630672816E-2"/>
                  <c:y val="-1.7467248908296932E-2"/>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975B-41A9-845D-41CE27E9C593}"/>
                </c:ext>
              </c:extLst>
            </c:dLbl>
            <c:dLbl>
              <c:idx val="1"/>
              <c:layout>
                <c:manualLayout>
                  <c:x val="0.17151011053195844"/>
                  <c:y val="-0.29694323144104806"/>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975B-41A9-845D-41CE27E9C593}"/>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outEnd"/>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Loading!$A$43:$A$44</c:f>
              <c:strCache>
                <c:ptCount val="2"/>
                <c:pt idx="0">
                  <c:v>Site 16a-Turkey Creek Inflow</c:v>
                </c:pt>
                <c:pt idx="1">
                  <c:v>Site 15a-Bear Creek Inflow</c:v>
                </c:pt>
              </c:strCache>
            </c:strRef>
          </c:cat>
          <c:val>
            <c:numRef>
              <c:f>Loading!$N$43:$N$44</c:f>
              <c:numCache>
                <c:formatCode>#,##0</c:formatCode>
                <c:ptCount val="2"/>
                <c:pt idx="0">
                  <c:v>128.2185335733225</c:v>
                </c:pt>
                <c:pt idx="1">
                  <c:v>505.80413330832005</c:v>
                </c:pt>
              </c:numCache>
            </c:numRef>
          </c:val>
          <c:extLst>
            <c:ext xmlns:c16="http://schemas.microsoft.com/office/drawing/2014/chart" uri="{C3380CC4-5D6E-409C-BE32-E72D297353CC}">
              <c16:uniqueId val="{00000002-975B-41A9-845D-41CE27E9C593}"/>
            </c:ext>
          </c:extLst>
        </c:ser>
        <c:dLbls>
          <c:showLegendKey val="0"/>
          <c:showVal val="1"/>
          <c:showCatName val="1"/>
          <c:showSerName val="0"/>
          <c:showPercent val="1"/>
          <c:showBubbleSize val="0"/>
          <c:showLeaderLines val="0"/>
        </c:dLbls>
      </c:pie3DChart>
      <c:spPr>
        <a:solidFill>
          <a:sysClr val="window" lastClr="FFFFFF"/>
        </a:solidFill>
        <a:ln w="25400">
          <a:noFill/>
        </a:ln>
      </c:spPr>
    </c:plotArea>
    <c:plotVisOnly val="1"/>
    <c:dispBlanksAs val="zero"/>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Chlorophyll [ug/l] Trend</a:t>
            </a:r>
          </a:p>
        </c:rich>
      </c:tx>
      <c:layout>
        <c:manualLayout>
          <c:xMode val="edge"/>
          <c:yMode val="edge"/>
          <c:x val="0.24096385542168691"/>
          <c:y val="4.065040650406504E-2"/>
        </c:manualLayout>
      </c:layout>
      <c:overlay val="0"/>
      <c:spPr>
        <a:noFill/>
        <a:ln w="25400">
          <a:noFill/>
        </a:ln>
      </c:spPr>
    </c:title>
    <c:autoTitleDeleted val="0"/>
    <c:plotArea>
      <c:layout>
        <c:manualLayout>
          <c:layoutTarget val="inner"/>
          <c:xMode val="edge"/>
          <c:yMode val="edge"/>
          <c:x val="9.6385731178093584E-2"/>
          <c:y val="0.19105766902339388"/>
          <c:w val="0.89357604946357594"/>
          <c:h val="0.60569346137203661"/>
        </c:manualLayout>
      </c:layout>
      <c:barChart>
        <c:barDir val="col"/>
        <c:grouping val="clustered"/>
        <c:varyColors val="0"/>
        <c:ser>
          <c:idx val="0"/>
          <c:order val="0"/>
          <c:tx>
            <c:strRef>
              <c:f>'Annual Reservoir Trends'!$B$4</c:f>
              <c:strCache>
                <c:ptCount val="1"/>
                <c:pt idx="0">
                  <c:v>Top</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linear"/>
            <c:dispRSqr val="0"/>
            <c:dispEq val="0"/>
          </c:trendline>
          <c:cat>
            <c:numRef>
              <c:f>'Annual Reservoir Trends'!$C$3:$X$3</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'Annual Reservoir Trends'!$C$4:$X$4</c:f>
              <c:numCache>
                <c:formatCode>0.0</c:formatCode>
                <c:ptCount val="22"/>
                <c:pt idx="0">
                  <c:v>17.670000000000002</c:v>
                </c:pt>
                <c:pt idx="1">
                  <c:v>26.03</c:v>
                </c:pt>
                <c:pt idx="2">
                  <c:v>13.73</c:v>
                </c:pt>
                <c:pt idx="3">
                  <c:v>29.68</c:v>
                </c:pt>
                <c:pt idx="4">
                  <c:v>9.4</c:v>
                </c:pt>
                <c:pt idx="5">
                  <c:v>17.100000000000001</c:v>
                </c:pt>
                <c:pt idx="6">
                  <c:v>8.23</c:v>
                </c:pt>
                <c:pt idx="7">
                  <c:v>4.9000000000000004</c:v>
                </c:pt>
                <c:pt idx="8">
                  <c:v>6.2</c:v>
                </c:pt>
                <c:pt idx="9" formatCode="General">
                  <c:v>23.9</c:v>
                </c:pt>
                <c:pt idx="10" formatCode="General">
                  <c:v>24.6</c:v>
                </c:pt>
                <c:pt idx="11" formatCode="General">
                  <c:v>15.4</c:v>
                </c:pt>
                <c:pt idx="12" formatCode="General">
                  <c:v>14.8</c:v>
                </c:pt>
                <c:pt idx="13" formatCode="General">
                  <c:v>6.6</c:v>
                </c:pt>
                <c:pt idx="14" formatCode="General">
                  <c:v>15.4</c:v>
                </c:pt>
                <c:pt idx="15" formatCode="General">
                  <c:v>9.1</c:v>
                </c:pt>
                <c:pt idx="16" formatCode="General">
                  <c:v>9.3000000000000007</c:v>
                </c:pt>
                <c:pt idx="17" formatCode="General">
                  <c:v>17.3</c:v>
                </c:pt>
                <c:pt idx="18" formatCode="General">
                  <c:v>12.5</c:v>
                </c:pt>
                <c:pt idx="19" formatCode="General">
                  <c:v>10.6</c:v>
                </c:pt>
                <c:pt idx="20" formatCode="General">
                  <c:v>10.8</c:v>
                </c:pt>
                <c:pt idx="21" formatCode="General">
                  <c:v>14.9</c:v>
                </c:pt>
              </c:numCache>
            </c:numRef>
          </c:val>
          <c:extLst>
            <c:ext xmlns:c16="http://schemas.microsoft.com/office/drawing/2014/chart" uri="{C3380CC4-5D6E-409C-BE32-E72D297353CC}">
              <c16:uniqueId val="{00000001-EC49-44AE-862D-FE7ABE095E95}"/>
            </c:ext>
          </c:extLst>
        </c:ser>
        <c:dLbls>
          <c:showLegendKey val="0"/>
          <c:showVal val="0"/>
          <c:showCatName val="0"/>
          <c:showSerName val="0"/>
          <c:showPercent val="0"/>
          <c:showBubbleSize val="0"/>
        </c:dLbls>
        <c:gapWidth val="150"/>
        <c:axId val="135125632"/>
        <c:axId val="135266688"/>
      </c:barChart>
      <c:catAx>
        <c:axId val="13512563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135266688"/>
        <c:crosses val="autoZero"/>
        <c:auto val="1"/>
        <c:lblAlgn val="ctr"/>
        <c:lblOffset val="100"/>
        <c:tickLblSkip val="1"/>
        <c:tickMarkSkip val="1"/>
        <c:noMultiLvlLbl val="0"/>
      </c:catAx>
      <c:valAx>
        <c:axId val="13526668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925" b="1" i="0" u="none" strike="noStrike" baseline="0">
                <a:solidFill>
                  <a:srgbClr val="000000"/>
                </a:solidFill>
                <a:latin typeface="Arial"/>
                <a:ea typeface="Arial"/>
                <a:cs typeface="Arial"/>
              </a:defRPr>
            </a:pPr>
            <a:endParaRPr lang="en-US"/>
          </a:p>
        </c:txPr>
        <c:crossAx val="13512563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en-US" sz="1100"/>
              <a:t>2012 Bear Creek Reservoir Estimated Inflow Contributions (acre-feet, %)</a:t>
            </a:r>
          </a:p>
        </c:rich>
      </c:tx>
      <c:layout>
        <c:manualLayout>
          <c:xMode val="edge"/>
          <c:yMode val="edge"/>
          <c:x val="0.11525249343832021"/>
          <c:y val="4.000000000000002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1.3781364829396325E-2"/>
          <c:y val="0.22251318030630587"/>
          <c:w val="0.97480511325163377"/>
          <c:h val="0.73380906047744565"/>
        </c:manualLayout>
      </c:layout>
      <c:pie3DChart>
        <c:varyColors val="1"/>
        <c:ser>
          <c:idx val="0"/>
          <c:order val="0"/>
          <c:tx>
            <c:strRef>
              <c:f>Loading!$N$3</c:f>
              <c:strCache>
                <c:ptCount val="1"/>
                <c:pt idx="0">
                  <c:v>Annual ac-ft/yr</c:v>
                </c:pt>
              </c:strCache>
            </c:strRef>
          </c:tx>
          <c:spPr>
            <a:solidFill>
              <a:srgbClr val="00FF00"/>
            </a:solidFill>
            <a:ln w="12700">
              <a:solidFill>
                <a:srgbClr val="000000"/>
              </a:solidFill>
              <a:prstDash val="solid"/>
            </a:ln>
          </c:spPr>
          <c:explosion val="9"/>
          <c:dPt>
            <c:idx val="0"/>
            <c:bubble3D val="0"/>
            <c:explosion val="16"/>
            <c:spPr>
              <a:solidFill>
                <a:srgbClr val="CC99FF"/>
              </a:solidFill>
              <a:ln w="12700">
                <a:solidFill>
                  <a:srgbClr val="000000"/>
                </a:solidFill>
                <a:prstDash val="solid"/>
              </a:ln>
            </c:spPr>
            <c:extLst>
              <c:ext xmlns:c16="http://schemas.microsoft.com/office/drawing/2014/chart" uri="{C3380CC4-5D6E-409C-BE32-E72D297353CC}">
                <c16:uniqueId val="{00000000-4CDA-456A-A540-B12178CED43F}"/>
              </c:ext>
            </c:extLst>
          </c:dPt>
          <c:dPt>
            <c:idx val="1"/>
            <c:bubble3D val="0"/>
            <c:explosion val="26"/>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4CDA-456A-A540-B12178CED43F}"/>
              </c:ext>
            </c:extLst>
          </c:dPt>
          <c:dLbls>
            <c:dLbl>
              <c:idx val="0"/>
              <c:layout>
                <c:manualLayout>
                  <c:x val="-6.3556220232196994E-2"/>
                  <c:y val="-2.7189907713149015E-2"/>
                </c:manualLayout>
              </c:layou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0-4CDA-456A-A540-B12178CED43F}"/>
                </c:ext>
              </c:extLst>
            </c:dLbl>
            <c:dLbl>
              <c:idx val="1"/>
              <c:layout>
                <c:manualLayout>
                  <c:x val="0.20079208634389928"/>
                  <c:y val="-0.3355071543476465"/>
                </c:manualLayout>
              </c:layout>
              <c:dLblPos val="bestFit"/>
              <c:showLegendKey val="0"/>
              <c:showVal val="1"/>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4CDA-456A-A540-B12178CED43F}"/>
                </c:ext>
              </c:extLst>
            </c:dLbl>
            <c:numFmt formatCode="0%" sourceLinked="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25400">
                <a:noFill/>
              </a:ln>
            </c:spPr>
            <c:txPr>
              <a:bodyPr/>
              <a:lstStyle/>
              <a:p>
                <a:pPr>
                  <a:defRPr sz="900" b="1"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Ref>
              <c:f>[1]Loading!$A$4:$A$5</c:f>
              <c:strCache>
                <c:ptCount val="2"/>
                <c:pt idx="0">
                  <c:v>Turkey Creek Inflow</c:v>
                </c:pt>
                <c:pt idx="1">
                  <c:v>Bear Creek Inflow</c:v>
                </c:pt>
              </c:strCache>
            </c:strRef>
          </c:cat>
          <c:val>
            <c:numRef>
              <c:f>Loading!$N$4:$N$5</c:f>
              <c:numCache>
                <c:formatCode>#,##0</c:formatCode>
                <c:ptCount val="2"/>
                <c:pt idx="0">
                  <c:v>1316.3947200000002</c:v>
                </c:pt>
                <c:pt idx="1">
                  <c:v>4552.0657349999992</c:v>
                </c:pt>
              </c:numCache>
            </c:numRef>
          </c:val>
          <c:extLst>
            <c:ext xmlns:c16="http://schemas.microsoft.com/office/drawing/2014/chart" uri="{C3380CC4-5D6E-409C-BE32-E72D297353CC}">
              <c16:uniqueId val="{00000002-4CDA-456A-A540-B12178CED43F}"/>
            </c:ext>
          </c:extLst>
        </c:ser>
        <c:dLbls>
          <c:showLegendKey val="0"/>
          <c:showVal val="1"/>
          <c:showCatName val="1"/>
          <c:showSerName val="0"/>
          <c:showPercent val="1"/>
          <c:showBubbleSize val="0"/>
          <c:showLeaderLines val="0"/>
        </c:dLbls>
      </c:pie3DChart>
      <c:spPr>
        <a:solidFill>
          <a:srgbClr val="FFFFFF"/>
        </a:solidFill>
        <a:ln w="25400">
          <a:noFill/>
        </a:ln>
      </c:spPr>
    </c:plotArea>
    <c:plotVisOnly val="1"/>
    <c:dispBlanksAs val="zero"/>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2012 Total Nitrogen Pounds</a:t>
            </a:r>
          </a:p>
        </c:rich>
      </c:tx>
      <c:layout>
        <c:manualLayout>
          <c:xMode val="edge"/>
          <c:yMode val="edge"/>
          <c:x val="6.2799670052316431E-2"/>
          <c:y val="3.7139252621046746E-2"/>
        </c:manualLayout>
      </c:layout>
      <c:overlay val="0"/>
    </c:title>
    <c:autoTitleDeleted val="0"/>
    <c:view3D>
      <c:rotX val="30"/>
      <c:rotY val="30"/>
      <c:rAngAx val="0"/>
    </c:view3D>
    <c:floor>
      <c:thickness val="0"/>
    </c:floor>
    <c:sideWall>
      <c:thickness val="0"/>
    </c:sideWall>
    <c:backWall>
      <c:thickness val="0"/>
    </c:backWall>
    <c:plotArea>
      <c:layout>
        <c:manualLayout>
          <c:layoutTarget val="inner"/>
          <c:xMode val="edge"/>
          <c:yMode val="edge"/>
          <c:x val="2.0705912358898636E-2"/>
          <c:y val="0.16105392903235161"/>
          <c:w val="0.97181440018986265"/>
          <c:h val="0.7687832253012572"/>
        </c:manualLayout>
      </c:layout>
      <c:pie3DChart>
        <c:varyColors val="1"/>
        <c:ser>
          <c:idx val="1"/>
          <c:order val="0"/>
          <c:tx>
            <c:strRef>
              <c:f>Loading!$A$29</c:f>
              <c:strCache>
                <c:ptCount val="1"/>
                <c:pt idx="0">
                  <c:v>Total Nitrogen Pounds</c:v>
                </c:pt>
              </c:strCache>
            </c:strRef>
          </c:tx>
          <c:explosion val="17"/>
          <c:dPt>
            <c:idx val="1"/>
            <c:bubble3D val="0"/>
            <c:spPr>
              <a:solidFill>
                <a:schemeClr val="tx2">
                  <a:lumMod val="20000"/>
                  <a:lumOff val="80000"/>
                </a:schemeClr>
              </a:solidFill>
            </c:spPr>
            <c:extLst>
              <c:ext xmlns:c16="http://schemas.microsoft.com/office/drawing/2014/chart" uri="{C3380CC4-5D6E-409C-BE32-E72D297353CC}">
                <c16:uniqueId val="{00000000-1F6B-4E34-8805-4708F58306DC}"/>
              </c:ext>
            </c:extLst>
          </c:dPt>
          <c:dLbls>
            <c:dLbl>
              <c:idx val="0"/>
              <c:layout>
                <c:manualLayout>
                  <c:x val="-5.4864975344462906E-2"/>
                  <c:y val="-3.2238801641507574E-2"/>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F6B-4E34-8805-4708F58306DC}"/>
                </c:ext>
              </c:extLst>
            </c:dLbl>
            <c:dLbl>
              <c:idx val="1"/>
              <c:layout>
                <c:manualLayout>
                  <c:x val="0.20046036254947469"/>
                  <c:y val="-0.27797711750119625"/>
                </c:manualLayout>
              </c:layout>
              <c:showLegendKey val="0"/>
              <c:showVal val="1"/>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F6B-4E34-8805-4708F58306DC}"/>
                </c:ext>
              </c:extLst>
            </c:dLbl>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c:spPr>
            <c:showLegendKey val="0"/>
            <c:showVal val="1"/>
            <c:showCatName val="1"/>
            <c:showSerName val="0"/>
            <c:showPercent val="1"/>
            <c:showBubbleSize val="0"/>
            <c:showLeaderLines val="0"/>
            <c:extLst>
              <c:ext xmlns:c15="http://schemas.microsoft.com/office/drawing/2012/chart" uri="{CE6537A1-D6FC-4f65-9D91-7224C49458BB}"/>
            </c:extLst>
          </c:dLbls>
          <c:cat>
            <c:strRef>
              <c:f>Loading!$A$30:$A$31</c:f>
              <c:strCache>
                <c:ptCount val="2"/>
                <c:pt idx="0">
                  <c:v>Site 16a-Turkey Creek Inflow</c:v>
                </c:pt>
                <c:pt idx="1">
                  <c:v>Site 15a-Bear Creek Inflow</c:v>
                </c:pt>
              </c:strCache>
            </c:strRef>
          </c:cat>
          <c:val>
            <c:numRef>
              <c:f>Loading!$N$30:$N$31</c:f>
              <c:numCache>
                <c:formatCode>#,##0</c:formatCode>
                <c:ptCount val="2"/>
                <c:pt idx="0">
                  <c:v>2114.230653319155</c:v>
                </c:pt>
                <c:pt idx="1">
                  <c:v>13772.45186437423</c:v>
                </c:pt>
              </c:numCache>
            </c:numRef>
          </c:val>
          <c:extLst>
            <c:ext xmlns:c16="http://schemas.microsoft.com/office/drawing/2014/chart" uri="{C3380CC4-5D6E-409C-BE32-E72D297353CC}">
              <c16:uniqueId val="{00000002-1F6B-4E34-8805-4708F58306DC}"/>
            </c:ext>
          </c:extLst>
        </c:ser>
        <c:dLbls>
          <c:showLegendKey val="0"/>
          <c:showVal val="0"/>
          <c:showCatName val="0"/>
          <c:showSerName val="0"/>
          <c:showPercent val="0"/>
          <c:showBubbleSize val="0"/>
          <c:showLeaderLines val="0"/>
        </c:dLbls>
      </c:pie3DChart>
      <c:spPr>
        <a:solidFill>
          <a:srgbClr val="FFFFFF"/>
        </a:solidFill>
      </c:spPr>
    </c:plotArea>
    <c:plotVisOnly val="1"/>
    <c:dispBlanksAs val="gap"/>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c:spPr>
  <c:printSettings>
    <c:headerFooter/>
    <c:pageMargins b="0.75000000000000799" l="0.70000000000000062" r="0.70000000000000062" t="0.7500000000000079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Carlson Seasonal Trophic Status Index [TSI]</a:t>
            </a:r>
          </a:p>
        </c:rich>
      </c:tx>
      <c:layout>
        <c:manualLayout>
          <c:xMode val="edge"/>
          <c:yMode val="edge"/>
          <c:x val="0.23773006134969324"/>
          <c:y val="3.4591194968553458E-2"/>
        </c:manualLayout>
      </c:layout>
      <c:overlay val="0"/>
      <c:spPr>
        <a:noFill/>
        <a:ln w="25400">
          <a:noFill/>
        </a:ln>
      </c:spPr>
    </c:title>
    <c:autoTitleDeleted val="0"/>
    <c:plotArea>
      <c:layout>
        <c:manualLayout>
          <c:layoutTarget val="inner"/>
          <c:xMode val="edge"/>
          <c:yMode val="edge"/>
          <c:x val="6.0917755392307808E-2"/>
          <c:y val="0.15513657123134839"/>
          <c:w val="0.92357584931513192"/>
          <c:h val="0.61006476656092323"/>
        </c:manualLayout>
      </c:layout>
      <c:lineChart>
        <c:grouping val="standard"/>
        <c:varyColors val="0"/>
        <c:ser>
          <c:idx val="0"/>
          <c:order val="0"/>
          <c:tx>
            <c:strRef>
              <c:f>Carlson!$Z$42</c:f>
              <c:strCache>
                <c:ptCount val="1"/>
                <c:pt idx="0">
                  <c:v>Chlorophyll-a</c:v>
                </c:pt>
              </c:strCache>
            </c:strRef>
          </c:tx>
          <c:spPr>
            <a:ln w="38100">
              <a:solidFill>
                <a:srgbClr val="000080"/>
              </a:solidFill>
              <a:prstDash val="solid"/>
            </a:ln>
          </c:spPr>
          <c:marker>
            <c:symbol val="none"/>
          </c:marker>
          <c:cat>
            <c:numRef>
              <c:f>Carlson!$C$38:$X$38</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Carlson!$C$34:$X$34</c:f>
              <c:numCache>
                <c:formatCode>0.00</c:formatCode>
                <c:ptCount val="22"/>
                <c:pt idx="0">
                  <c:v>44.174991975146384</c:v>
                </c:pt>
                <c:pt idx="1">
                  <c:v>54.795415178371954</c:v>
                </c:pt>
                <c:pt idx="2">
                  <c:v>56.76550870656898</c:v>
                </c:pt>
                <c:pt idx="3">
                  <c:v>62.711700939593776</c:v>
                </c:pt>
                <c:pt idx="4">
                  <c:v>54.087614881709925</c:v>
                </c:pt>
                <c:pt idx="5">
                  <c:v>61.698736529492948</c:v>
                </c:pt>
                <c:pt idx="6">
                  <c:v>48.177160393127224</c:v>
                </c:pt>
                <c:pt idx="7">
                  <c:v>40.34379989323088</c:v>
                </c:pt>
                <c:pt idx="8">
                  <c:v>41.699054713727698</c:v>
                </c:pt>
                <c:pt idx="9">
                  <c:v>56.900821196687197</c:v>
                </c:pt>
                <c:pt idx="10">
                  <c:v>61.570174131482617</c:v>
                </c:pt>
                <c:pt idx="11">
                  <c:v>60.134190892128345</c:v>
                </c:pt>
                <c:pt idx="12">
                  <c:v>59.223330881746776</c:v>
                </c:pt>
                <c:pt idx="13">
                  <c:v>51.594049063898417</c:v>
                </c:pt>
                <c:pt idx="14">
                  <c:v>57.424145267406118</c:v>
                </c:pt>
                <c:pt idx="15">
                  <c:v>55.911927098300708</c:v>
                </c:pt>
                <c:pt idx="16">
                  <c:v>48.962379355404615</c:v>
                </c:pt>
                <c:pt idx="17">
                  <c:v>62.486173765809482</c:v>
                </c:pt>
                <c:pt idx="18">
                  <c:v>61.486327467207936</c:v>
                </c:pt>
                <c:pt idx="19">
                  <c:v>57.295908147230385</c:v>
                </c:pt>
                <c:pt idx="20">
                  <c:v>52.154773103668319</c:v>
                </c:pt>
                <c:pt idx="21">
                  <c:v>62.216333570611212</c:v>
                </c:pt>
              </c:numCache>
            </c:numRef>
          </c:val>
          <c:smooth val="0"/>
          <c:extLst>
            <c:ext xmlns:c16="http://schemas.microsoft.com/office/drawing/2014/chart" uri="{C3380CC4-5D6E-409C-BE32-E72D297353CC}">
              <c16:uniqueId val="{00000000-75A7-4806-ADD8-BB866D19D447}"/>
            </c:ext>
          </c:extLst>
        </c:ser>
        <c:ser>
          <c:idx val="1"/>
          <c:order val="1"/>
          <c:tx>
            <c:strRef>
              <c:f>Carlson!$Z$43</c:f>
              <c:strCache>
                <c:ptCount val="1"/>
                <c:pt idx="0">
                  <c:v>Total Phosphorus</c:v>
                </c:pt>
              </c:strCache>
            </c:strRef>
          </c:tx>
          <c:spPr>
            <a:ln w="38100">
              <a:solidFill>
                <a:srgbClr val="FF00FF"/>
              </a:solidFill>
              <a:prstDash val="solid"/>
            </a:ln>
          </c:spPr>
          <c:marker>
            <c:symbol val="none"/>
          </c:marker>
          <c:cat>
            <c:numRef>
              <c:f>Carlson!$C$38:$X$38</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Carlson!$C$37:$X$37</c:f>
              <c:numCache>
                <c:formatCode>0.00</c:formatCode>
                <c:ptCount val="22"/>
                <c:pt idx="0">
                  <c:v>79.950309900597716</c:v>
                </c:pt>
                <c:pt idx="1">
                  <c:v>79.164812772428064</c:v>
                </c:pt>
                <c:pt idx="2">
                  <c:v>81.040837132116607</c:v>
                </c:pt>
                <c:pt idx="3">
                  <c:v>69.396448868134499</c:v>
                </c:pt>
                <c:pt idx="4">
                  <c:v>62.800695131408894</c:v>
                </c:pt>
                <c:pt idx="5">
                  <c:v>53.621504171891345</c:v>
                </c:pt>
                <c:pt idx="6">
                  <c:v>56.978558937189497</c:v>
                </c:pt>
                <c:pt idx="7">
                  <c:v>55.41811904667734</c:v>
                </c:pt>
                <c:pt idx="8">
                  <c:v>59.483858202128459</c:v>
                </c:pt>
                <c:pt idx="9">
                  <c:v>58.183879383470696</c:v>
                </c:pt>
                <c:pt idx="10">
                  <c:v>63.709719096324825</c:v>
                </c:pt>
                <c:pt idx="11">
                  <c:v>60.846925623884772</c:v>
                </c:pt>
                <c:pt idx="12">
                  <c:v>63.756011270913007</c:v>
                </c:pt>
                <c:pt idx="13">
                  <c:v>57.451388182297023</c:v>
                </c:pt>
                <c:pt idx="14">
                  <c:v>59.296176593952403</c:v>
                </c:pt>
                <c:pt idx="15">
                  <c:v>50.851743280210364</c:v>
                </c:pt>
                <c:pt idx="16">
                  <c:v>52.506124871048137</c:v>
                </c:pt>
                <c:pt idx="17">
                  <c:v>63.523049822907645</c:v>
                </c:pt>
                <c:pt idx="18">
                  <c:v>60.299447281822843</c:v>
                </c:pt>
                <c:pt idx="19">
                  <c:v>56.904419956393461</c:v>
                </c:pt>
                <c:pt idx="20">
                  <c:v>61.988085786341578</c:v>
                </c:pt>
                <c:pt idx="21">
                  <c:v>70.147033659345396</c:v>
                </c:pt>
              </c:numCache>
            </c:numRef>
          </c:val>
          <c:smooth val="0"/>
          <c:extLst>
            <c:ext xmlns:c16="http://schemas.microsoft.com/office/drawing/2014/chart" uri="{C3380CC4-5D6E-409C-BE32-E72D297353CC}">
              <c16:uniqueId val="{00000001-75A7-4806-ADD8-BB866D19D447}"/>
            </c:ext>
          </c:extLst>
        </c:ser>
        <c:ser>
          <c:idx val="2"/>
          <c:order val="2"/>
          <c:tx>
            <c:strRef>
              <c:f>Carlson!$Z$44</c:f>
              <c:strCache>
                <c:ptCount val="1"/>
                <c:pt idx="0">
                  <c:v>Sechhi</c:v>
                </c:pt>
              </c:strCache>
            </c:strRef>
          </c:tx>
          <c:spPr>
            <a:ln w="38100">
              <a:solidFill>
                <a:srgbClr val="FF0000"/>
              </a:solidFill>
              <a:prstDash val="solid"/>
            </a:ln>
          </c:spPr>
          <c:marker>
            <c:symbol val="none"/>
          </c:marker>
          <c:cat>
            <c:numRef>
              <c:f>Carlson!$C$38:$X$38</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Carlson!$C$31:$X$31</c:f>
              <c:numCache>
                <c:formatCode>0.00</c:formatCode>
                <c:ptCount val="22"/>
                <c:pt idx="0">
                  <c:v>49.797204222096241</c:v>
                </c:pt>
                <c:pt idx="1">
                  <c:v>49.172094162064695</c:v>
                </c:pt>
                <c:pt idx="2">
                  <c:v>48.443157153348082</c:v>
                </c:pt>
                <c:pt idx="3">
                  <c:v>52.353646902194129</c:v>
                </c:pt>
                <c:pt idx="4">
                  <c:v>56.900245019719819</c:v>
                </c:pt>
                <c:pt idx="5">
                  <c:v>46.607283013608452</c:v>
                </c:pt>
                <c:pt idx="6">
                  <c:v>55.151435070288322</c:v>
                </c:pt>
                <c:pt idx="7">
                  <c:v>52.353646902194129</c:v>
                </c:pt>
                <c:pt idx="8">
                  <c:v>51.529994158760466</c:v>
                </c:pt>
                <c:pt idx="9">
                  <c:v>47.935263171469352</c:v>
                </c:pt>
                <c:pt idx="10">
                  <c:v>47.997779538505156</c:v>
                </c:pt>
                <c:pt idx="11">
                  <c:v>45.687241950921816</c:v>
                </c:pt>
                <c:pt idx="12">
                  <c:v>53.227247702568953</c:v>
                </c:pt>
                <c:pt idx="13">
                  <c:v>50.011749128131186</c:v>
                </c:pt>
                <c:pt idx="14">
                  <c:v>54.15724779216135</c:v>
                </c:pt>
                <c:pt idx="15">
                  <c:v>47.384495494730302</c:v>
                </c:pt>
                <c:pt idx="16">
                  <c:v>46.796250553693426</c:v>
                </c:pt>
                <c:pt idx="17">
                  <c:v>54.15724779216135</c:v>
                </c:pt>
                <c:pt idx="18">
                  <c:v>51.529994158760466</c:v>
                </c:pt>
                <c:pt idx="19">
                  <c:v>53.227247702568953</c:v>
                </c:pt>
                <c:pt idx="20">
                  <c:v>48.638329437150865</c:v>
                </c:pt>
                <c:pt idx="21">
                  <c:v>54.947034480054228</c:v>
                </c:pt>
              </c:numCache>
            </c:numRef>
          </c:val>
          <c:smooth val="0"/>
          <c:extLst>
            <c:ext xmlns:c16="http://schemas.microsoft.com/office/drawing/2014/chart" uri="{C3380CC4-5D6E-409C-BE32-E72D297353CC}">
              <c16:uniqueId val="{00000002-75A7-4806-ADD8-BB866D19D447}"/>
            </c:ext>
          </c:extLst>
        </c:ser>
        <c:dLbls>
          <c:showLegendKey val="0"/>
          <c:showVal val="0"/>
          <c:showCatName val="0"/>
          <c:showSerName val="0"/>
          <c:showPercent val="0"/>
          <c:showBubbleSize val="0"/>
        </c:dLbls>
        <c:smooth val="0"/>
        <c:axId val="132954752"/>
        <c:axId val="132968832"/>
      </c:lineChart>
      <c:catAx>
        <c:axId val="1329547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2968832"/>
        <c:crosses val="autoZero"/>
        <c:auto val="1"/>
        <c:lblAlgn val="ctr"/>
        <c:lblOffset val="100"/>
        <c:tickLblSkip val="1"/>
        <c:tickMarkSkip val="1"/>
        <c:noMultiLvlLbl val="0"/>
      </c:catAx>
      <c:valAx>
        <c:axId val="132968832"/>
        <c:scaling>
          <c:orientation val="minMax"/>
          <c:max val="90"/>
          <c:min val="30"/>
        </c:scaling>
        <c:delete val="0"/>
        <c:axPos val="l"/>
        <c:majorGridlines>
          <c:spPr>
            <a:ln w="3175">
              <a:solidFill>
                <a:srgbClr val="000000"/>
              </a:solidFill>
              <a:prstDash val="solid"/>
            </a:ln>
          </c:spPr>
        </c:majorGridlines>
        <c:numFmt formatCode="General" sourceLinked="0"/>
        <c:majorTickMark val="out"/>
        <c:minorTickMark val="out"/>
        <c:tickLblPos val="nextTo"/>
        <c:spPr>
          <a:ln w="3175">
            <a:solidFill>
              <a:srgbClr val="000000"/>
            </a:solidFill>
            <a:prstDash val="solid"/>
          </a:ln>
        </c:spPr>
        <c:txPr>
          <a:bodyPr rot="0" vert="horz"/>
          <a:lstStyle/>
          <a:p>
            <a:pPr>
              <a:defRPr sz="875" b="1" i="0" u="none" strike="noStrike" baseline="0">
                <a:solidFill>
                  <a:srgbClr val="000000"/>
                </a:solidFill>
                <a:latin typeface="Arial"/>
                <a:ea typeface="Arial"/>
                <a:cs typeface="Arial"/>
              </a:defRPr>
            </a:pPr>
            <a:endParaRPr lang="en-US"/>
          </a:p>
        </c:txPr>
        <c:crossAx val="132954752"/>
        <c:crosses val="autoZero"/>
        <c:crossBetween val="between"/>
        <c:minorUnit val="10"/>
      </c:valAx>
      <c:spPr>
        <a:gradFill>
          <a:gsLst>
            <a:gs pos="67000">
              <a:srgbClr val="00B050">
                <a:alpha val="78000"/>
              </a:srgbClr>
            </a:gs>
            <a:gs pos="50000">
              <a:srgbClr val="4F81BD">
                <a:tint val="44500"/>
                <a:satMod val="160000"/>
              </a:srgbClr>
            </a:gs>
            <a:gs pos="100000">
              <a:srgbClr val="4F81BD">
                <a:tint val="23500"/>
                <a:satMod val="160000"/>
              </a:srgbClr>
            </a:gs>
          </a:gsLst>
          <a:lin ang="5400000" scaled="0"/>
        </a:gradFill>
      </c:spPr>
    </c:plotArea>
    <c:legend>
      <c:legendPos val="b"/>
      <c:layout>
        <c:manualLayout>
          <c:xMode val="edge"/>
          <c:yMode val="edge"/>
          <c:x val="0.2213623366911539"/>
          <c:y val="0.87770730493550764"/>
          <c:w val="0.57216777372102157"/>
          <c:h val="7.322710400844872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Black"/>
              <a:ea typeface="Arial Black"/>
              <a:cs typeface="Arial Black"/>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Carlson's Annual Trophic Status Index [TSI]  
</a:t>
            </a:r>
          </a:p>
        </c:rich>
      </c:tx>
      <c:layout>
        <c:manualLayout>
          <c:xMode val="edge"/>
          <c:yMode val="edge"/>
          <c:x val="0.2458521870286576"/>
          <c:y val="3.5031847133758252E-2"/>
        </c:manualLayout>
      </c:layout>
      <c:overlay val="0"/>
      <c:spPr>
        <a:noFill/>
        <a:ln w="25400">
          <a:noFill/>
        </a:ln>
      </c:spPr>
    </c:title>
    <c:autoTitleDeleted val="0"/>
    <c:plotArea>
      <c:layout>
        <c:manualLayout>
          <c:layoutTarget val="inner"/>
          <c:xMode val="edge"/>
          <c:yMode val="edge"/>
          <c:x val="6.3573958344615447E-2"/>
          <c:y val="0.12526539278132306"/>
          <c:w val="0.91237266492943359"/>
          <c:h val="0.66985138004246281"/>
        </c:manualLayout>
      </c:layout>
      <c:lineChart>
        <c:grouping val="standard"/>
        <c:varyColors val="0"/>
        <c:ser>
          <c:idx val="0"/>
          <c:order val="0"/>
          <c:tx>
            <c:strRef>
              <c:f>Carlson!$Z$42</c:f>
              <c:strCache>
                <c:ptCount val="1"/>
                <c:pt idx="0">
                  <c:v>Chlorophyll-a</c:v>
                </c:pt>
              </c:strCache>
            </c:strRef>
          </c:tx>
          <c:spPr>
            <a:ln w="38100">
              <a:solidFill>
                <a:srgbClr val="000080"/>
              </a:solidFill>
              <a:prstDash val="solid"/>
            </a:ln>
          </c:spPr>
          <c:marker>
            <c:symbol val="none"/>
          </c:marker>
          <c:cat>
            <c:numRef>
              <c:f>Carlson!$B$27:$X$27</c:f>
              <c:numCache>
                <c:formatCode>General</c:formatCode>
                <c:ptCount val="23"/>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Carlson!$B$23:$X$23</c:f>
              <c:numCache>
                <c:formatCode>0.00</c:formatCode>
                <c:ptCount val="23"/>
                <c:pt idx="0">
                  <c:v>50.328755837972679</c:v>
                </c:pt>
                <c:pt idx="1">
                  <c:v>60.569001946553058</c:v>
                </c:pt>
                <c:pt idx="2">
                  <c:v>59.490108185268312</c:v>
                </c:pt>
                <c:pt idx="3">
                  <c:v>52.045163024800708</c:v>
                </c:pt>
                <c:pt idx="4">
                  <c:v>60.196813250617694</c:v>
                </c:pt>
                <c:pt idx="5">
                  <c:v>46.563595517817454</c:v>
                </c:pt>
                <c:pt idx="6">
                  <c:v>58.451359727019508</c:v>
                </c:pt>
                <c:pt idx="7">
                  <c:v>51.241556053390738</c:v>
                </c:pt>
                <c:pt idx="8">
                  <c:v>44.90901337268226</c:v>
                </c:pt>
                <c:pt idx="9">
                  <c:v>47.844586171188787</c:v>
                </c:pt>
                <c:pt idx="10">
                  <c:v>56.558974762338245</c:v>
                </c:pt>
                <c:pt idx="11">
                  <c:v>62.018942605224893</c:v>
                </c:pt>
                <c:pt idx="12">
                  <c:v>57.424145267406118</c:v>
                </c:pt>
                <c:pt idx="13">
                  <c:v>57.034292643354384</c:v>
                </c:pt>
                <c:pt idx="14">
                  <c:v>49.112153257007648</c:v>
                </c:pt>
                <c:pt idx="15">
                  <c:v>57.487640634706224</c:v>
                </c:pt>
                <c:pt idx="16">
                  <c:v>52.263171996658713</c:v>
                </c:pt>
                <c:pt idx="17">
                  <c:v>52.47644126556186</c:v>
                </c:pt>
                <c:pt idx="18">
                  <c:v>58.565430779751622</c:v>
                </c:pt>
                <c:pt idx="19">
                  <c:v>55.377398000663987</c:v>
                </c:pt>
                <c:pt idx="20">
                  <c:v>53.759977750967792</c:v>
                </c:pt>
                <c:pt idx="21">
                  <c:v>53.943347575817015</c:v>
                </c:pt>
                <c:pt idx="22">
                  <c:v>57.100353499053369</c:v>
                </c:pt>
              </c:numCache>
            </c:numRef>
          </c:val>
          <c:smooth val="0"/>
          <c:extLst>
            <c:ext xmlns:c16="http://schemas.microsoft.com/office/drawing/2014/chart" uri="{C3380CC4-5D6E-409C-BE32-E72D297353CC}">
              <c16:uniqueId val="{00000000-4643-4E4F-99CF-D7813D1C3F7C}"/>
            </c:ext>
          </c:extLst>
        </c:ser>
        <c:ser>
          <c:idx val="1"/>
          <c:order val="1"/>
          <c:tx>
            <c:strRef>
              <c:f>Carlson!$Z$43</c:f>
              <c:strCache>
                <c:ptCount val="1"/>
                <c:pt idx="0">
                  <c:v>Total Phosphorus</c:v>
                </c:pt>
              </c:strCache>
            </c:strRef>
          </c:tx>
          <c:spPr>
            <a:ln w="38100">
              <a:solidFill>
                <a:srgbClr val="FF00FF"/>
              </a:solidFill>
              <a:prstDash val="solid"/>
            </a:ln>
          </c:spPr>
          <c:marker>
            <c:symbol val="none"/>
          </c:marker>
          <c:cat>
            <c:numRef>
              <c:f>Carlson!$B$27:$X$27</c:f>
              <c:numCache>
                <c:formatCode>General</c:formatCode>
                <c:ptCount val="23"/>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Carlson!$B$26:$X$26</c:f>
              <c:numCache>
                <c:formatCode>0.00</c:formatCode>
                <c:ptCount val="23"/>
                <c:pt idx="0">
                  <c:v>77.86486390810137</c:v>
                </c:pt>
                <c:pt idx="1">
                  <c:v>79.361907306518916</c:v>
                </c:pt>
                <c:pt idx="2">
                  <c:v>77.53626381206297</c:v>
                </c:pt>
                <c:pt idx="3">
                  <c:v>78.029833513059273</c:v>
                </c:pt>
                <c:pt idx="4">
                  <c:v>68.55336662767651</c:v>
                </c:pt>
                <c:pt idx="5">
                  <c:v>57.668020750593648</c:v>
                </c:pt>
                <c:pt idx="6">
                  <c:v>52.923548917470939</c:v>
                </c:pt>
                <c:pt idx="7">
                  <c:v>56.48969856202617</c:v>
                </c:pt>
                <c:pt idx="8">
                  <c:v>56.062695626673559</c:v>
                </c:pt>
                <c:pt idx="9">
                  <c:v>57.909204411993279</c:v>
                </c:pt>
                <c:pt idx="10">
                  <c:v>63.190448587242685</c:v>
                </c:pt>
                <c:pt idx="11">
                  <c:v>60.503576069721355</c:v>
                </c:pt>
                <c:pt idx="12">
                  <c:v>60.618936684980596</c:v>
                </c:pt>
                <c:pt idx="13">
                  <c:v>60.416445895266378</c:v>
                </c:pt>
                <c:pt idx="14">
                  <c:v>54.080778661183317</c:v>
                </c:pt>
                <c:pt idx="15">
                  <c:v>57.052318688804327</c:v>
                </c:pt>
                <c:pt idx="16">
                  <c:v>49.977536233617379</c:v>
                </c:pt>
                <c:pt idx="17">
                  <c:v>53.527867479233244</c:v>
                </c:pt>
                <c:pt idx="18">
                  <c:v>60.733381730151109</c:v>
                </c:pt>
                <c:pt idx="19">
                  <c:v>55.335482717373779</c:v>
                </c:pt>
                <c:pt idx="20">
                  <c:v>54.829465885695264</c:v>
                </c:pt>
                <c:pt idx="21">
                  <c:v>57.629195613933874</c:v>
                </c:pt>
                <c:pt idx="22">
                  <c:v>63.569944173179216</c:v>
                </c:pt>
              </c:numCache>
            </c:numRef>
          </c:val>
          <c:smooth val="0"/>
          <c:extLst>
            <c:ext xmlns:c16="http://schemas.microsoft.com/office/drawing/2014/chart" uri="{C3380CC4-5D6E-409C-BE32-E72D297353CC}">
              <c16:uniqueId val="{00000001-4643-4E4F-99CF-D7813D1C3F7C}"/>
            </c:ext>
          </c:extLst>
        </c:ser>
        <c:ser>
          <c:idx val="2"/>
          <c:order val="2"/>
          <c:tx>
            <c:strRef>
              <c:f>Carlson!$Z$44</c:f>
              <c:strCache>
                <c:ptCount val="1"/>
                <c:pt idx="0">
                  <c:v>Sechhi</c:v>
                </c:pt>
              </c:strCache>
            </c:strRef>
          </c:tx>
          <c:spPr>
            <a:ln w="38100">
              <a:solidFill>
                <a:srgbClr val="FF0000"/>
              </a:solidFill>
              <a:prstDash val="solid"/>
            </a:ln>
          </c:spPr>
          <c:marker>
            <c:symbol val="none"/>
          </c:marker>
          <c:cat>
            <c:numRef>
              <c:f>Carlson!$B$27:$X$27</c:f>
              <c:numCache>
                <c:formatCode>General</c:formatCode>
                <c:ptCount val="23"/>
                <c:pt idx="0">
                  <c:v>1988</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Carlson!$B$20:$X$20</c:f>
              <c:numCache>
                <c:formatCode>0.00</c:formatCode>
                <c:ptCount val="23"/>
                <c:pt idx="0">
                  <c:v>53.003832374585691</c:v>
                </c:pt>
                <c:pt idx="1">
                  <c:v>48.836181515570374</c:v>
                </c:pt>
                <c:pt idx="2">
                  <c:v>49.308682862449672</c:v>
                </c:pt>
                <c:pt idx="3">
                  <c:v>44.958783608185414</c:v>
                </c:pt>
                <c:pt idx="4">
                  <c:v>51.610272917923112</c:v>
                </c:pt>
                <c:pt idx="5">
                  <c:v>49.036788003623514</c:v>
                </c:pt>
                <c:pt idx="6">
                  <c:v>46.724380080519353</c:v>
                </c:pt>
                <c:pt idx="7">
                  <c:v>52.353646902194129</c:v>
                </c:pt>
                <c:pt idx="8">
                  <c:v>51.529994158760466</c:v>
                </c:pt>
                <c:pt idx="9">
                  <c:v>51.529994158760466</c:v>
                </c:pt>
                <c:pt idx="10">
                  <c:v>47.384495494730302</c:v>
                </c:pt>
                <c:pt idx="11">
                  <c:v>47.997779538505156</c:v>
                </c:pt>
                <c:pt idx="12">
                  <c:v>44.168996920292535</c:v>
                </c:pt>
                <c:pt idx="13">
                  <c:v>52.353646902194129</c:v>
                </c:pt>
                <c:pt idx="14">
                  <c:v>46.231080077154644</c:v>
                </c:pt>
                <c:pt idx="15">
                  <c:v>49.308682862449672</c:v>
                </c:pt>
                <c:pt idx="16">
                  <c:v>47.384495494730302</c:v>
                </c:pt>
                <c:pt idx="17">
                  <c:v>52.353646902194129</c:v>
                </c:pt>
                <c:pt idx="18">
                  <c:v>47.384495494730302</c:v>
                </c:pt>
                <c:pt idx="19">
                  <c:v>45.687241950921816</c:v>
                </c:pt>
                <c:pt idx="20">
                  <c:v>52.353646902194129</c:v>
                </c:pt>
                <c:pt idx="21">
                  <c:v>48.638329437150865</c:v>
                </c:pt>
                <c:pt idx="22">
                  <c:v>48.57297785121758</c:v>
                </c:pt>
              </c:numCache>
            </c:numRef>
          </c:val>
          <c:smooth val="0"/>
          <c:extLst>
            <c:ext xmlns:c16="http://schemas.microsoft.com/office/drawing/2014/chart" uri="{C3380CC4-5D6E-409C-BE32-E72D297353CC}">
              <c16:uniqueId val="{00000002-4643-4E4F-99CF-D7813D1C3F7C}"/>
            </c:ext>
          </c:extLst>
        </c:ser>
        <c:dLbls>
          <c:showLegendKey val="0"/>
          <c:showVal val="0"/>
          <c:showCatName val="0"/>
          <c:showSerName val="0"/>
          <c:showPercent val="0"/>
          <c:showBubbleSize val="0"/>
        </c:dLbls>
        <c:smooth val="0"/>
        <c:axId val="133028096"/>
        <c:axId val="133033984"/>
      </c:lineChart>
      <c:catAx>
        <c:axId val="133028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3033984"/>
        <c:crosses val="autoZero"/>
        <c:auto val="1"/>
        <c:lblAlgn val="ctr"/>
        <c:lblOffset val="100"/>
        <c:tickLblSkip val="1"/>
        <c:tickMarkSkip val="1"/>
        <c:noMultiLvlLbl val="0"/>
      </c:catAx>
      <c:valAx>
        <c:axId val="133033984"/>
        <c:scaling>
          <c:orientation val="minMax"/>
          <c:min val="3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3028096"/>
        <c:crosses val="autoZero"/>
        <c:crossBetween val="between"/>
        <c:minorUnit val="10"/>
      </c:valAx>
      <c:spPr>
        <a:gradFill>
          <a:gsLst>
            <a:gs pos="65000">
              <a:srgbClr val="00B050">
                <a:alpha val="86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b"/>
      <c:layout>
        <c:manualLayout>
          <c:xMode val="edge"/>
          <c:yMode val="edge"/>
          <c:x val="0.25325376281197315"/>
          <c:y val="0.89065817409766457"/>
          <c:w val="0.56351048966194606"/>
          <c:h val="7.8824080111005404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Black"/>
              <a:ea typeface="Arial Black"/>
              <a:cs typeface="Arial Black"/>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Walker's Growing Season TSI Trophic Status
</a:t>
            </a:r>
          </a:p>
        </c:rich>
      </c:tx>
      <c:layout>
        <c:manualLayout>
          <c:xMode val="edge"/>
          <c:yMode val="edge"/>
          <c:x val="0.31267217630856375"/>
          <c:y val="3.5460992907801435E-2"/>
        </c:manualLayout>
      </c:layout>
      <c:overlay val="0"/>
      <c:spPr>
        <a:noFill/>
        <a:ln w="25400">
          <a:noFill/>
        </a:ln>
      </c:spPr>
    </c:title>
    <c:autoTitleDeleted val="0"/>
    <c:plotArea>
      <c:layout>
        <c:manualLayout>
          <c:layoutTarget val="inner"/>
          <c:xMode val="edge"/>
          <c:yMode val="edge"/>
          <c:x val="9.7997574864545453E-2"/>
          <c:y val="0.14746255520455137"/>
          <c:w val="0.90111783093760756"/>
          <c:h val="0.68530222611062508"/>
        </c:manualLayout>
      </c:layout>
      <c:lineChart>
        <c:grouping val="standard"/>
        <c:varyColors val="0"/>
        <c:ser>
          <c:idx val="0"/>
          <c:order val="0"/>
          <c:tx>
            <c:strRef>
              <c:f>Walker!$G$52</c:f>
              <c:strCache>
                <c:ptCount val="1"/>
                <c:pt idx="0">
                  <c:v>Chlorophyll-a</c:v>
                </c:pt>
              </c:strCache>
            </c:strRef>
          </c:tx>
          <c:spPr>
            <a:ln w="38100">
              <a:solidFill>
                <a:srgbClr val="000080"/>
              </a:solidFill>
              <a:prstDash val="solid"/>
            </a:ln>
          </c:spPr>
          <c:marker>
            <c:symbol val="none"/>
          </c:marker>
          <c:cat>
            <c:numRef>
              <c:f>Walker!$AB$16:$AW$16</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Walker!$AB$18:$AW$18</c:f>
              <c:numCache>
                <c:formatCode>0.00</c:formatCode>
                <c:ptCount val="22"/>
                <c:pt idx="0">
                  <c:v>39.954269549603552</c:v>
                </c:pt>
                <c:pt idx="1">
                  <c:v>55.565533829982016</c:v>
                </c:pt>
                <c:pt idx="2">
                  <c:v>58.461430738911787</c:v>
                </c:pt>
                <c:pt idx="3">
                  <c:v>67.201909026395739</c:v>
                </c:pt>
                <c:pt idx="4">
                  <c:v>54.525117899516516</c:v>
                </c:pt>
                <c:pt idx="5">
                  <c:v>65.712923624392289</c:v>
                </c:pt>
                <c:pt idx="6">
                  <c:v>45.83717154626855</c:v>
                </c:pt>
                <c:pt idx="7">
                  <c:v>34.269184011910241</c:v>
                </c:pt>
                <c:pt idx="8">
                  <c:v>36.314818447701668</c:v>
                </c:pt>
                <c:pt idx="9">
                  <c:v>58.660330444060072</c:v>
                </c:pt>
                <c:pt idx="10">
                  <c:v>65.523946072984643</c:v>
                </c:pt>
                <c:pt idx="11">
                  <c:v>63.413153176808436</c:v>
                </c:pt>
                <c:pt idx="12">
                  <c:v>62.074253956655305</c:v>
                </c:pt>
                <c:pt idx="13">
                  <c:v>50.859754077616223</c:v>
                </c:pt>
                <c:pt idx="14">
                  <c:v>59.522913145001397</c:v>
                </c:pt>
                <c:pt idx="15">
                  <c:v>57.206726682721325</c:v>
                </c:pt>
                <c:pt idx="16">
                  <c:v>46.991387390920949</c:v>
                </c:pt>
                <c:pt idx="17">
                  <c:v>66.870400173595584</c:v>
                </c:pt>
                <c:pt idx="18">
                  <c:v>65.400697459443251</c:v>
                </c:pt>
                <c:pt idx="19">
                  <c:v>59.241080069629163</c:v>
                </c:pt>
                <c:pt idx="20">
                  <c:v>51.683978405188284</c:v>
                </c:pt>
                <c:pt idx="21">
                  <c:v>66.47375434130619</c:v>
                </c:pt>
              </c:numCache>
            </c:numRef>
          </c:val>
          <c:smooth val="0"/>
          <c:extLst>
            <c:ext xmlns:c16="http://schemas.microsoft.com/office/drawing/2014/chart" uri="{C3380CC4-5D6E-409C-BE32-E72D297353CC}">
              <c16:uniqueId val="{00000000-680B-431D-AB89-00D8D296FD3F}"/>
            </c:ext>
          </c:extLst>
        </c:ser>
        <c:ser>
          <c:idx val="1"/>
          <c:order val="1"/>
          <c:tx>
            <c:strRef>
              <c:f>Walker!$G$53</c:f>
              <c:strCache>
                <c:ptCount val="1"/>
                <c:pt idx="0">
                  <c:v>Total Phosphorus</c:v>
                </c:pt>
              </c:strCache>
            </c:strRef>
          </c:tx>
          <c:spPr>
            <a:ln w="38100">
              <a:solidFill>
                <a:srgbClr val="FF00FF"/>
              </a:solidFill>
              <a:prstDash val="solid"/>
            </a:ln>
          </c:spPr>
          <c:marker>
            <c:symbol val="none"/>
          </c:marker>
          <c:cat>
            <c:numRef>
              <c:f>Walker!$AB$16:$AW$16</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Walker!$AB$21:$AW$21</c:f>
              <c:numCache>
                <c:formatCode>0.00</c:formatCode>
                <c:ptCount val="22"/>
                <c:pt idx="0">
                  <c:v>105.23732345422789</c:v>
                </c:pt>
                <c:pt idx="1">
                  <c:v>104.14677889764283</c:v>
                </c:pt>
                <c:pt idx="2">
                  <c:v>106.75135640672498</c:v>
                </c:pt>
                <c:pt idx="3">
                  <c:v>90.584875613041092</c:v>
                </c:pt>
                <c:pt idx="4">
                  <c:v>81.427664114480308</c:v>
                </c:pt>
                <c:pt idx="5">
                  <c:v>68.683738801752057</c:v>
                </c:pt>
                <c:pt idx="6">
                  <c:v>73.344504155515523</c:v>
                </c:pt>
                <c:pt idx="7">
                  <c:v>71.178068191018056</c:v>
                </c:pt>
                <c:pt idx="8">
                  <c:v>76.822735173828832</c:v>
                </c:pt>
                <c:pt idx="9">
                  <c:v>75.017910212003002</c:v>
                </c:pt>
                <c:pt idx="10">
                  <c:v>82.689707094897571</c:v>
                </c:pt>
                <c:pt idx="11">
                  <c:v>78.715149167140993</c:v>
                </c:pt>
                <c:pt idx="12">
                  <c:v>82.753976813015143</c:v>
                </c:pt>
                <c:pt idx="13">
                  <c:v>74.00095640843179</c:v>
                </c:pt>
                <c:pt idx="14">
                  <c:v>76.562167504225187</c:v>
                </c:pt>
                <c:pt idx="15">
                  <c:v>64.838342612330891</c:v>
                </c:pt>
                <c:pt idx="16">
                  <c:v>67.135202490872658</c:v>
                </c:pt>
                <c:pt idx="17">
                  <c:v>82.430544899764982</c:v>
                </c:pt>
                <c:pt idx="18">
                  <c:v>77.95505787670551</c:v>
                </c:pt>
                <c:pt idx="19">
                  <c:v>73.241573337517138</c:v>
                </c:pt>
                <c:pt idx="20">
                  <c:v>80.299478324726664</c:v>
                </c:pt>
                <c:pt idx="21">
                  <c:v>91.626949643557182</c:v>
                </c:pt>
              </c:numCache>
            </c:numRef>
          </c:val>
          <c:smooth val="0"/>
          <c:extLst>
            <c:ext xmlns:c16="http://schemas.microsoft.com/office/drawing/2014/chart" uri="{C3380CC4-5D6E-409C-BE32-E72D297353CC}">
              <c16:uniqueId val="{00000001-680B-431D-AB89-00D8D296FD3F}"/>
            </c:ext>
          </c:extLst>
        </c:ser>
        <c:ser>
          <c:idx val="2"/>
          <c:order val="2"/>
          <c:tx>
            <c:strRef>
              <c:f>Walker!$G$54</c:f>
              <c:strCache>
                <c:ptCount val="1"/>
                <c:pt idx="0">
                  <c:v>Sechhi</c:v>
                </c:pt>
              </c:strCache>
            </c:strRef>
          </c:tx>
          <c:spPr>
            <a:ln w="38100">
              <a:solidFill>
                <a:srgbClr val="FF0000"/>
              </a:solidFill>
              <a:prstDash val="solid"/>
            </a:ln>
          </c:spPr>
          <c:marker>
            <c:symbol val="none"/>
          </c:marker>
          <c:cat>
            <c:numRef>
              <c:f>Walker!$AB$16:$AW$16</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Walker!$AB$24:$AW$24</c:f>
              <c:numCache>
                <c:formatCode>0.00</c:formatCode>
                <c:ptCount val="22"/>
                <c:pt idx="0">
                  <c:v>58.073026973148814</c:v>
                </c:pt>
                <c:pt idx="1">
                  <c:v>57.060845376748709</c:v>
                </c:pt>
                <c:pt idx="2">
                  <c:v>55.869127614357176</c:v>
                </c:pt>
                <c:pt idx="3">
                  <c:v>62.129262586264701</c:v>
                </c:pt>
                <c:pt idx="4">
                  <c:v>69.080907012382241</c:v>
                </c:pt>
                <c:pt idx="5">
                  <c:v>52.807093237995446</c:v>
                </c:pt>
                <c:pt idx="6">
                  <c:v>66.440722664986438</c:v>
                </c:pt>
                <c:pt idx="7">
                  <c:v>62.129262586264701</c:v>
                </c:pt>
                <c:pt idx="8">
                  <c:v>60.835935291730678</c:v>
                </c:pt>
                <c:pt idx="9">
                  <c:v>55.031061001521465</c:v>
                </c:pt>
                <c:pt idx="10">
                  <c:v>55.134574086292005</c:v>
                </c:pt>
                <c:pt idx="11">
                  <c:v>51.235802304246434</c:v>
                </c:pt>
                <c:pt idx="12">
                  <c:v>63.488373835154341</c:v>
                </c:pt>
                <c:pt idx="13">
                  <c:v>58.41843895246609</c:v>
                </c:pt>
                <c:pt idx="14">
                  <c:v>64.922011586632749</c:v>
                </c:pt>
                <c:pt idx="15">
                  <c:v>54.114638300921229</c:v>
                </c:pt>
                <c:pt idx="16">
                  <c:v>53.126608849154415</c:v>
                </c:pt>
                <c:pt idx="17">
                  <c:v>64.922011586632749</c:v>
                </c:pt>
                <c:pt idx="18">
                  <c:v>60.835935291730678</c:v>
                </c:pt>
                <c:pt idx="19">
                  <c:v>63.488373835154341</c:v>
                </c:pt>
                <c:pt idx="20">
                  <c:v>56.189460550357225</c:v>
                </c:pt>
                <c:pt idx="21">
                  <c:v>66.129594978639489</c:v>
                </c:pt>
              </c:numCache>
            </c:numRef>
          </c:val>
          <c:smooth val="0"/>
          <c:extLst>
            <c:ext xmlns:c16="http://schemas.microsoft.com/office/drawing/2014/chart" uri="{C3380CC4-5D6E-409C-BE32-E72D297353CC}">
              <c16:uniqueId val="{00000002-680B-431D-AB89-00D8D296FD3F}"/>
            </c:ext>
          </c:extLst>
        </c:ser>
        <c:ser>
          <c:idx val="3"/>
          <c:order val="3"/>
          <c:tx>
            <c:strRef>
              <c:f>Walker!$G$55</c:f>
              <c:strCache>
                <c:ptCount val="1"/>
                <c:pt idx="0">
                  <c:v>TSI Index</c:v>
                </c:pt>
              </c:strCache>
            </c:strRef>
          </c:tx>
          <c:spPr>
            <a:ln w="38100">
              <a:solidFill>
                <a:srgbClr val="00FFFF"/>
              </a:solidFill>
              <a:prstDash val="solid"/>
            </a:ln>
          </c:spPr>
          <c:marker>
            <c:symbol val="none"/>
          </c:marker>
          <c:cat>
            <c:numRef>
              <c:f>Walker!$AB$16:$AW$16</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Walker!$AB$29:$AW$29</c:f>
              <c:numCache>
                <c:formatCode>0.0</c:formatCode>
                <c:ptCount val="22"/>
                <c:pt idx="0">
                  <c:v>67.754873325660085</c:v>
                </c:pt>
                <c:pt idx="1">
                  <c:v>72.257719368124526</c:v>
                </c:pt>
                <c:pt idx="2">
                  <c:v>73.693971586664645</c:v>
                </c:pt>
                <c:pt idx="3">
                  <c:v>73.305349075233849</c:v>
                </c:pt>
                <c:pt idx="4">
                  <c:v>68.344563008793031</c:v>
                </c:pt>
                <c:pt idx="5">
                  <c:v>62.401251888046602</c:v>
                </c:pt>
                <c:pt idx="6">
                  <c:v>61.874132788923504</c:v>
                </c:pt>
                <c:pt idx="7">
                  <c:v>55.858838263064335</c:v>
                </c:pt>
                <c:pt idx="8">
                  <c:v>57.991162971087057</c:v>
                </c:pt>
                <c:pt idx="9">
                  <c:v>62.90310055252818</c:v>
                </c:pt>
                <c:pt idx="10">
                  <c:v>67.782742418058078</c:v>
                </c:pt>
                <c:pt idx="11">
                  <c:v>64.454701549398621</c:v>
                </c:pt>
                <c:pt idx="12">
                  <c:v>69.438868201608258</c:v>
                </c:pt>
                <c:pt idx="13">
                  <c:v>61.093049812838039</c:v>
                </c:pt>
                <c:pt idx="14">
                  <c:v>67.002364078619777</c:v>
                </c:pt>
                <c:pt idx="15">
                  <c:v>58.719902531991146</c:v>
                </c:pt>
                <c:pt idx="16">
                  <c:v>55.75106624364934</c:v>
                </c:pt>
                <c:pt idx="17">
                  <c:v>65.304786963789965</c:v>
                </c:pt>
                <c:pt idx="18">
                  <c:v>64.554549021164291</c:v>
                </c:pt>
                <c:pt idx="19">
                  <c:v>64.119990745893389</c:v>
                </c:pt>
                <c:pt idx="20">
                  <c:v>63.548776835549617</c:v>
                </c:pt>
                <c:pt idx="21">
                  <c:v>62.974691939965851</c:v>
                </c:pt>
              </c:numCache>
            </c:numRef>
          </c:val>
          <c:smooth val="0"/>
          <c:extLst>
            <c:ext xmlns:c16="http://schemas.microsoft.com/office/drawing/2014/chart" uri="{C3380CC4-5D6E-409C-BE32-E72D297353CC}">
              <c16:uniqueId val="{00000003-680B-431D-AB89-00D8D296FD3F}"/>
            </c:ext>
          </c:extLst>
        </c:ser>
        <c:dLbls>
          <c:showLegendKey val="0"/>
          <c:showVal val="0"/>
          <c:showCatName val="0"/>
          <c:showSerName val="0"/>
          <c:showPercent val="0"/>
          <c:showBubbleSize val="0"/>
        </c:dLbls>
        <c:smooth val="0"/>
        <c:axId val="133167360"/>
        <c:axId val="133185536"/>
      </c:lineChart>
      <c:catAx>
        <c:axId val="133167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Black"/>
                <a:ea typeface="Arial Black"/>
                <a:cs typeface="Arial Black"/>
              </a:defRPr>
            </a:pPr>
            <a:endParaRPr lang="en-US"/>
          </a:p>
        </c:txPr>
        <c:crossAx val="133185536"/>
        <c:crosses val="autoZero"/>
        <c:auto val="1"/>
        <c:lblAlgn val="ctr"/>
        <c:lblOffset val="100"/>
        <c:tickLblSkip val="1"/>
        <c:tickMarkSkip val="1"/>
        <c:noMultiLvlLbl val="0"/>
      </c:catAx>
      <c:valAx>
        <c:axId val="133185536"/>
        <c:scaling>
          <c:orientation val="minMax"/>
          <c:max val="120"/>
          <c:min val="20"/>
        </c:scaling>
        <c:delete val="0"/>
        <c:axPos val="l"/>
        <c:min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Black"/>
                <a:ea typeface="Arial Black"/>
                <a:cs typeface="Arial Black"/>
              </a:defRPr>
            </a:pPr>
            <a:endParaRPr lang="en-US"/>
          </a:p>
        </c:txPr>
        <c:crossAx val="133167360"/>
        <c:crosses val="autoZero"/>
        <c:crossBetween val="between"/>
        <c:minorUnit val="10"/>
      </c:valAx>
      <c:spPr>
        <a:gradFill>
          <a:gsLst>
            <a:gs pos="65000">
              <a:srgbClr val="00B050">
                <a:alpha val="77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plotArea>
    <c:legend>
      <c:legendPos val="r"/>
      <c:layout>
        <c:manualLayout>
          <c:xMode val="edge"/>
          <c:yMode val="edge"/>
          <c:x val="0.73543908985061057"/>
          <c:y val="6.580108337521641E-2"/>
          <c:w val="0.1265681652517828"/>
          <c:h val="0.30660635505668182"/>
        </c:manualLayout>
      </c:layout>
      <c:overlay val="0"/>
      <c:spPr>
        <a:solidFill>
          <a:schemeClr val="lt1"/>
        </a:solidFill>
        <a:ln w="25400" cap="flat" cmpd="sng" algn="ctr">
          <a:solidFill>
            <a:schemeClr val="accent4"/>
          </a:solidFill>
          <a:prstDash val="solid"/>
        </a:ln>
        <a:effectLst/>
      </c:spPr>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chemeClr val="lt1"/>
    </a:solidFill>
    <a:ln w="25400" cap="flat" cmpd="sng" algn="ctr">
      <a:solidFill>
        <a:schemeClr val="accent6"/>
      </a:solidFill>
      <a:prstDash val="soli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0" i="0" u="none" strike="noStrike" baseline="0">
                <a:solidFill>
                  <a:srgbClr val="000000"/>
                </a:solidFill>
                <a:latin typeface="Arial"/>
                <a:ea typeface="Arial"/>
                <a:cs typeface="Arial"/>
              </a:defRPr>
            </a:pPr>
            <a:r>
              <a:rPr lang="en-US"/>
              <a:t>Walker Seasonal Trophic State Index</a:t>
            </a:r>
          </a:p>
        </c:rich>
      </c:tx>
      <c:layout>
        <c:manualLayout>
          <c:xMode val="edge"/>
          <c:yMode val="edge"/>
          <c:x val="0.27130852340937872"/>
          <c:y val="3.5820895522388062E-2"/>
        </c:manualLayout>
      </c:layout>
      <c:overlay val="0"/>
      <c:spPr>
        <a:noFill/>
        <a:ln w="25400">
          <a:noFill/>
        </a:ln>
      </c:spPr>
    </c:title>
    <c:autoTitleDeleted val="0"/>
    <c:plotArea>
      <c:layout>
        <c:manualLayout>
          <c:layoutTarget val="inner"/>
          <c:xMode val="edge"/>
          <c:yMode val="edge"/>
          <c:x val="0.10122586062132662"/>
          <c:y val="0.12736318407960198"/>
          <c:w val="0.89877413937869965"/>
          <c:h val="0.62487562189058465"/>
        </c:manualLayout>
      </c:layout>
      <c:barChart>
        <c:barDir val="col"/>
        <c:grouping val="clustered"/>
        <c:varyColors val="0"/>
        <c:ser>
          <c:idx val="0"/>
          <c:order val="0"/>
          <c:tx>
            <c:strRef>
              <c:f>Walker!$A$52</c:f>
              <c:strCache>
                <c:ptCount val="1"/>
                <c:pt idx="0">
                  <c:v>Walker TI</c:v>
                </c:pt>
              </c:strCache>
            </c:strRef>
          </c:tx>
          <c:spPr>
            <a:solidFill>
              <a:srgbClr val="9999FF"/>
            </a:solidFill>
            <a:ln w="12700">
              <a:solidFill>
                <a:srgbClr val="000000"/>
              </a:solidFill>
              <a:prstDash val="solid"/>
            </a:ln>
          </c:spPr>
          <c:invertIfNegative val="0"/>
          <c:dLbls>
            <c:numFmt formatCode="0" sourceLinked="0"/>
            <c:spPr>
              <a:noFill/>
              <a:ln w="25400">
                <a:noFill/>
              </a:ln>
            </c:spPr>
            <c:txPr>
              <a:bodyPr/>
              <a:lstStyle/>
              <a:p>
                <a:pPr>
                  <a:defRPr sz="107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Walker!$AB$30:$AW$31</c:f>
              <c:multiLvlStrCache>
                <c:ptCount val="22"/>
                <c:lvl>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lvl>
                <c:lvl>
                  <c:pt idx="0">
                    <c:v>Eu-hyp</c:v>
                  </c:pt>
                  <c:pt idx="1">
                    <c:v>Hyp</c:v>
                  </c:pt>
                  <c:pt idx="2">
                    <c:v>Hyp</c:v>
                  </c:pt>
                  <c:pt idx="3">
                    <c:v>Hyp</c:v>
                  </c:pt>
                  <c:pt idx="4">
                    <c:v>Eu-hyp</c:v>
                  </c:pt>
                  <c:pt idx="5">
                    <c:v>Eu</c:v>
                  </c:pt>
                  <c:pt idx="6">
                    <c:v>Eu</c:v>
                  </c:pt>
                  <c:pt idx="7">
                    <c:v>Eu</c:v>
                  </c:pt>
                  <c:pt idx="8">
                    <c:v>Eu</c:v>
                  </c:pt>
                  <c:pt idx="9">
                    <c:v>Eu</c:v>
                  </c:pt>
                  <c:pt idx="10">
                    <c:v>Eu-hyp</c:v>
                  </c:pt>
                  <c:pt idx="11">
                    <c:v>Eu</c:v>
                  </c:pt>
                  <c:pt idx="12">
                    <c:v>Eu-hyp</c:v>
                  </c:pt>
                  <c:pt idx="13">
                    <c:v>Eu</c:v>
                  </c:pt>
                  <c:pt idx="14">
                    <c:v>Eu-hyp</c:v>
                  </c:pt>
                  <c:pt idx="15">
                    <c:v>Eu</c:v>
                  </c:pt>
                  <c:pt idx="16">
                    <c:v>Eu</c:v>
                  </c:pt>
                  <c:pt idx="17">
                    <c:v>Eu</c:v>
                  </c:pt>
                  <c:pt idx="18">
                    <c:v>EU</c:v>
                  </c:pt>
                  <c:pt idx="19">
                    <c:v>EU</c:v>
                  </c:pt>
                  <c:pt idx="20">
                    <c:v>EU</c:v>
                  </c:pt>
                  <c:pt idx="21">
                    <c:v>EU</c:v>
                  </c:pt>
                </c:lvl>
              </c:multiLvlStrCache>
            </c:multiLvlStrRef>
          </c:cat>
          <c:val>
            <c:numRef>
              <c:f>Walker!$AB$29:$AW$29</c:f>
              <c:numCache>
                <c:formatCode>0.0</c:formatCode>
                <c:ptCount val="22"/>
                <c:pt idx="0">
                  <c:v>67.754873325660085</c:v>
                </c:pt>
                <c:pt idx="1">
                  <c:v>72.257719368124526</c:v>
                </c:pt>
                <c:pt idx="2">
                  <c:v>73.693971586664645</c:v>
                </c:pt>
                <c:pt idx="3">
                  <c:v>73.305349075233849</c:v>
                </c:pt>
                <c:pt idx="4">
                  <c:v>68.344563008793031</c:v>
                </c:pt>
                <c:pt idx="5">
                  <c:v>62.401251888046602</c:v>
                </c:pt>
                <c:pt idx="6">
                  <c:v>61.874132788923504</c:v>
                </c:pt>
                <c:pt idx="7">
                  <c:v>55.858838263064335</c:v>
                </c:pt>
                <c:pt idx="8">
                  <c:v>57.991162971087057</c:v>
                </c:pt>
                <c:pt idx="9">
                  <c:v>62.90310055252818</c:v>
                </c:pt>
                <c:pt idx="10">
                  <c:v>67.782742418058078</c:v>
                </c:pt>
                <c:pt idx="11">
                  <c:v>64.454701549398621</c:v>
                </c:pt>
                <c:pt idx="12">
                  <c:v>69.438868201608258</c:v>
                </c:pt>
                <c:pt idx="13">
                  <c:v>61.093049812838039</c:v>
                </c:pt>
                <c:pt idx="14">
                  <c:v>67.002364078619777</c:v>
                </c:pt>
                <c:pt idx="15">
                  <c:v>58.719902531991146</c:v>
                </c:pt>
                <c:pt idx="16">
                  <c:v>55.75106624364934</c:v>
                </c:pt>
                <c:pt idx="17">
                  <c:v>65.304786963789965</c:v>
                </c:pt>
                <c:pt idx="18">
                  <c:v>64.554549021164291</c:v>
                </c:pt>
                <c:pt idx="19">
                  <c:v>64.119990745893389</c:v>
                </c:pt>
                <c:pt idx="20">
                  <c:v>63.548776835549617</c:v>
                </c:pt>
                <c:pt idx="21">
                  <c:v>62.974691939965851</c:v>
                </c:pt>
              </c:numCache>
            </c:numRef>
          </c:val>
          <c:extLst>
            <c:ext xmlns:c16="http://schemas.microsoft.com/office/drawing/2014/chart" uri="{C3380CC4-5D6E-409C-BE32-E72D297353CC}">
              <c16:uniqueId val="{00000000-8010-4EEF-8B0D-78418DFD080E}"/>
            </c:ext>
          </c:extLst>
        </c:ser>
        <c:dLbls>
          <c:showLegendKey val="0"/>
          <c:showVal val="1"/>
          <c:showCatName val="0"/>
          <c:showSerName val="0"/>
          <c:showPercent val="0"/>
          <c:showBubbleSize val="0"/>
        </c:dLbls>
        <c:gapWidth val="150"/>
        <c:axId val="133194880"/>
        <c:axId val="133196416"/>
      </c:barChart>
      <c:catAx>
        <c:axId val="13319488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33196416"/>
        <c:crosses val="autoZero"/>
        <c:auto val="1"/>
        <c:lblAlgn val="ctr"/>
        <c:lblOffset val="100"/>
        <c:tickMarkSkip val="1"/>
        <c:noMultiLvlLbl val="0"/>
      </c:catAx>
      <c:valAx>
        <c:axId val="133196416"/>
        <c:scaling>
          <c:orientation val="minMax"/>
          <c:max val="80"/>
          <c:min val="55"/>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en-US"/>
          </a:p>
        </c:txPr>
        <c:crossAx val="133194880"/>
        <c:crosses val="autoZero"/>
        <c:crossBetween val="between"/>
        <c:majorUnit val="5"/>
      </c:valAx>
      <c:dTable>
        <c:showHorzBorder val="0"/>
        <c:showVertBorder val="1"/>
        <c:showOutline val="1"/>
        <c:showKeys val="0"/>
        <c:spPr>
          <a:ln w="25400">
            <a:solidFill>
              <a:srgbClr val="000000"/>
            </a:solidFill>
            <a:prstDash val="solid"/>
          </a:ln>
        </c:spPr>
        <c:txPr>
          <a:bodyPr/>
          <a:lstStyle/>
          <a:p>
            <a:pPr rtl="0">
              <a:defRPr sz="800" b="0" i="0" u="none" strike="noStrike" baseline="0">
                <a:solidFill>
                  <a:srgbClr val="000000"/>
                </a:solidFill>
                <a:latin typeface="Arial Black"/>
                <a:ea typeface="Arial Black"/>
                <a:cs typeface="Arial Black"/>
              </a:defRPr>
            </a:pPr>
            <a:endParaRPr lang="en-US"/>
          </a:p>
        </c:txPr>
      </c:dTable>
      <c:spPr>
        <a:gradFill>
          <a:gsLst>
            <a:gs pos="71000">
              <a:srgbClr val="00B050">
                <a:alpha val="75000"/>
              </a:srgbClr>
            </a:gs>
            <a:gs pos="50000">
              <a:srgbClr val="4F81BD">
                <a:tint val="44500"/>
                <a:satMod val="160000"/>
              </a:srgbClr>
            </a:gs>
            <a:gs pos="100000">
              <a:srgbClr val="4F81BD">
                <a:tint val="23500"/>
                <a:satMod val="160000"/>
              </a:srgbClr>
            </a:gs>
          </a:gsLst>
          <a:lin ang="5400000" scaled="0"/>
        </a:gradFill>
        <a:ln w="254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US"/>
              <a:t>2010 Reservoir Inflow/ Outflow  Estimates [Ac-Ft Per Month] </a:t>
            </a:r>
          </a:p>
        </c:rich>
      </c:tx>
      <c:layout>
        <c:manualLayout>
          <c:xMode val="edge"/>
          <c:yMode val="edge"/>
          <c:x val="0.34678298800438145"/>
          <c:y val="3.2608695652176285E-2"/>
        </c:manualLayout>
      </c:layout>
      <c:overlay val="0"/>
      <c:spPr>
        <a:noFill/>
        <a:ln w="25400">
          <a:noFill/>
        </a:ln>
      </c:spPr>
    </c:title>
    <c:autoTitleDeleted val="0"/>
    <c:plotArea>
      <c:layout>
        <c:manualLayout>
          <c:layoutTarget val="inner"/>
          <c:xMode val="edge"/>
          <c:yMode val="edge"/>
          <c:x val="0.10385444401517969"/>
          <c:y val="0.10597826086956515"/>
          <c:w val="0.88115677757209077"/>
          <c:h val="0.75000000000001465"/>
        </c:manualLayout>
      </c:layout>
      <c:lineChart>
        <c:grouping val="standard"/>
        <c:varyColors val="0"/>
        <c:ser>
          <c:idx val="0"/>
          <c:order val="0"/>
          <c:tx>
            <c:strRef>
              <c:f>'Monthly Discharge'!$A$20</c:f>
              <c:strCache>
                <c:ptCount val="1"/>
                <c:pt idx="0">
                  <c:v>Turkey Creek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Discharge'!$B$20:$M$20</c:f>
              <c:numCache>
                <c:formatCode>#,##0.0</c:formatCode>
                <c:ptCount val="12"/>
                <c:pt idx="0">
                  <c:v>79.914900000000003</c:v>
                </c:pt>
                <c:pt idx="1">
                  <c:v>109.2633</c:v>
                </c:pt>
                <c:pt idx="2">
                  <c:v>202.24617000000001</c:v>
                </c:pt>
                <c:pt idx="3">
                  <c:v>156.45870000000002</c:v>
                </c:pt>
                <c:pt idx="4">
                  <c:v>274.78431</c:v>
                </c:pt>
                <c:pt idx="5">
                  <c:v>99.943200000000004</c:v>
                </c:pt>
                <c:pt idx="6">
                  <c:v>239.43733500000002</c:v>
                </c:pt>
                <c:pt idx="7">
                  <c:v>59.936174999999999</c:v>
                </c:pt>
                <c:pt idx="8">
                  <c:v>28.852650000000001</c:v>
                </c:pt>
                <c:pt idx="9">
                  <c:v>19.056629999999998</c:v>
                </c:pt>
                <c:pt idx="10">
                  <c:v>24.985800000000001</c:v>
                </c:pt>
                <c:pt idx="11">
                  <c:v>21.515549999999998</c:v>
                </c:pt>
              </c:numCache>
            </c:numRef>
          </c:val>
          <c:smooth val="0"/>
          <c:extLst>
            <c:ext xmlns:c16="http://schemas.microsoft.com/office/drawing/2014/chart" uri="{C3380CC4-5D6E-409C-BE32-E72D297353CC}">
              <c16:uniqueId val="{00000000-7F67-401E-9627-00E95A323B97}"/>
            </c:ext>
          </c:extLst>
        </c:ser>
        <c:ser>
          <c:idx val="1"/>
          <c:order val="1"/>
          <c:tx>
            <c:strRef>
              <c:f>'Monthly Discharge'!$A$21</c:f>
              <c:strCache>
                <c:ptCount val="1"/>
                <c:pt idx="0">
                  <c:v>Bear Creek Inflow</c:v>
                </c:pt>
              </c:strCache>
            </c:strRef>
          </c:tx>
          <c:spPr>
            <a:ln w="38100">
              <a:solidFill>
                <a:srgbClr val="FF00FF"/>
              </a:solidFill>
              <a:prstDash val="solid"/>
            </a:ln>
          </c:spPr>
          <c:marker>
            <c:symbol val="square"/>
            <c:size val="7"/>
            <c:spPr>
              <a:solidFill>
                <a:srgbClr val="FF00FF"/>
              </a:solidFill>
              <a:ln>
                <a:solidFill>
                  <a:srgbClr val="FF00FF"/>
                </a:solidFill>
                <a:prstDash val="solid"/>
              </a:ln>
            </c:spPr>
          </c:marker>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Discharge'!$B$21:$M$21</c:f>
              <c:numCache>
                <c:formatCode>#,##0.0</c:formatCode>
                <c:ptCount val="12"/>
                <c:pt idx="0">
                  <c:v>1038.2789700000001</c:v>
                </c:pt>
                <c:pt idx="1">
                  <c:v>798.19716000000005</c:v>
                </c:pt>
                <c:pt idx="2">
                  <c:v>470.26845000000003</c:v>
                </c:pt>
                <c:pt idx="3">
                  <c:v>204.05070000000001</c:v>
                </c:pt>
                <c:pt idx="4">
                  <c:v>451.82655</c:v>
                </c:pt>
                <c:pt idx="5">
                  <c:v>140.3964</c:v>
                </c:pt>
                <c:pt idx="6">
                  <c:v>432.46255500000007</c:v>
                </c:pt>
                <c:pt idx="7">
                  <c:v>296.91458999999998</c:v>
                </c:pt>
                <c:pt idx="8">
                  <c:v>80.311500000000009</c:v>
                </c:pt>
                <c:pt idx="9">
                  <c:v>416.78694000000002</c:v>
                </c:pt>
                <c:pt idx="10">
                  <c:v>109.46160000000002</c:v>
                </c:pt>
                <c:pt idx="11">
                  <c:v>113.11032000000002</c:v>
                </c:pt>
              </c:numCache>
            </c:numRef>
          </c:val>
          <c:smooth val="0"/>
          <c:extLst>
            <c:ext xmlns:c16="http://schemas.microsoft.com/office/drawing/2014/chart" uri="{C3380CC4-5D6E-409C-BE32-E72D297353CC}">
              <c16:uniqueId val="{00000001-7F67-401E-9627-00E95A323B97}"/>
            </c:ext>
          </c:extLst>
        </c:ser>
        <c:ser>
          <c:idx val="3"/>
          <c:order val="2"/>
          <c:tx>
            <c:strRef>
              <c:f>'Monthly Discharge'!$A$23</c:f>
              <c:strCache>
                <c:ptCount val="1"/>
                <c:pt idx="0">
                  <c:v>Lower Bear Creek</c:v>
                </c:pt>
              </c:strCache>
            </c:strRef>
          </c:tx>
          <c:spPr>
            <a:ln w="38100">
              <a:solidFill>
                <a:srgbClr val="00FFFF"/>
              </a:solidFill>
              <a:prstDash val="solid"/>
            </a:ln>
          </c:spPr>
          <c:marker>
            <c:symbol val="x"/>
            <c:size val="9"/>
            <c:spPr>
              <a:noFill/>
              <a:ln>
                <a:solidFill>
                  <a:srgbClr val="00FFFF"/>
                </a:solidFill>
                <a:prstDash val="solid"/>
              </a:ln>
            </c:spPr>
          </c:marker>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Discharge'!$B$23:$M$23</c:f>
              <c:numCache>
                <c:formatCode>#,##0.0</c:formatCode>
                <c:ptCount val="12"/>
                <c:pt idx="0">
                  <c:v>983.5680000000001</c:v>
                </c:pt>
                <c:pt idx="1">
                  <c:v>830.97615000000008</c:v>
                </c:pt>
                <c:pt idx="2">
                  <c:v>783.78075000000013</c:v>
                </c:pt>
                <c:pt idx="3">
                  <c:v>327.19500000000005</c:v>
                </c:pt>
                <c:pt idx="4">
                  <c:v>966.97029000000009</c:v>
                </c:pt>
                <c:pt idx="5">
                  <c:v>83.285999999999987</c:v>
                </c:pt>
                <c:pt idx="6">
                  <c:v>12.294600000000003</c:v>
                </c:pt>
                <c:pt idx="7">
                  <c:v>27.662850000000002</c:v>
                </c:pt>
                <c:pt idx="8">
                  <c:v>136.827</c:v>
                </c:pt>
                <c:pt idx="9">
                  <c:v>30.736500000000003</c:v>
                </c:pt>
                <c:pt idx="10">
                  <c:v>11.898000000000001</c:v>
                </c:pt>
                <c:pt idx="11">
                  <c:v>12.294600000000003</c:v>
                </c:pt>
              </c:numCache>
            </c:numRef>
          </c:val>
          <c:smooth val="0"/>
          <c:extLst>
            <c:ext xmlns:c16="http://schemas.microsoft.com/office/drawing/2014/chart" uri="{C3380CC4-5D6E-409C-BE32-E72D297353CC}">
              <c16:uniqueId val="{00000002-7F67-401E-9627-00E95A323B97}"/>
            </c:ext>
          </c:extLst>
        </c:ser>
        <c:dLbls>
          <c:showLegendKey val="0"/>
          <c:showVal val="0"/>
          <c:showCatName val="0"/>
          <c:showSerName val="0"/>
          <c:showPercent val="0"/>
          <c:showBubbleSize val="0"/>
        </c:dLbls>
        <c:marker val="1"/>
        <c:smooth val="0"/>
        <c:axId val="133300992"/>
        <c:axId val="133302912"/>
      </c:lineChart>
      <c:catAx>
        <c:axId val="133300992"/>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950" b="1" i="0" u="none" strike="noStrike" baseline="0">
                <a:solidFill>
                  <a:srgbClr val="000000"/>
                </a:solidFill>
                <a:latin typeface="Arial"/>
                <a:ea typeface="Arial"/>
                <a:cs typeface="Arial"/>
              </a:defRPr>
            </a:pPr>
            <a:endParaRPr lang="en-US"/>
          </a:p>
        </c:txPr>
        <c:crossAx val="133302912"/>
        <c:crosses val="autoZero"/>
        <c:auto val="1"/>
        <c:lblAlgn val="ctr"/>
        <c:lblOffset val="100"/>
        <c:tickLblSkip val="1"/>
        <c:tickMarkSkip val="1"/>
        <c:noMultiLvlLbl val="0"/>
      </c:catAx>
      <c:valAx>
        <c:axId val="133302912"/>
        <c:scaling>
          <c:orientation val="minMax"/>
        </c:scaling>
        <c:delete val="0"/>
        <c:axPos val="l"/>
        <c:majorGridlines>
          <c:spPr>
            <a:ln w="3175">
              <a:solidFill>
                <a:srgbClr val="000000"/>
              </a:solidFill>
              <a:prstDash val="solid"/>
            </a:ln>
          </c:spPr>
        </c:majorGridlines>
        <c:minorGridlines/>
        <c:title>
          <c:tx>
            <c:rich>
              <a:bodyPr/>
              <a:lstStyle/>
              <a:p>
                <a:pPr>
                  <a:defRPr sz="950" b="1" i="0" u="none" strike="noStrike" baseline="0">
                    <a:solidFill>
                      <a:srgbClr val="000000"/>
                    </a:solidFill>
                    <a:latin typeface="Arial"/>
                    <a:ea typeface="Arial"/>
                    <a:cs typeface="Arial"/>
                  </a:defRPr>
                </a:pPr>
                <a:r>
                  <a:rPr lang="en-US"/>
                  <a:t>Total Monthly Inflow Acre-Feet</a:t>
                </a:r>
              </a:p>
            </c:rich>
          </c:tx>
          <c:layout>
            <c:manualLayout>
              <c:xMode val="edge"/>
              <c:yMode val="edge"/>
              <c:x val="1.0043103415451501E-2"/>
              <c:y val="0.21195656919964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Arial"/>
                <a:ea typeface="Arial"/>
                <a:cs typeface="Arial"/>
              </a:defRPr>
            </a:pPr>
            <a:endParaRPr lang="en-US"/>
          </a:p>
        </c:txPr>
        <c:crossAx val="133300992"/>
        <c:crosses val="autoZero"/>
        <c:crossBetween val="between"/>
      </c:valAx>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a:solidFill>
            <a:srgbClr val="808080"/>
          </a:solidFill>
          <a:prstDash val="solid"/>
        </a:ln>
      </c:spPr>
    </c:plotArea>
    <c:legend>
      <c:legendPos val="r"/>
      <c:layout>
        <c:manualLayout>
          <c:xMode val="edge"/>
          <c:yMode val="edge"/>
          <c:x val="0.69377503384596062"/>
          <c:y val="0.12169319867626002"/>
          <c:w val="0.24405544726757294"/>
          <c:h val="0.1945036168076033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Bear Creek Reservoir 2012 In-Flow Estimates</a:t>
            </a:r>
          </a:p>
        </c:rich>
      </c:tx>
      <c:overlay val="0"/>
    </c:title>
    <c:autoTitleDeleted val="0"/>
    <c:plotArea>
      <c:layout/>
      <c:barChart>
        <c:barDir val="col"/>
        <c:grouping val="clustered"/>
        <c:varyColors val="0"/>
        <c:ser>
          <c:idx val="0"/>
          <c:order val="0"/>
          <c:tx>
            <c:strRef>
              <c:f>'Monthly Discharge'!$A$22</c:f>
              <c:strCache>
                <c:ptCount val="1"/>
                <c:pt idx="0">
                  <c:v>Total Inflow</c:v>
                </c:pt>
              </c:strCache>
            </c:strRef>
          </c:tx>
          <c:invertIfNegative val="0"/>
          <c:trendline>
            <c:trendlineType val="poly"/>
            <c:order val="4"/>
            <c:dispRSqr val="0"/>
            <c:dispEq val="0"/>
          </c:trendline>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Discharge'!$B$22:$M$22</c:f>
              <c:numCache>
                <c:formatCode>#,##0.0</c:formatCode>
                <c:ptCount val="12"/>
                <c:pt idx="0">
                  <c:v>1118.1938700000001</c:v>
                </c:pt>
                <c:pt idx="1">
                  <c:v>907.46046000000001</c:v>
                </c:pt>
                <c:pt idx="2">
                  <c:v>672.51462000000004</c:v>
                </c:pt>
                <c:pt idx="3">
                  <c:v>360.50940000000003</c:v>
                </c:pt>
                <c:pt idx="4">
                  <c:v>726.61086</c:v>
                </c:pt>
                <c:pt idx="5">
                  <c:v>240.33960000000002</c:v>
                </c:pt>
                <c:pt idx="6">
                  <c:v>671.89989000000014</c:v>
                </c:pt>
                <c:pt idx="7">
                  <c:v>356.85076499999997</c:v>
                </c:pt>
                <c:pt idx="8">
                  <c:v>109.16415000000001</c:v>
                </c:pt>
                <c:pt idx="9">
                  <c:v>435.84357</c:v>
                </c:pt>
                <c:pt idx="10">
                  <c:v>134.44740000000002</c:v>
                </c:pt>
                <c:pt idx="11">
                  <c:v>134.62587000000002</c:v>
                </c:pt>
              </c:numCache>
            </c:numRef>
          </c:val>
          <c:extLst>
            <c:ext xmlns:c16="http://schemas.microsoft.com/office/drawing/2014/chart" uri="{C3380CC4-5D6E-409C-BE32-E72D297353CC}">
              <c16:uniqueId val="{00000001-28F5-489A-BA31-E59EF306A428}"/>
            </c:ext>
          </c:extLst>
        </c:ser>
        <c:dLbls>
          <c:showLegendKey val="0"/>
          <c:showVal val="0"/>
          <c:showCatName val="0"/>
          <c:showSerName val="0"/>
          <c:showPercent val="0"/>
          <c:showBubbleSize val="0"/>
        </c:dLbls>
        <c:gapWidth val="150"/>
        <c:axId val="133335296"/>
        <c:axId val="133337088"/>
      </c:barChart>
      <c:catAx>
        <c:axId val="133335296"/>
        <c:scaling>
          <c:orientation val="minMax"/>
        </c:scaling>
        <c:delete val="0"/>
        <c:axPos val="b"/>
        <c:numFmt formatCode="General" sourceLinked="0"/>
        <c:majorTickMark val="none"/>
        <c:minorTickMark val="none"/>
        <c:tickLblPos val="nextTo"/>
        <c:crossAx val="133337088"/>
        <c:crosses val="autoZero"/>
        <c:auto val="1"/>
        <c:lblAlgn val="ctr"/>
        <c:lblOffset val="100"/>
        <c:noMultiLvlLbl val="0"/>
      </c:catAx>
      <c:valAx>
        <c:axId val="133337088"/>
        <c:scaling>
          <c:orientation val="minMax"/>
        </c:scaling>
        <c:delete val="0"/>
        <c:axPos val="l"/>
        <c:majorGridlines/>
        <c:title>
          <c:tx>
            <c:rich>
              <a:bodyPr/>
              <a:lstStyle/>
              <a:p>
                <a:pPr>
                  <a:defRPr sz="1400"/>
                </a:pPr>
                <a:r>
                  <a:rPr lang="en-US" sz="1400"/>
                  <a:t>Acre-feet/month</a:t>
                </a:r>
              </a:p>
            </c:rich>
          </c:tx>
          <c:overlay val="0"/>
        </c:title>
        <c:numFmt formatCode="#,##0.0" sourceLinked="1"/>
        <c:majorTickMark val="none"/>
        <c:minorTickMark val="none"/>
        <c:tickLblPos val="nextTo"/>
        <c:crossAx val="133335296"/>
        <c:crosses val="autoZero"/>
        <c:crossBetween val="between"/>
      </c:valAx>
      <c:spPr>
        <a:gradFill>
          <a:gsLst>
            <a:gs pos="0">
              <a:sysClr val="window" lastClr="FFFFFF">
                <a:lumMod val="85000"/>
              </a:sys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spPr>
    <a:gradFill>
      <a:gsLst>
        <a:gs pos="0">
          <a:schemeClr val="accent1">
            <a:lumMod val="60000"/>
            <a:lumOff val="40000"/>
          </a:scheme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2012</a:t>
            </a:r>
            <a:r>
              <a:rPr lang="en-US" sz="1200" baseline="0"/>
              <a:t> </a:t>
            </a:r>
            <a:r>
              <a:rPr lang="en-US" sz="1200"/>
              <a:t>Reservoir Inflow [Ac-Ft Per Month] </a:t>
            </a:r>
          </a:p>
        </c:rich>
      </c:tx>
      <c:layout>
        <c:manualLayout>
          <c:xMode val="edge"/>
          <c:yMode val="edge"/>
          <c:x val="0.34678298800437934"/>
          <c:y val="3.2608695652176035E-2"/>
        </c:manualLayout>
      </c:layout>
      <c:overlay val="0"/>
      <c:spPr>
        <a:noFill/>
        <a:ln w="25400">
          <a:noFill/>
        </a:ln>
      </c:spPr>
    </c:title>
    <c:autoTitleDeleted val="0"/>
    <c:plotArea>
      <c:layout>
        <c:manualLayout>
          <c:layoutTarget val="inner"/>
          <c:xMode val="edge"/>
          <c:yMode val="edge"/>
          <c:x val="0.10385444401517969"/>
          <c:y val="0.10597826086956515"/>
          <c:w val="0.88115677757209077"/>
          <c:h val="0.75000000000001465"/>
        </c:manualLayout>
      </c:layout>
      <c:lineChart>
        <c:grouping val="standard"/>
        <c:varyColors val="0"/>
        <c:ser>
          <c:idx val="0"/>
          <c:order val="0"/>
          <c:tx>
            <c:strRef>
              <c:f>'Monthly Discharge'!$A$20</c:f>
              <c:strCache>
                <c:ptCount val="1"/>
                <c:pt idx="0">
                  <c:v>Turkey Creek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strRef>
              <c:f>'[1]Monthly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Discharge'!$B$20:$M$20</c:f>
              <c:numCache>
                <c:formatCode>#,##0.0</c:formatCode>
                <c:ptCount val="12"/>
                <c:pt idx="0">
                  <c:v>79.914900000000003</c:v>
                </c:pt>
                <c:pt idx="1">
                  <c:v>109.2633</c:v>
                </c:pt>
                <c:pt idx="2">
                  <c:v>202.24617000000001</c:v>
                </c:pt>
                <c:pt idx="3">
                  <c:v>156.45870000000002</c:v>
                </c:pt>
                <c:pt idx="4">
                  <c:v>274.78431</c:v>
                </c:pt>
                <c:pt idx="5">
                  <c:v>99.943200000000004</c:v>
                </c:pt>
                <c:pt idx="6">
                  <c:v>239.43733500000002</c:v>
                </c:pt>
                <c:pt idx="7">
                  <c:v>59.936174999999999</c:v>
                </c:pt>
                <c:pt idx="8">
                  <c:v>28.852650000000001</c:v>
                </c:pt>
                <c:pt idx="9">
                  <c:v>19.056629999999998</c:v>
                </c:pt>
                <c:pt idx="10">
                  <c:v>24.985800000000001</c:v>
                </c:pt>
                <c:pt idx="11">
                  <c:v>21.515549999999998</c:v>
                </c:pt>
              </c:numCache>
            </c:numRef>
          </c:val>
          <c:smooth val="0"/>
          <c:extLst>
            <c:ext xmlns:c16="http://schemas.microsoft.com/office/drawing/2014/chart" uri="{C3380CC4-5D6E-409C-BE32-E72D297353CC}">
              <c16:uniqueId val="{00000000-2C89-4362-97BB-36EFDC41107F}"/>
            </c:ext>
          </c:extLst>
        </c:ser>
        <c:ser>
          <c:idx val="1"/>
          <c:order val="1"/>
          <c:tx>
            <c:strRef>
              <c:f>'Monthly Discharge'!$A$21</c:f>
              <c:strCache>
                <c:ptCount val="1"/>
                <c:pt idx="0">
                  <c:v>Bear Creek Inflow</c:v>
                </c:pt>
              </c:strCache>
            </c:strRef>
          </c:tx>
          <c:spPr>
            <a:ln w="38100">
              <a:solidFill>
                <a:srgbClr val="FF00FF"/>
              </a:solidFill>
              <a:prstDash val="solid"/>
            </a:ln>
          </c:spPr>
          <c:marker>
            <c:symbol val="square"/>
            <c:size val="7"/>
            <c:spPr>
              <a:solidFill>
                <a:srgbClr val="FF00FF"/>
              </a:solidFill>
              <a:ln>
                <a:solidFill>
                  <a:srgbClr val="FF00FF"/>
                </a:solidFill>
                <a:prstDash val="solid"/>
              </a:ln>
            </c:spPr>
          </c:marker>
          <c:cat>
            <c:strRef>
              <c:f>'[1]Monthly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Discharge'!$B$21:$M$21</c:f>
              <c:numCache>
                <c:formatCode>#,##0.0</c:formatCode>
                <c:ptCount val="12"/>
                <c:pt idx="0">
                  <c:v>1038.2789700000001</c:v>
                </c:pt>
                <c:pt idx="1">
                  <c:v>798.19716000000005</c:v>
                </c:pt>
                <c:pt idx="2">
                  <c:v>470.26845000000003</c:v>
                </c:pt>
                <c:pt idx="3">
                  <c:v>204.05070000000001</c:v>
                </c:pt>
                <c:pt idx="4">
                  <c:v>451.82655</c:v>
                </c:pt>
                <c:pt idx="5">
                  <c:v>140.3964</c:v>
                </c:pt>
                <c:pt idx="6">
                  <c:v>432.46255500000007</c:v>
                </c:pt>
                <c:pt idx="7">
                  <c:v>296.91458999999998</c:v>
                </c:pt>
                <c:pt idx="8">
                  <c:v>80.311500000000009</c:v>
                </c:pt>
                <c:pt idx="9">
                  <c:v>416.78694000000002</c:v>
                </c:pt>
                <c:pt idx="10">
                  <c:v>109.46160000000002</c:v>
                </c:pt>
                <c:pt idx="11">
                  <c:v>113.11032000000002</c:v>
                </c:pt>
              </c:numCache>
            </c:numRef>
          </c:val>
          <c:smooth val="0"/>
          <c:extLst>
            <c:ext xmlns:c16="http://schemas.microsoft.com/office/drawing/2014/chart" uri="{C3380CC4-5D6E-409C-BE32-E72D297353CC}">
              <c16:uniqueId val="{00000001-2C89-4362-97BB-36EFDC41107F}"/>
            </c:ext>
          </c:extLst>
        </c:ser>
        <c:ser>
          <c:idx val="2"/>
          <c:order val="2"/>
          <c:tx>
            <c:strRef>
              <c:f>'Monthly Discharge'!$A$22</c:f>
              <c:strCache>
                <c:ptCount val="1"/>
                <c:pt idx="0">
                  <c:v>Total Inflow</c:v>
                </c:pt>
              </c:strCache>
            </c:strRef>
          </c:tx>
          <c:spPr>
            <a:ln w="38100">
              <a:solidFill>
                <a:srgbClr val="FF0000"/>
              </a:solidFill>
              <a:prstDash val="solid"/>
            </a:ln>
          </c:spPr>
          <c:marker>
            <c:symbol val="triangle"/>
            <c:size val="7"/>
            <c:spPr>
              <a:solidFill>
                <a:srgbClr val="FF0000"/>
              </a:solidFill>
              <a:ln>
                <a:solidFill>
                  <a:srgbClr val="FF0000"/>
                </a:solidFill>
                <a:prstDash val="solid"/>
              </a:ln>
            </c:spPr>
          </c:marker>
          <c:cat>
            <c:strRef>
              <c:f>'[1]Monthly Discharge'!$B$23:$M$23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Discharge'!$B$22:$M$22</c:f>
              <c:numCache>
                <c:formatCode>#,##0.0</c:formatCode>
                <c:ptCount val="12"/>
                <c:pt idx="0">
                  <c:v>1118.1938700000001</c:v>
                </c:pt>
                <c:pt idx="1">
                  <c:v>907.46046000000001</c:v>
                </c:pt>
                <c:pt idx="2">
                  <c:v>672.51462000000004</c:v>
                </c:pt>
                <c:pt idx="3">
                  <c:v>360.50940000000003</c:v>
                </c:pt>
                <c:pt idx="4">
                  <c:v>726.61086</c:v>
                </c:pt>
                <c:pt idx="5">
                  <c:v>240.33960000000002</c:v>
                </c:pt>
                <c:pt idx="6">
                  <c:v>671.89989000000014</c:v>
                </c:pt>
                <c:pt idx="7">
                  <c:v>356.85076499999997</c:v>
                </c:pt>
                <c:pt idx="8">
                  <c:v>109.16415000000001</c:v>
                </c:pt>
                <c:pt idx="9">
                  <c:v>435.84357</c:v>
                </c:pt>
                <c:pt idx="10">
                  <c:v>134.44740000000002</c:v>
                </c:pt>
                <c:pt idx="11">
                  <c:v>134.62587000000002</c:v>
                </c:pt>
              </c:numCache>
            </c:numRef>
          </c:val>
          <c:smooth val="0"/>
          <c:extLst>
            <c:ext xmlns:c16="http://schemas.microsoft.com/office/drawing/2014/chart" uri="{C3380CC4-5D6E-409C-BE32-E72D297353CC}">
              <c16:uniqueId val="{00000002-2C89-4362-97BB-36EFDC41107F}"/>
            </c:ext>
          </c:extLst>
        </c:ser>
        <c:dLbls>
          <c:showLegendKey val="0"/>
          <c:showVal val="0"/>
          <c:showCatName val="0"/>
          <c:showSerName val="0"/>
          <c:showPercent val="0"/>
          <c:showBubbleSize val="0"/>
        </c:dLbls>
        <c:marker val="1"/>
        <c:smooth val="0"/>
        <c:axId val="133379968"/>
        <c:axId val="133410816"/>
      </c:lineChart>
      <c:catAx>
        <c:axId val="133379968"/>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950" b="1" i="0" u="none" strike="noStrike" baseline="0">
                <a:solidFill>
                  <a:srgbClr val="000000"/>
                </a:solidFill>
                <a:latin typeface="Arial"/>
                <a:ea typeface="Arial"/>
                <a:cs typeface="Arial"/>
              </a:defRPr>
            </a:pPr>
            <a:endParaRPr lang="en-US"/>
          </a:p>
        </c:txPr>
        <c:crossAx val="133410816"/>
        <c:crosses val="autoZero"/>
        <c:auto val="1"/>
        <c:lblAlgn val="ctr"/>
        <c:lblOffset val="100"/>
        <c:tickLblSkip val="1"/>
        <c:tickMarkSkip val="1"/>
        <c:noMultiLvlLbl val="0"/>
      </c:catAx>
      <c:valAx>
        <c:axId val="133410816"/>
        <c:scaling>
          <c:orientation val="minMax"/>
        </c:scaling>
        <c:delete val="0"/>
        <c:axPos val="l"/>
        <c:majorGridlines>
          <c:spPr>
            <a:ln w="3175">
              <a:solidFill>
                <a:srgbClr val="000000"/>
              </a:solidFill>
              <a:prstDash val="solid"/>
            </a:ln>
          </c:spPr>
        </c:majorGridlines>
        <c:minorGridlines/>
        <c:title>
          <c:tx>
            <c:rich>
              <a:bodyPr/>
              <a:lstStyle/>
              <a:p>
                <a:pPr>
                  <a:defRPr sz="950" b="1" i="0" u="none" strike="noStrike" baseline="0">
                    <a:solidFill>
                      <a:srgbClr val="000000"/>
                    </a:solidFill>
                    <a:latin typeface="Arial"/>
                    <a:ea typeface="Arial"/>
                    <a:cs typeface="Arial"/>
                  </a:defRPr>
                </a:pPr>
                <a:r>
                  <a:rPr lang="en-US"/>
                  <a:t>Total Monthly Inflow Acre-Feet</a:t>
                </a:r>
              </a:p>
            </c:rich>
          </c:tx>
          <c:layout>
            <c:manualLayout>
              <c:xMode val="edge"/>
              <c:yMode val="edge"/>
              <c:x val="1.0043103415451501E-2"/>
              <c:y val="0.2119565691996449"/>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25" b="1" i="0" u="none" strike="noStrike" baseline="0">
                <a:solidFill>
                  <a:srgbClr val="000000"/>
                </a:solidFill>
                <a:latin typeface="Arial"/>
                <a:ea typeface="Arial"/>
                <a:cs typeface="Arial"/>
              </a:defRPr>
            </a:pPr>
            <a:endParaRPr lang="en-US"/>
          </a:p>
        </c:txPr>
        <c:crossAx val="133379968"/>
        <c:crosses val="autoZero"/>
        <c:crossBetween val="between"/>
      </c:valAx>
      <c:spPr>
        <a:gradFill flip="none" rotWithShape="1">
          <a:gsLst>
            <a:gs pos="0">
              <a:srgbClr val="00B0F0">
                <a:alpha val="58000"/>
              </a:srgbClr>
            </a:gs>
            <a:gs pos="50000">
              <a:srgbClr val="4F81BD">
                <a:tint val="44500"/>
                <a:satMod val="160000"/>
              </a:srgbClr>
            </a:gs>
            <a:gs pos="100000">
              <a:srgbClr val="4F81BD">
                <a:tint val="23500"/>
                <a:satMod val="160000"/>
              </a:srgbClr>
            </a:gs>
          </a:gsLst>
          <a:lin ang="2700000" scaled="1"/>
          <a:tileRect/>
        </a:gradFill>
        <a:ln w="12700">
          <a:solidFill>
            <a:srgbClr val="808080"/>
          </a:solidFill>
          <a:prstDash val="solid"/>
        </a:ln>
      </c:spPr>
    </c:plotArea>
    <c:legend>
      <c:legendPos val="r"/>
      <c:layout>
        <c:manualLayout>
          <c:xMode val="edge"/>
          <c:yMode val="edge"/>
          <c:x val="0.71271064906037462"/>
          <c:y val="0.11810068976130079"/>
          <c:w val="0.24405544726757261"/>
          <c:h val="0.1945036168076033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chemeClr val="tx2">
            <a:lumMod val="40000"/>
            <a:lumOff val="60000"/>
          </a:schemeClr>
        </a:gs>
        <a:gs pos="50000">
          <a:srgbClr val="4F81BD">
            <a:tint val="44500"/>
            <a:satMod val="160000"/>
          </a:srgbClr>
        </a:gs>
        <a:gs pos="100000">
          <a:srgbClr val="4F81BD">
            <a:tint val="23500"/>
            <a:satMod val="160000"/>
          </a:srgbClr>
        </a:gs>
      </a:gsLst>
      <a:lin ang="5400000" scaled="0"/>
    </a:gradFill>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a:t>Estimated Bear Creek Reservoir Inflow (Acre-Ft/Year)</a:t>
            </a:r>
          </a:p>
        </c:rich>
      </c:tx>
      <c:overlay val="0"/>
    </c:title>
    <c:autoTitleDeleted val="0"/>
    <c:plotArea>
      <c:layout>
        <c:manualLayout>
          <c:layoutTarget val="inner"/>
          <c:xMode val="edge"/>
          <c:yMode val="edge"/>
          <c:x val="0.12067014355062579"/>
          <c:y val="0.11790411519660959"/>
          <c:w val="0.84963137433640756"/>
          <c:h val="0.71737165949153214"/>
        </c:manualLayout>
      </c:layout>
      <c:barChart>
        <c:barDir val="col"/>
        <c:grouping val="clustered"/>
        <c:varyColors val="0"/>
        <c:ser>
          <c:idx val="1"/>
          <c:order val="0"/>
          <c:tx>
            <c:strRef>
              <c:f>'Monthly Discharge'!$B$55</c:f>
              <c:strCache>
                <c:ptCount val="1"/>
                <c:pt idx="0">
                  <c:v>Total Reservoir Inflow (Acre-Ft/Year)</c:v>
                </c:pt>
              </c:strCache>
            </c:strRef>
          </c:tx>
          <c:spPr>
            <a:solidFill>
              <a:schemeClr val="accent1"/>
            </a:solidFill>
            <a:ln w="12700">
              <a:solidFill>
                <a:srgbClr val="000000"/>
              </a:solidFill>
              <a:prstDash val="solid"/>
            </a:ln>
          </c:spPr>
          <c:invertIfNegative val="0"/>
          <c:trendline>
            <c:trendlineType val="poly"/>
            <c:order val="3"/>
            <c:dispRSqr val="0"/>
            <c:dispEq val="0"/>
          </c:trendline>
          <c:cat>
            <c:numRef>
              <c:f>'Monthly Discharge'!$A$56:$A$81</c:f>
              <c:numCache>
                <c:formatCode>General</c:formatCode>
                <c:ptCount val="26"/>
                <c:pt idx="0">
                  <c:v>1987</c:v>
                </c:pt>
                <c:pt idx="1">
                  <c:v>1988</c:v>
                </c:pt>
                <c:pt idx="2">
                  <c:v>1989</c:v>
                </c:pt>
                <c:pt idx="3">
                  <c:v>1990</c:v>
                </c:pt>
                <c:pt idx="4">
                  <c:v>1991</c:v>
                </c:pt>
                <c:pt idx="5">
                  <c:v>1992</c:v>
                </c:pt>
                <c:pt idx="6">
                  <c:v>1993</c:v>
                </c:pt>
                <c:pt idx="7">
                  <c:v>1994</c:v>
                </c:pt>
                <c:pt idx="8">
                  <c:v>1995</c:v>
                </c:pt>
                <c:pt idx="9">
                  <c:v>1996</c:v>
                </c:pt>
                <c:pt idx="10">
                  <c:v>1997</c:v>
                </c:pt>
                <c:pt idx="11">
                  <c:v>1998</c:v>
                </c:pt>
                <c:pt idx="12">
                  <c:v>1999</c:v>
                </c:pt>
                <c:pt idx="13">
                  <c:v>2000</c:v>
                </c:pt>
                <c:pt idx="14">
                  <c:v>2001</c:v>
                </c:pt>
                <c:pt idx="15">
                  <c:v>2002</c:v>
                </c:pt>
                <c:pt idx="16">
                  <c:v>2003</c:v>
                </c:pt>
                <c:pt idx="17">
                  <c:v>2004</c:v>
                </c:pt>
                <c:pt idx="18">
                  <c:v>2005</c:v>
                </c:pt>
                <c:pt idx="19">
                  <c:v>2006</c:v>
                </c:pt>
                <c:pt idx="20">
                  <c:v>2007</c:v>
                </c:pt>
                <c:pt idx="21">
                  <c:v>2008</c:v>
                </c:pt>
                <c:pt idx="22">
                  <c:v>2009</c:v>
                </c:pt>
                <c:pt idx="23">
                  <c:v>2010</c:v>
                </c:pt>
                <c:pt idx="24">
                  <c:v>2011</c:v>
                </c:pt>
                <c:pt idx="25">
                  <c:v>2012</c:v>
                </c:pt>
              </c:numCache>
            </c:numRef>
          </c:cat>
          <c:val>
            <c:numRef>
              <c:f>'Monthly Discharge'!$B$56:$B$81</c:f>
              <c:numCache>
                <c:formatCode>#,##0</c:formatCode>
                <c:ptCount val="26"/>
                <c:pt idx="0">
                  <c:v>61594.954499999993</c:v>
                </c:pt>
                <c:pt idx="1">
                  <c:v>26201.379000000001</c:v>
                </c:pt>
                <c:pt idx="2">
                  <c:v>7527.4679999999998</c:v>
                </c:pt>
                <c:pt idx="3">
                  <c:v>20266.259999999998</c:v>
                </c:pt>
                <c:pt idx="4">
                  <c:v>25694.7225</c:v>
                </c:pt>
                <c:pt idx="5">
                  <c:v>18384.392999999996</c:v>
                </c:pt>
                <c:pt idx="6">
                  <c:v>11291.201999999999</c:v>
                </c:pt>
                <c:pt idx="7">
                  <c:v>13173.069</c:v>
                </c:pt>
                <c:pt idx="8">
                  <c:v>69556.699499999988</c:v>
                </c:pt>
                <c:pt idx="9">
                  <c:v>22654.783499999998</c:v>
                </c:pt>
                <c:pt idx="10">
                  <c:v>38071.616999999998</c:v>
                </c:pt>
                <c:pt idx="11">
                  <c:v>69122.422500000001</c:v>
                </c:pt>
                <c:pt idx="12">
                  <c:v>52692.275999999998</c:v>
                </c:pt>
                <c:pt idx="13">
                  <c:v>13173.069</c:v>
                </c:pt>
                <c:pt idx="14">
                  <c:v>15134.171499999999</c:v>
                </c:pt>
                <c:pt idx="15">
                  <c:v>4248.6766499999994</c:v>
                </c:pt>
                <c:pt idx="16">
                  <c:v>21641.470499999999</c:v>
                </c:pt>
                <c:pt idx="17">
                  <c:v>20924.913449999996</c:v>
                </c:pt>
                <c:pt idx="18">
                  <c:v>36624.026999999995</c:v>
                </c:pt>
                <c:pt idx="19">
                  <c:v>8497.4680000000008</c:v>
                </c:pt>
                <c:pt idx="20">
                  <c:v>56500</c:v>
                </c:pt>
                <c:pt idx="21">
                  <c:v>19400</c:v>
                </c:pt>
                <c:pt idx="22">
                  <c:v>25943</c:v>
                </c:pt>
                <c:pt idx="23">
                  <c:v>29007</c:v>
                </c:pt>
                <c:pt idx="24">
                  <c:v>9432</c:v>
                </c:pt>
                <c:pt idx="25">
                  <c:v>5868.4604550000004</c:v>
                </c:pt>
              </c:numCache>
            </c:numRef>
          </c:val>
          <c:extLst>
            <c:ext xmlns:c16="http://schemas.microsoft.com/office/drawing/2014/chart" uri="{C3380CC4-5D6E-409C-BE32-E72D297353CC}">
              <c16:uniqueId val="{00000001-B6A3-456F-837B-E46D1AE0742A}"/>
            </c:ext>
          </c:extLst>
        </c:ser>
        <c:dLbls>
          <c:showLegendKey val="0"/>
          <c:showVal val="0"/>
          <c:showCatName val="0"/>
          <c:showSerName val="0"/>
          <c:showPercent val="0"/>
          <c:showBubbleSize val="0"/>
        </c:dLbls>
        <c:gapWidth val="150"/>
        <c:axId val="133423872"/>
        <c:axId val="133425408"/>
      </c:barChart>
      <c:catAx>
        <c:axId val="133423872"/>
        <c:scaling>
          <c:orientation val="minMax"/>
        </c:scaling>
        <c:delete val="0"/>
        <c:axPos val="b"/>
        <c:numFmt formatCode="General" sourceLinked="1"/>
        <c:majorTickMark val="out"/>
        <c:minorTickMark val="none"/>
        <c:tickLblPos val="low"/>
        <c:spPr>
          <a:ln w="3175">
            <a:solidFill>
              <a:srgbClr val="000000"/>
            </a:solidFill>
            <a:prstDash val="solid"/>
          </a:ln>
        </c:spPr>
        <c:txPr>
          <a:bodyPr rot="-3600000" vert="horz"/>
          <a:lstStyle/>
          <a:p>
            <a:pPr>
              <a:defRPr sz="800" b="1" i="0" u="none" strike="noStrike" baseline="0">
                <a:solidFill>
                  <a:srgbClr val="000000"/>
                </a:solidFill>
                <a:latin typeface="Arial"/>
                <a:ea typeface="Arial"/>
                <a:cs typeface="Arial"/>
              </a:defRPr>
            </a:pPr>
            <a:endParaRPr lang="en-US"/>
          </a:p>
        </c:txPr>
        <c:crossAx val="133425408"/>
        <c:crosses val="autoZero"/>
        <c:auto val="1"/>
        <c:lblAlgn val="ctr"/>
        <c:lblOffset val="100"/>
        <c:tickLblSkip val="1"/>
        <c:tickMarkSkip val="1"/>
        <c:noMultiLvlLbl val="0"/>
      </c:catAx>
      <c:valAx>
        <c:axId val="133425408"/>
        <c:scaling>
          <c:orientation val="minMax"/>
        </c:scaling>
        <c:delete val="0"/>
        <c:axPos val="l"/>
        <c:majorGridlines>
          <c:spPr>
            <a:ln w="3175">
              <a:solidFill>
                <a:srgbClr val="000000"/>
              </a:solidFill>
              <a:prstDash val="solid"/>
            </a:ln>
          </c:spPr>
        </c:majorGridlines>
        <c:minorGridlines/>
        <c:title>
          <c:tx>
            <c:rich>
              <a:bodyPr/>
              <a:lstStyle/>
              <a:p>
                <a:pPr>
                  <a:defRPr sz="1400" b="1" i="0" u="none" strike="noStrike" baseline="0">
                    <a:solidFill>
                      <a:srgbClr val="000000"/>
                    </a:solidFill>
                    <a:latin typeface="Arial"/>
                    <a:ea typeface="Arial"/>
                    <a:cs typeface="Arial"/>
                  </a:defRPr>
                </a:pPr>
                <a:r>
                  <a:rPr lang="en-US" sz="1400"/>
                  <a:t>Acre-Feet Per Year</a:t>
                </a:r>
              </a:p>
            </c:rich>
          </c:tx>
          <c:layout>
            <c:manualLayout>
              <c:xMode val="edge"/>
              <c:yMode val="edge"/>
              <c:x val="3.4091156616426456E-2"/>
              <c:y val="0.2323263860684684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3423872"/>
        <c:crosses val="autoZero"/>
        <c:crossBetween val="between"/>
        <c:majorUnit val="20000"/>
      </c:valAx>
      <c:spPr>
        <a:gradFill>
          <a:gsLst>
            <a:gs pos="0">
              <a:schemeClr val="bg1">
                <a:lumMod val="75000"/>
              </a:schemeClr>
            </a:gs>
            <a:gs pos="50000">
              <a:srgbClr val="4F81BD">
                <a:tint val="44500"/>
                <a:satMod val="160000"/>
              </a:srgbClr>
            </a:gs>
            <a:gs pos="100000">
              <a:srgbClr val="4F81BD">
                <a:tint val="23500"/>
                <a:satMod val="160000"/>
              </a:srgbClr>
            </a:gs>
          </a:gsLst>
          <a:lin ang="5400000" scaled="0"/>
        </a:gradFill>
        <a:ln w="12700" cap="rnd">
          <a:solidFill>
            <a:srgbClr val="808080"/>
          </a:solidFill>
          <a:prstDash val="solid"/>
        </a:ln>
      </c:spPr>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Total Phosphorus [ug/l] Trend</a:t>
            </a:r>
          </a:p>
        </c:rich>
      </c:tx>
      <c:layout>
        <c:manualLayout>
          <c:xMode val="edge"/>
          <c:yMode val="edge"/>
          <c:x val="0.23974763406941302"/>
          <c:y val="3.6423841059602655E-2"/>
        </c:manualLayout>
      </c:layout>
      <c:overlay val="0"/>
      <c:spPr>
        <a:noFill/>
        <a:ln w="25400">
          <a:noFill/>
        </a:ln>
      </c:spPr>
    </c:title>
    <c:autoTitleDeleted val="0"/>
    <c:plotArea>
      <c:layout>
        <c:manualLayout>
          <c:layoutTarget val="inner"/>
          <c:xMode val="edge"/>
          <c:yMode val="edge"/>
          <c:x val="8.8480801335559273E-2"/>
          <c:y val="0.15011037527593821"/>
          <c:w val="0.90150250417360756"/>
          <c:h val="0.71412803532011193"/>
        </c:manualLayout>
      </c:layout>
      <c:barChart>
        <c:barDir val="col"/>
        <c:grouping val="clustered"/>
        <c:varyColors val="0"/>
        <c:ser>
          <c:idx val="0"/>
          <c:order val="0"/>
          <c:tx>
            <c:strRef>
              <c:f>'Annual Reservoir Trends'!$B$14</c:f>
              <c:strCache>
                <c:ptCount val="1"/>
                <c:pt idx="0">
                  <c:v>Top</c:v>
                </c:pt>
              </c:strCache>
            </c:strRef>
          </c:tx>
          <c:spPr>
            <a:solidFill>
              <a:srgbClr val="9999FF"/>
            </a:solidFill>
            <a:ln w="12700">
              <a:solidFill>
                <a:srgbClr val="000000"/>
              </a:solidFill>
              <a:prstDash val="solid"/>
            </a:ln>
          </c:spPr>
          <c:invertIfNegative val="0"/>
          <c:cat>
            <c:numRef>
              <c:f>'Annual Reservoir Trends'!$C$3:$X$3</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'Annual Reservoir Trends'!$C$14:$X$14</c:f>
              <c:numCache>
                <c:formatCode>General</c:formatCode>
                <c:ptCount val="22"/>
                <c:pt idx="0">
                  <c:v>144</c:v>
                </c:pt>
                <c:pt idx="1">
                  <c:v>146</c:v>
                </c:pt>
                <c:pt idx="2">
                  <c:v>175</c:v>
                </c:pt>
                <c:pt idx="3">
                  <c:v>83</c:v>
                </c:pt>
                <c:pt idx="4">
                  <c:v>34</c:v>
                </c:pt>
                <c:pt idx="5">
                  <c:v>29</c:v>
                </c:pt>
                <c:pt idx="6">
                  <c:v>38</c:v>
                </c:pt>
                <c:pt idx="7">
                  <c:v>33</c:v>
                </c:pt>
                <c:pt idx="8">
                  <c:v>34</c:v>
                </c:pt>
                <c:pt idx="9">
                  <c:v>59</c:v>
                </c:pt>
                <c:pt idx="10">
                  <c:v>42</c:v>
                </c:pt>
                <c:pt idx="11">
                  <c:v>46</c:v>
                </c:pt>
                <c:pt idx="12">
                  <c:v>79</c:v>
                </c:pt>
                <c:pt idx="13">
                  <c:v>24</c:v>
                </c:pt>
                <c:pt idx="14" formatCode="0">
                  <c:v>33.021419788316948</c:v>
                </c:pt>
                <c:pt idx="15" formatCode="0">
                  <c:v>66.601427985887796</c:v>
                </c:pt>
                <c:pt idx="16" formatCode="0.0">
                  <c:v>29.742840573556929</c:v>
                </c:pt>
                <c:pt idx="17" formatCode="0.0">
                  <c:v>39.799999999999997</c:v>
                </c:pt>
                <c:pt idx="18" formatCode="0.0">
                  <c:v>34.200000000000003</c:v>
                </c:pt>
                <c:pt idx="19" formatCode="0.0">
                  <c:v>28.3</c:v>
                </c:pt>
                <c:pt idx="20" formatCode="0.0">
                  <c:v>33.700000000000003</c:v>
                </c:pt>
                <c:pt idx="21" formatCode="0.0">
                  <c:v>53.4</c:v>
                </c:pt>
              </c:numCache>
            </c:numRef>
          </c:val>
          <c:extLst>
            <c:ext xmlns:c16="http://schemas.microsoft.com/office/drawing/2014/chart" uri="{C3380CC4-5D6E-409C-BE32-E72D297353CC}">
              <c16:uniqueId val="{00000000-5F0C-44E5-81D4-B89E1FF3D735}"/>
            </c:ext>
          </c:extLst>
        </c:ser>
        <c:ser>
          <c:idx val="3"/>
          <c:order val="1"/>
          <c:tx>
            <c:strRef>
              <c:f>'Annual Reservoir Trends'!$B$16</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Trends'!$C$3:$X$3</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'Annual Reservoir Trends'!$C$16:$X$16</c:f>
              <c:numCache>
                <c:formatCode>General</c:formatCode>
                <c:ptCount val="22"/>
                <c:pt idx="0">
                  <c:v>270</c:v>
                </c:pt>
                <c:pt idx="1">
                  <c:v>201</c:v>
                </c:pt>
                <c:pt idx="2">
                  <c:v>240</c:v>
                </c:pt>
                <c:pt idx="3">
                  <c:v>99</c:v>
                </c:pt>
                <c:pt idx="4">
                  <c:v>52</c:v>
                </c:pt>
                <c:pt idx="5">
                  <c:v>66</c:v>
                </c:pt>
                <c:pt idx="6">
                  <c:v>86</c:v>
                </c:pt>
                <c:pt idx="7">
                  <c:v>69</c:v>
                </c:pt>
                <c:pt idx="8">
                  <c:v>54</c:v>
                </c:pt>
                <c:pt idx="9">
                  <c:v>56</c:v>
                </c:pt>
                <c:pt idx="10">
                  <c:v>64</c:v>
                </c:pt>
                <c:pt idx="11">
                  <c:v>56</c:v>
                </c:pt>
                <c:pt idx="12">
                  <c:v>56</c:v>
                </c:pt>
                <c:pt idx="13">
                  <c:v>44</c:v>
                </c:pt>
                <c:pt idx="14" formatCode="0">
                  <c:v>47.091899981300472</c:v>
                </c:pt>
                <c:pt idx="15" formatCode="0">
                  <c:v>97.33945999875337</c:v>
                </c:pt>
                <c:pt idx="16" formatCode="0.0">
                  <c:v>30.821478699787626</c:v>
                </c:pt>
                <c:pt idx="17" formatCode="0.0">
                  <c:v>62.2</c:v>
                </c:pt>
                <c:pt idx="18" formatCode="0.0">
                  <c:v>35.299999999999997</c:v>
                </c:pt>
                <c:pt idx="19" formatCode="0.0">
                  <c:v>38.9</c:v>
                </c:pt>
                <c:pt idx="20" formatCode="0.0">
                  <c:v>47.9</c:v>
                </c:pt>
                <c:pt idx="21" formatCode="0.0">
                  <c:v>69.8</c:v>
                </c:pt>
              </c:numCache>
            </c:numRef>
          </c:val>
          <c:extLst>
            <c:ext xmlns:c16="http://schemas.microsoft.com/office/drawing/2014/chart" uri="{C3380CC4-5D6E-409C-BE32-E72D297353CC}">
              <c16:uniqueId val="{00000002-5F0C-44E5-81D4-B89E1FF3D735}"/>
            </c:ext>
          </c:extLst>
        </c:ser>
        <c:dLbls>
          <c:showLegendKey val="0"/>
          <c:showVal val="0"/>
          <c:showCatName val="0"/>
          <c:showSerName val="0"/>
          <c:showPercent val="0"/>
          <c:showBubbleSize val="0"/>
        </c:dLbls>
        <c:gapWidth val="150"/>
        <c:axId val="137523200"/>
        <c:axId val="137525120"/>
      </c:barChart>
      <c:catAx>
        <c:axId val="137523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7525120"/>
        <c:crosses val="autoZero"/>
        <c:auto val="1"/>
        <c:lblAlgn val="ctr"/>
        <c:lblOffset val="100"/>
        <c:tickLblSkip val="1"/>
        <c:tickMarkSkip val="1"/>
        <c:noMultiLvlLbl val="0"/>
      </c:catAx>
      <c:valAx>
        <c:axId val="1375251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752320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000000"/>
          </a:solidFill>
          <a:prstDash val="solid"/>
        </a:ln>
      </c:spPr>
    </c:plotArea>
    <c:legend>
      <c:legendPos val="r"/>
      <c:legendEntry>
        <c:idx val="0"/>
        <c:txPr>
          <a:bodyPr/>
          <a:lstStyle/>
          <a:p>
            <a:pPr>
              <a:defRPr sz="800" b="0" i="0" u="none" strike="noStrike" baseline="0">
                <a:solidFill>
                  <a:srgbClr val="000000"/>
                </a:solidFill>
                <a:latin typeface="Arial"/>
                <a:ea typeface="Arial"/>
                <a:cs typeface="Arial"/>
              </a:defRPr>
            </a:pPr>
            <a:endParaRPr lang="en-US"/>
          </a:p>
        </c:txPr>
      </c:legendEntry>
      <c:layout>
        <c:manualLayout>
          <c:xMode val="edge"/>
          <c:yMode val="edge"/>
          <c:x val="0.76627718853755267"/>
          <c:y val="0.19536423841059641"/>
          <c:w val="0.22203664605015838"/>
          <c:h val="0.18874172185431456"/>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Bear Creek Reservoir 2012 In-Flow Estimates</a:t>
            </a:r>
          </a:p>
        </c:rich>
      </c:tx>
      <c:layout>
        <c:manualLayout>
          <c:xMode val="edge"/>
          <c:yMode val="edge"/>
          <c:x val="0.29159713111771834"/>
          <c:y val="5.1578945230876687E-2"/>
        </c:manualLayout>
      </c:layout>
      <c:overlay val="0"/>
    </c:title>
    <c:autoTitleDeleted val="0"/>
    <c:plotArea>
      <c:layout/>
      <c:barChart>
        <c:barDir val="col"/>
        <c:grouping val="clustered"/>
        <c:varyColors val="0"/>
        <c:ser>
          <c:idx val="0"/>
          <c:order val="0"/>
          <c:tx>
            <c:strRef>
              <c:f>'Monthly Discharge'!$A$20</c:f>
              <c:strCache>
                <c:ptCount val="1"/>
                <c:pt idx="0">
                  <c:v>Turkey Creek Inflow</c:v>
                </c:pt>
              </c:strCache>
            </c:strRef>
          </c:tx>
          <c:spPr>
            <a:solidFill>
              <a:schemeClr val="tx2"/>
            </a:solidFill>
          </c:spPr>
          <c:invertIfNegative val="0"/>
          <c:trendline>
            <c:trendlineType val="poly"/>
            <c:order val="4"/>
            <c:dispRSqr val="0"/>
            <c:dispEq val="0"/>
          </c:trendline>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Discharge'!$B$20:$M$20</c:f>
              <c:numCache>
                <c:formatCode>#,##0.0</c:formatCode>
                <c:ptCount val="12"/>
                <c:pt idx="0">
                  <c:v>79.914900000000003</c:v>
                </c:pt>
                <c:pt idx="1">
                  <c:v>109.2633</c:v>
                </c:pt>
                <c:pt idx="2">
                  <c:v>202.24617000000001</c:v>
                </c:pt>
                <c:pt idx="3">
                  <c:v>156.45870000000002</c:v>
                </c:pt>
                <c:pt idx="4">
                  <c:v>274.78431</c:v>
                </c:pt>
                <c:pt idx="5">
                  <c:v>99.943200000000004</c:v>
                </c:pt>
                <c:pt idx="6">
                  <c:v>239.43733500000002</c:v>
                </c:pt>
                <c:pt idx="7">
                  <c:v>59.936174999999999</c:v>
                </c:pt>
                <c:pt idx="8">
                  <c:v>28.852650000000001</c:v>
                </c:pt>
                <c:pt idx="9">
                  <c:v>19.056629999999998</c:v>
                </c:pt>
                <c:pt idx="10">
                  <c:v>24.985800000000001</c:v>
                </c:pt>
                <c:pt idx="11">
                  <c:v>21.515549999999998</c:v>
                </c:pt>
              </c:numCache>
            </c:numRef>
          </c:val>
          <c:extLst>
            <c:ext xmlns:c16="http://schemas.microsoft.com/office/drawing/2014/chart" uri="{C3380CC4-5D6E-409C-BE32-E72D297353CC}">
              <c16:uniqueId val="{00000001-2311-46D3-B43D-082710B3D491}"/>
            </c:ext>
          </c:extLst>
        </c:ser>
        <c:ser>
          <c:idx val="1"/>
          <c:order val="1"/>
          <c:tx>
            <c:strRef>
              <c:f>'Monthly Discharge'!$A$21</c:f>
              <c:strCache>
                <c:ptCount val="1"/>
                <c:pt idx="0">
                  <c:v>Bear Creek Inflow</c:v>
                </c:pt>
              </c:strCache>
            </c:strRef>
          </c:tx>
          <c:spPr>
            <a:solidFill>
              <a:srgbClr val="00B0F0"/>
            </a:solidFill>
          </c:spPr>
          <c:invertIfNegative val="0"/>
          <c:trendline>
            <c:trendlineType val="poly"/>
            <c:order val="4"/>
            <c:dispRSqr val="0"/>
            <c:dispEq val="0"/>
          </c:trendline>
          <c:cat>
            <c:strRef>
              <c:f>'Monthly Discharge'!$B$19:$M$19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Discharge'!$B$21:$M$21</c:f>
              <c:numCache>
                <c:formatCode>#,##0.0</c:formatCode>
                <c:ptCount val="12"/>
                <c:pt idx="0">
                  <c:v>1038.2789700000001</c:v>
                </c:pt>
                <c:pt idx="1">
                  <c:v>798.19716000000005</c:v>
                </c:pt>
                <c:pt idx="2">
                  <c:v>470.26845000000003</c:v>
                </c:pt>
                <c:pt idx="3">
                  <c:v>204.05070000000001</c:v>
                </c:pt>
                <c:pt idx="4">
                  <c:v>451.82655</c:v>
                </c:pt>
                <c:pt idx="5">
                  <c:v>140.3964</c:v>
                </c:pt>
                <c:pt idx="6">
                  <c:v>432.46255500000007</c:v>
                </c:pt>
                <c:pt idx="7">
                  <c:v>296.91458999999998</c:v>
                </c:pt>
                <c:pt idx="8">
                  <c:v>80.311500000000009</c:v>
                </c:pt>
                <c:pt idx="9">
                  <c:v>416.78694000000002</c:v>
                </c:pt>
                <c:pt idx="10">
                  <c:v>109.46160000000002</c:v>
                </c:pt>
                <c:pt idx="11">
                  <c:v>113.11032000000002</c:v>
                </c:pt>
              </c:numCache>
            </c:numRef>
          </c:val>
          <c:extLst>
            <c:ext xmlns:c16="http://schemas.microsoft.com/office/drawing/2014/chart" uri="{C3380CC4-5D6E-409C-BE32-E72D297353CC}">
              <c16:uniqueId val="{00000003-2311-46D3-B43D-082710B3D491}"/>
            </c:ext>
          </c:extLst>
        </c:ser>
        <c:dLbls>
          <c:showLegendKey val="0"/>
          <c:showVal val="0"/>
          <c:showCatName val="0"/>
          <c:showSerName val="0"/>
          <c:showPercent val="0"/>
          <c:showBubbleSize val="0"/>
        </c:dLbls>
        <c:gapWidth val="150"/>
        <c:axId val="133460352"/>
        <c:axId val="133461888"/>
      </c:barChart>
      <c:catAx>
        <c:axId val="133460352"/>
        <c:scaling>
          <c:orientation val="minMax"/>
        </c:scaling>
        <c:delete val="0"/>
        <c:axPos val="b"/>
        <c:numFmt formatCode="General" sourceLinked="0"/>
        <c:majorTickMark val="none"/>
        <c:minorTickMark val="none"/>
        <c:tickLblPos val="nextTo"/>
        <c:crossAx val="133461888"/>
        <c:crosses val="autoZero"/>
        <c:auto val="1"/>
        <c:lblAlgn val="ctr"/>
        <c:lblOffset val="100"/>
        <c:noMultiLvlLbl val="0"/>
      </c:catAx>
      <c:valAx>
        <c:axId val="133461888"/>
        <c:scaling>
          <c:orientation val="minMax"/>
          <c:max val="1200"/>
        </c:scaling>
        <c:delete val="0"/>
        <c:axPos val="l"/>
        <c:majorGridlines/>
        <c:title>
          <c:tx>
            <c:rich>
              <a:bodyPr/>
              <a:lstStyle/>
              <a:p>
                <a:pPr>
                  <a:defRPr sz="1400"/>
                </a:pPr>
                <a:r>
                  <a:rPr lang="en-US" sz="1400"/>
                  <a:t>Acre-feet/month</a:t>
                </a:r>
              </a:p>
            </c:rich>
          </c:tx>
          <c:layout>
            <c:manualLayout>
              <c:xMode val="edge"/>
              <c:yMode val="edge"/>
              <c:x val="6.6553493287305393E-2"/>
              <c:y val="0.27132903972942685"/>
            </c:manualLayout>
          </c:layout>
          <c:overlay val="0"/>
        </c:title>
        <c:numFmt formatCode="#,##0.0" sourceLinked="1"/>
        <c:majorTickMark val="none"/>
        <c:minorTickMark val="none"/>
        <c:tickLblPos val="nextTo"/>
        <c:txPr>
          <a:bodyPr/>
          <a:lstStyle/>
          <a:p>
            <a:pPr>
              <a:defRPr sz="1050"/>
            </a:pPr>
            <a:endParaRPr lang="en-US"/>
          </a:p>
        </c:txPr>
        <c:crossAx val="133460352"/>
        <c:crosses val="autoZero"/>
        <c:crossBetween val="between"/>
      </c:valAx>
      <c:dTable>
        <c:showHorzBorder val="1"/>
        <c:showVertBorder val="1"/>
        <c:showOutline val="1"/>
        <c:showKeys val="1"/>
        <c:txPr>
          <a:bodyPr/>
          <a:lstStyle/>
          <a:p>
            <a:pPr rtl="0">
              <a:defRPr sz="1050"/>
            </a:pPr>
            <a:endParaRPr lang="en-US"/>
          </a:p>
        </c:txPr>
      </c:dTable>
      <c:spPr>
        <a:gradFill>
          <a:gsLst>
            <a:gs pos="0">
              <a:sysClr val="window" lastClr="FFFFFF">
                <a:lumMod val="85000"/>
              </a:sys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spPr>
    <a:gradFill>
      <a:gsLst>
        <a:gs pos="0">
          <a:schemeClr val="accent1">
            <a:lumMod val="60000"/>
            <a:lumOff val="40000"/>
          </a:scheme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BCRTemperature Average 1/2-2 Meters</a:t>
            </a:r>
          </a:p>
        </c:rich>
      </c:tx>
      <c:layout>
        <c:manualLayout>
          <c:xMode val="edge"/>
          <c:yMode val="edge"/>
          <c:x val="0.35092348284963443"/>
          <c:y val="3.4055727554180001E-2"/>
        </c:manualLayout>
      </c:layout>
      <c:overlay val="0"/>
      <c:spPr>
        <a:noFill/>
        <a:ln w="25400">
          <a:noFill/>
        </a:ln>
      </c:spPr>
    </c:title>
    <c:autoTitleDeleted val="0"/>
    <c:plotArea>
      <c:layout>
        <c:manualLayout>
          <c:layoutTarget val="inner"/>
          <c:xMode val="edge"/>
          <c:yMode val="edge"/>
          <c:x val="6.2807881773399021E-2"/>
          <c:y val="0.11214302159598473"/>
          <c:w val="0.89162561576359978"/>
          <c:h val="0.74234608831790749"/>
        </c:manualLayout>
      </c:layout>
      <c:lineChart>
        <c:grouping val="standard"/>
        <c:varyColors val="0"/>
        <c:ser>
          <c:idx val="0"/>
          <c:order val="0"/>
          <c:tx>
            <c:strRef>
              <c:f>Temperature!$A$6</c:f>
              <c:strCache>
                <c:ptCount val="1"/>
                <c:pt idx="0">
                  <c:v>Site 40 Central Pool</c:v>
                </c:pt>
              </c:strCache>
            </c:strRef>
          </c:tx>
          <c:cat>
            <c:numRef>
              <c:f>Temperature!$B$2:$Q$2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Temperature!$B$22:$Q$22</c:f>
              <c:numCache>
                <c:formatCode>0.00</c:formatCode>
                <c:ptCount val="16"/>
                <c:pt idx="0">
                  <c:v>2.625</c:v>
                </c:pt>
                <c:pt idx="1">
                  <c:v>2.65</c:v>
                </c:pt>
                <c:pt idx="2">
                  <c:v>9.6</c:v>
                </c:pt>
                <c:pt idx="3">
                  <c:v>14.600000000000001</c:v>
                </c:pt>
                <c:pt idx="4">
                  <c:v>16.625</c:v>
                </c:pt>
                <c:pt idx="5">
                  <c:v>22.349999999999998</c:v>
                </c:pt>
                <c:pt idx="6">
                  <c:v>22.324999999999999</c:v>
                </c:pt>
                <c:pt idx="7">
                  <c:v>23.9</c:v>
                </c:pt>
                <c:pt idx="8">
                  <c:v>22.825000000000003</c:v>
                </c:pt>
                <c:pt idx="9">
                  <c:v>21.2</c:v>
                </c:pt>
                <c:pt idx="10">
                  <c:v>20.5</c:v>
                </c:pt>
                <c:pt idx="11">
                  <c:v>17.899999999999999</c:v>
                </c:pt>
                <c:pt idx="12">
                  <c:v>12.924999999999999</c:v>
                </c:pt>
                <c:pt idx="13">
                  <c:v>11.625</c:v>
                </c:pt>
                <c:pt idx="14">
                  <c:v>5.8</c:v>
                </c:pt>
                <c:pt idx="15">
                  <c:v>3.35</c:v>
                </c:pt>
              </c:numCache>
            </c:numRef>
          </c:val>
          <c:smooth val="0"/>
          <c:extLst>
            <c:ext xmlns:c16="http://schemas.microsoft.com/office/drawing/2014/chart" uri="{C3380CC4-5D6E-409C-BE32-E72D297353CC}">
              <c16:uniqueId val="{00000000-B364-428A-9607-085B79E5F6E8}"/>
            </c:ext>
          </c:extLst>
        </c:ser>
        <c:ser>
          <c:idx val="1"/>
          <c:order val="1"/>
          <c:tx>
            <c:strRef>
              <c:f>Temperature!$A$24</c:f>
              <c:strCache>
                <c:ptCount val="1"/>
                <c:pt idx="0">
                  <c:v>Site 41- BC Outlet</c:v>
                </c:pt>
              </c:strCache>
            </c:strRef>
          </c:tx>
          <c:val>
            <c:numRef>
              <c:f>Temperature!$B$37:$Q$37</c:f>
              <c:numCache>
                <c:formatCode>0.00</c:formatCode>
                <c:ptCount val="16"/>
                <c:pt idx="0">
                  <c:v>2.6000000000000005</c:v>
                </c:pt>
                <c:pt idx="1">
                  <c:v>2.75</c:v>
                </c:pt>
                <c:pt idx="2">
                  <c:v>9.6</c:v>
                </c:pt>
                <c:pt idx="3">
                  <c:v>14.625</c:v>
                </c:pt>
                <c:pt idx="4">
                  <c:v>17.049999999999997</c:v>
                </c:pt>
                <c:pt idx="5">
                  <c:v>22.7</c:v>
                </c:pt>
                <c:pt idx="6">
                  <c:v>22.225000000000001</c:v>
                </c:pt>
                <c:pt idx="7">
                  <c:v>23.999999999999996</c:v>
                </c:pt>
                <c:pt idx="8">
                  <c:v>22.95</c:v>
                </c:pt>
                <c:pt idx="9">
                  <c:v>21.4</c:v>
                </c:pt>
                <c:pt idx="10">
                  <c:v>20.175000000000001</c:v>
                </c:pt>
                <c:pt idx="11">
                  <c:v>17.899999999999999</c:v>
                </c:pt>
                <c:pt idx="12">
                  <c:v>12.775000000000002</c:v>
                </c:pt>
                <c:pt idx="13">
                  <c:v>11.6</c:v>
                </c:pt>
                <c:pt idx="14">
                  <c:v>5.8</c:v>
                </c:pt>
              </c:numCache>
            </c:numRef>
          </c:val>
          <c:smooth val="0"/>
          <c:extLst>
            <c:ext xmlns:c16="http://schemas.microsoft.com/office/drawing/2014/chart" uri="{C3380CC4-5D6E-409C-BE32-E72D297353CC}">
              <c16:uniqueId val="{00000001-B364-428A-9607-085B79E5F6E8}"/>
            </c:ext>
          </c:extLst>
        </c:ser>
        <c:ser>
          <c:idx val="2"/>
          <c:order val="2"/>
          <c:tx>
            <c:strRef>
              <c:f>Temperature!$A$39</c:f>
              <c:strCache>
                <c:ptCount val="1"/>
                <c:pt idx="0">
                  <c:v>Site 42 - South Dam</c:v>
                </c:pt>
              </c:strCache>
            </c:strRef>
          </c:tx>
          <c:val>
            <c:numRef>
              <c:f>Temperature!$B$49:$Q$49</c:f>
              <c:numCache>
                <c:formatCode>0.00</c:formatCode>
                <c:ptCount val="16"/>
                <c:pt idx="0">
                  <c:v>2.75</c:v>
                </c:pt>
                <c:pt idx="1">
                  <c:v>2.875</c:v>
                </c:pt>
                <c:pt idx="2">
                  <c:v>8.875</c:v>
                </c:pt>
                <c:pt idx="3">
                  <c:v>14.375</c:v>
                </c:pt>
                <c:pt idx="4">
                  <c:v>16.350000000000001</c:v>
                </c:pt>
                <c:pt idx="5">
                  <c:v>22.499999999999996</c:v>
                </c:pt>
                <c:pt idx="6">
                  <c:v>22.2</c:v>
                </c:pt>
                <c:pt idx="7">
                  <c:v>23.975000000000001</c:v>
                </c:pt>
                <c:pt idx="8">
                  <c:v>23.05</c:v>
                </c:pt>
                <c:pt idx="9">
                  <c:v>21.35</c:v>
                </c:pt>
                <c:pt idx="10">
                  <c:v>20.175000000000001</c:v>
                </c:pt>
                <c:pt idx="11">
                  <c:v>17.899999999999999</c:v>
                </c:pt>
                <c:pt idx="12">
                  <c:v>12.733333333333334</c:v>
                </c:pt>
                <c:pt idx="13">
                  <c:v>11.625</c:v>
                </c:pt>
                <c:pt idx="14">
                  <c:v>5.7</c:v>
                </c:pt>
              </c:numCache>
            </c:numRef>
          </c:val>
          <c:smooth val="0"/>
          <c:extLst>
            <c:ext xmlns:c16="http://schemas.microsoft.com/office/drawing/2014/chart" uri="{C3380CC4-5D6E-409C-BE32-E72D297353CC}">
              <c16:uniqueId val="{00000002-B364-428A-9607-085B79E5F6E8}"/>
            </c:ext>
          </c:extLst>
        </c:ser>
        <c:ser>
          <c:idx val="3"/>
          <c:order val="3"/>
          <c:tx>
            <c:strRef>
              <c:f>Temperature!$A$51</c:f>
              <c:strCache>
                <c:ptCount val="1"/>
                <c:pt idx="0">
                  <c:v>Site 43 - TC Inlet</c:v>
                </c:pt>
              </c:strCache>
            </c:strRef>
          </c:tx>
          <c:val>
            <c:numRef>
              <c:f>Temperature!$B$60:$Q$60</c:f>
              <c:numCache>
                <c:formatCode>0.00</c:formatCode>
                <c:ptCount val="16"/>
                <c:pt idx="0">
                  <c:v>2.7749999999999999</c:v>
                </c:pt>
                <c:pt idx="1">
                  <c:v>2.65</c:v>
                </c:pt>
                <c:pt idx="2">
                  <c:v>9.5</c:v>
                </c:pt>
                <c:pt idx="3">
                  <c:v>15.175000000000001</c:v>
                </c:pt>
                <c:pt idx="4">
                  <c:v>16.8</c:v>
                </c:pt>
                <c:pt idx="5">
                  <c:v>23.25</c:v>
                </c:pt>
                <c:pt idx="6">
                  <c:v>22.4</c:v>
                </c:pt>
                <c:pt idx="7">
                  <c:v>24.650000000000002</c:v>
                </c:pt>
                <c:pt idx="8">
                  <c:v>23.349999999999998</c:v>
                </c:pt>
                <c:pt idx="9">
                  <c:v>21.9</c:v>
                </c:pt>
                <c:pt idx="10">
                  <c:v>20.824999999999999</c:v>
                </c:pt>
                <c:pt idx="11">
                  <c:v>18.024999999999999</c:v>
                </c:pt>
                <c:pt idx="12">
                  <c:v>13.100000000000001</c:v>
                </c:pt>
                <c:pt idx="13">
                  <c:v>11.899999999999999</c:v>
                </c:pt>
                <c:pt idx="14">
                  <c:v>5.8</c:v>
                </c:pt>
                <c:pt idx="15">
                  <c:v>3</c:v>
                </c:pt>
              </c:numCache>
            </c:numRef>
          </c:val>
          <c:smooth val="0"/>
          <c:extLst>
            <c:ext xmlns:c16="http://schemas.microsoft.com/office/drawing/2014/chart" uri="{C3380CC4-5D6E-409C-BE32-E72D297353CC}">
              <c16:uniqueId val="{00000003-B364-428A-9607-085B79E5F6E8}"/>
            </c:ext>
          </c:extLst>
        </c:ser>
        <c:ser>
          <c:idx val="4"/>
          <c:order val="4"/>
          <c:tx>
            <c:strRef>
              <c:f>Temperature!$A$62</c:f>
              <c:strCache>
                <c:ptCount val="1"/>
                <c:pt idx="0">
                  <c:v>Site 44 - BC Inlet</c:v>
                </c:pt>
              </c:strCache>
            </c:strRef>
          </c:tx>
          <c:val>
            <c:numRef>
              <c:f>Temperature!$B$73:$Q$73</c:f>
              <c:numCache>
                <c:formatCode>0.00</c:formatCode>
                <c:ptCount val="16"/>
                <c:pt idx="0">
                  <c:v>2.6749999999999998</c:v>
                </c:pt>
                <c:pt idx="1">
                  <c:v>3.2749999999999999</c:v>
                </c:pt>
                <c:pt idx="2">
                  <c:v>9.5</c:v>
                </c:pt>
                <c:pt idx="3">
                  <c:v>15.275</c:v>
                </c:pt>
                <c:pt idx="4">
                  <c:v>17.125</c:v>
                </c:pt>
                <c:pt idx="5">
                  <c:v>22.950000000000003</c:v>
                </c:pt>
                <c:pt idx="6">
                  <c:v>22.4</c:v>
                </c:pt>
                <c:pt idx="7">
                  <c:v>24.16</c:v>
                </c:pt>
                <c:pt idx="8">
                  <c:v>23.15</c:v>
                </c:pt>
                <c:pt idx="9">
                  <c:v>21.950000000000003</c:v>
                </c:pt>
                <c:pt idx="10">
                  <c:v>20.85</c:v>
                </c:pt>
                <c:pt idx="11">
                  <c:v>17.975000000000001</c:v>
                </c:pt>
                <c:pt idx="12">
                  <c:v>12.6</c:v>
                </c:pt>
                <c:pt idx="13">
                  <c:v>11.775</c:v>
                </c:pt>
                <c:pt idx="14">
                  <c:v>5.8</c:v>
                </c:pt>
                <c:pt idx="15">
                  <c:v>3.5750000000000002</c:v>
                </c:pt>
              </c:numCache>
            </c:numRef>
          </c:val>
          <c:smooth val="0"/>
          <c:extLst>
            <c:ext xmlns:c16="http://schemas.microsoft.com/office/drawing/2014/chart" uri="{C3380CC4-5D6E-409C-BE32-E72D297353CC}">
              <c16:uniqueId val="{00000004-B364-428A-9607-085B79E5F6E8}"/>
            </c:ext>
          </c:extLst>
        </c:ser>
        <c:dLbls>
          <c:showLegendKey val="0"/>
          <c:showVal val="0"/>
          <c:showCatName val="0"/>
          <c:showSerName val="0"/>
          <c:showPercent val="0"/>
          <c:showBubbleSize val="0"/>
        </c:dLbls>
        <c:marker val="1"/>
        <c:smooth val="0"/>
        <c:axId val="133528192"/>
        <c:axId val="133534080"/>
      </c:lineChart>
      <c:dateAx>
        <c:axId val="133528192"/>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a:pPr>
            <a:endParaRPr lang="en-US"/>
          </a:p>
        </c:txPr>
        <c:crossAx val="133534080"/>
        <c:crosses val="autoZero"/>
        <c:auto val="1"/>
        <c:lblOffset val="100"/>
        <c:baseTimeUnit val="days"/>
        <c:majorUnit val="30"/>
        <c:majorTimeUnit val="days"/>
        <c:minorUnit val="15"/>
        <c:minorTimeUnit val="days"/>
      </c:dateAx>
      <c:valAx>
        <c:axId val="133534080"/>
        <c:scaling>
          <c:orientation val="minMax"/>
          <c:max val="25"/>
        </c:scaling>
        <c:delete val="0"/>
        <c:axPos val="l"/>
        <c:majorGridlines>
          <c:spPr>
            <a:ln w="3175">
              <a:solidFill>
                <a:srgbClr val="000000"/>
              </a:solidFill>
              <a:prstDash val="solid"/>
            </a:ln>
          </c:spPr>
        </c:majorGridlines>
        <c:minorGridlines/>
        <c:numFmt formatCode="0.00" sourceLinked="1"/>
        <c:majorTickMark val="out"/>
        <c:minorTickMark val="none"/>
        <c:tickLblPos val="nextTo"/>
        <c:spPr>
          <a:ln w="3175">
            <a:solidFill>
              <a:srgbClr val="000000"/>
            </a:solidFill>
            <a:prstDash val="solid"/>
          </a:ln>
        </c:spPr>
        <c:txPr>
          <a:bodyPr rot="0" vert="horz"/>
          <a:lstStyle/>
          <a:p>
            <a:pPr>
              <a:defRPr/>
            </a:pPr>
            <a:endParaRPr lang="en-US"/>
          </a:p>
        </c:txPr>
        <c:crossAx val="13352819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9.891085518097463E-2"/>
          <c:y val="0.14610225314633613"/>
          <c:w val="0.16382122142613442"/>
          <c:h val="0.23633280258250294"/>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3175">
          <a:solidFill>
            <a:srgbClr val="000000"/>
          </a:solidFill>
          <a:prstDash val="solid"/>
        </a:ln>
      </c:sp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Temperature Trends </a:t>
            </a:r>
          </a:p>
        </c:rich>
      </c:tx>
      <c:overlay val="1"/>
    </c:title>
    <c:autoTitleDeleted val="0"/>
    <c:plotArea>
      <c:layout>
        <c:manualLayout>
          <c:layoutTarget val="inner"/>
          <c:xMode val="edge"/>
          <c:yMode val="edge"/>
          <c:x val="6.699751861042183E-2"/>
          <c:y val="9.4017355594941746E-2"/>
          <c:w val="0.88213399503719958"/>
          <c:h val="0.81481708182279156"/>
        </c:manualLayout>
      </c:layout>
      <c:lineChart>
        <c:grouping val="standard"/>
        <c:varyColors val="0"/>
        <c:ser>
          <c:idx val="0"/>
          <c:order val="0"/>
          <c:tx>
            <c:strRef>
              <c:f>Temperature!$A$3</c:f>
              <c:strCache>
                <c:ptCount val="1"/>
                <c:pt idx="0">
                  <c:v>16a-Turkey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Temperature!$B$2:$Q$2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Temperature!$B$3:$Q$3</c:f>
              <c:numCache>
                <c:formatCode>General</c:formatCode>
                <c:ptCount val="16"/>
                <c:pt idx="0">
                  <c:v>2.6</c:v>
                </c:pt>
                <c:pt idx="1">
                  <c:v>1.4</c:v>
                </c:pt>
                <c:pt idx="2">
                  <c:v>7.2</c:v>
                </c:pt>
                <c:pt idx="3">
                  <c:v>9.6999999999999993</c:v>
                </c:pt>
                <c:pt idx="4">
                  <c:v>12.9</c:v>
                </c:pt>
                <c:pt idx="5">
                  <c:v>18.399999999999999</c:v>
                </c:pt>
                <c:pt idx="6">
                  <c:v>18.8</c:v>
                </c:pt>
                <c:pt idx="7">
                  <c:v>20.5</c:v>
                </c:pt>
                <c:pt idx="8">
                  <c:v>17.5</c:v>
                </c:pt>
                <c:pt idx="9">
                  <c:v>16.2</c:v>
                </c:pt>
                <c:pt idx="10">
                  <c:v>14.2</c:v>
                </c:pt>
                <c:pt idx="11">
                  <c:v>15.6</c:v>
                </c:pt>
                <c:pt idx="12">
                  <c:v>14.5</c:v>
                </c:pt>
                <c:pt idx="13">
                  <c:v>8.6999999999999993</c:v>
                </c:pt>
                <c:pt idx="14">
                  <c:v>4.3</c:v>
                </c:pt>
                <c:pt idx="15">
                  <c:v>3.5</c:v>
                </c:pt>
              </c:numCache>
            </c:numRef>
          </c:val>
          <c:smooth val="0"/>
          <c:extLst>
            <c:ext xmlns:c16="http://schemas.microsoft.com/office/drawing/2014/chart" uri="{C3380CC4-5D6E-409C-BE32-E72D297353CC}">
              <c16:uniqueId val="{00000000-97CE-4E67-A819-B13B2D2FE920}"/>
            </c:ext>
          </c:extLst>
        </c:ser>
        <c:ser>
          <c:idx val="1"/>
          <c:order val="1"/>
          <c:tx>
            <c:strRef>
              <c:f>Temperature!$A$4</c:f>
              <c:strCache>
                <c:ptCount val="1"/>
                <c:pt idx="0">
                  <c:v>15a-Bear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numRef>
              <c:f>Temperature!$B$2:$Q$2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Temperature!$B$4:$Q$4</c:f>
              <c:numCache>
                <c:formatCode>General</c:formatCode>
                <c:ptCount val="16"/>
                <c:pt idx="0">
                  <c:v>0.1</c:v>
                </c:pt>
                <c:pt idx="1">
                  <c:v>0.2</c:v>
                </c:pt>
                <c:pt idx="2">
                  <c:v>6.7</c:v>
                </c:pt>
                <c:pt idx="3">
                  <c:v>11.1</c:v>
                </c:pt>
                <c:pt idx="4">
                  <c:v>13.5</c:v>
                </c:pt>
                <c:pt idx="5">
                  <c:v>18.3</c:v>
                </c:pt>
                <c:pt idx="6">
                  <c:v>17.3</c:v>
                </c:pt>
                <c:pt idx="7">
                  <c:v>19.8</c:v>
                </c:pt>
                <c:pt idx="8">
                  <c:v>19.3</c:v>
                </c:pt>
                <c:pt idx="9">
                  <c:v>17.600000000000001</c:v>
                </c:pt>
                <c:pt idx="10">
                  <c:v>15.6</c:v>
                </c:pt>
                <c:pt idx="11">
                  <c:v>13.1</c:v>
                </c:pt>
                <c:pt idx="12">
                  <c:v>12.8</c:v>
                </c:pt>
                <c:pt idx="13">
                  <c:v>6.4</c:v>
                </c:pt>
                <c:pt idx="14">
                  <c:v>1.5</c:v>
                </c:pt>
                <c:pt idx="15">
                  <c:v>1</c:v>
                </c:pt>
              </c:numCache>
            </c:numRef>
          </c:val>
          <c:smooth val="0"/>
          <c:extLst>
            <c:ext xmlns:c16="http://schemas.microsoft.com/office/drawing/2014/chart" uri="{C3380CC4-5D6E-409C-BE32-E72D297353CC}">
              <c16:uniqueId val="{00000001-97CE-4E67-A819-B13B2D2FE920}"/>
            </c:ext>
          </c:extLst>
        </c:ser>
        <c:ser>
          <c:idx val="2"/>
          <c:order val="2"/>
          <c:tx>
            <c:strRef>
              <c:f>Temperature!$A$5</c:f>
              <c:strCache>
                <c:ptCount val="1"/>
                <c:pt idx="0">
                  <c:v>45-Bear Creek Discharge</c:v>
                </c:pt>
              </c:strCache>
            </c:strRef>
          </c:tx>
          <c:spPr>
            <a:ln w="25400">
              <a:solidFill>
                <a:srgbClr val="FF0000"/>
              </a:solidFill>
              <a:prstDash val="solid"/>
            </a:ln>
          </c:spPr>
          <c:marker>
            <c:symbol val="triangle"/>
            <c:size val="7"/>
            <c:spPr>
              <a:solidFill>
                <a:srgbClr val="FF0000"/>
              </a:solidFill>
              <a:ln>
                <a:solidFill>
                  <a:srgbClr val="FF0000"/>
                </a:solidFill>
                <a:prstDash val="solid"/>
              </a:ln>
            </c:spPr>
          </c:marker>
          <c:cat>
            <c:numRef>
              <c:f>Temperature!$B$2:$Q$2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Temperature!$B$5:$Q$5</c:f>
              <c:numCache>
                <c:formatCode>General</c:formatCode>
                <c:ptCount val="16"/>
                <c:pt idx="0">
                  <c:v>3.4</c:v>
                </c:pt>
                <c:pt idx="1">
                  <c:v>4.3</c:v>
                </c:pt>
                <c:pt idx="2">
                  <c:v>9.5</c:v>
                </c:pt>
                <c:pt idx="3">
                  <c:v>15.3</c:v>
                </c:pt>
                <c:pt idx="4">
                  <c:v>17.899999999999999</c:v>
                </c:pt>
                <c:pt idx="5">
                  <c:v>21.5</c:v>
                </c:pt>
                <c:pt idx="6">
                  <c:v>21</c:v>
                </c:pt>
                <c:pt idx="7">
                  <c:v>23.6</c:v>
                </c:pt>
                <c:pt idx="8">
                  <c:v>23.3</c:v>
                </c:pt>
                <c:pt idx="9">
                  <c:v>21.3</c:v>
                </c:pt>
                <c:pt idx="10">
                  <c:v>19.899999999999999</c:v>
                </c:pt>
                <c:pt idx="11">
                  <c:v>16.399999999999999</c:v>
                </c:pt>
                <c:pt idx="12">
                  <c:v>12.9</c:v>
                </c:pt>
                <c:pt idx="13">
                  <c:v>11.7</c:v>
                </c:pt>
                <c:pt idx="14">
                  <c:v>4.5999999999999996</c:v>
                </c:pt>
                <c:pt idx="15">
                  <c:v>3.7</c:v>
                </c:pt>
              </c:numCache>
            </c:numRef>
          </c:val>
          <c:smooth val="0"/>
          <c:extLst>
            <c:ext xmlns:c16="http://schemas.microsoft.com/office/drawing/2014/chart" uri="{C3380CC4-5D6E-409C-BE32-E72D297353CC}">
              <c16:uniqueId val="{00000002-97CE-4E67-A819-B13B2D2FE920}"/>
            </c:ext>
          </c:extLst>
        </c:ser>
        <c:ser>
          <c:idx val="3"/>
          <c:order val="3"/>
          <c:tx>
            <c:strRef>
              <c:f>Temperature!$A$23</c:f>
              <c:strCache>
                <c:ptCount val="1"/>
                <c:pt idx="0">
                  <c:v>BCR Site 40 Profile Average</c:v>
                </c:pt>
              </c:strCache>
            </c:strRef>
          </c:tx>
          <c:val>
            <c:numRef>
              <c:f>Temperature!$B$23:$Q$23</c:f>
              <c:numCache>
                <c:formatCode>0.00</c:formatCode>
                <c:ptCount val="16"/>
                <c:pt idx="0">
                  <c:v>3.7071428571428569</c:v>
                </c:pt>
                <c:pt idx="1">
                  <c:v>4.0733333333333341</c:v>
                </c:pt>
                <c:pt idx="2">
                  <c:v>8.3266666666666662</c:v>
                </c:pt>
                <c:pt idx="3">
                  <c:v>12.84</c:v>
                </c:pt>
                <c:pt idx="4">
                  <c:v>14.893333333333333</c:v>
                </c:pt>
                <c:pt idx="5">
                  <c:v>22.149999999999995</c:v>
                </c:pt>
                <c:pt idx="6">
                  <c:v>22.11333333333333</c:v>
                </c:pt>
                <c:pt idx="7">
                  <c:v>23.685714285714283</c:v>
                </c:pt>
                <c:pt idx="8">
                  <c:v>21.207142857142859</c:v>
                </c:pt>
                <c:pt idx="9">
                  <c:v>21.092307692307692</c:v>
                </c:pt>
                <c:pt idx="10">
                  <c:v>19.260769230769231</c:v>
                </c:pt>
                <c:pt idx="11">
                  <c:v>17.830769230769235</c:v>
                </c:pt>
                <c:pt idx="12">
                  <c:v>12.578571428571427</c:v>
                </c:pt>
                <c:pt idx="13">
                  <c:v>11.4</c:v>
                </c:pt>
                <c:pt idx="14">
                  <c:v>5.9214285714285708</c:v>
                </c:pt>
                <c:pt idx="15">
                  <c:v>3.628571428571429</c:v>
                </c:pt>
              </c:numCache>
            </c:numRef>
          </c:val>
          <c:smooth val="0"/>
          <c:extLst>
            <c:ext xmlns:c16="http://schemas.microsoft.com/office/drawing/2014/chart" uri="{C3380CC4-5D6E-409C-BE32-E72D297353CC}">
              <c16:uniqueId val="{00000003-97CE-4E67-A819-B13B2D2FE920}"/>
            </c:ext>
          </c:extLst>
        </c:ser>
        <c:dLbls>
          <c:showLegendKey val="0"/>
          <c:showVal val="0"/>
          <c:showCatName val="0"/>
          <c:showSerName val="0"/>
          <c:showPercent val="0"/>
          <c:showBubbleSize val="0"/>
        </c:dLbls>
        <c:marker val="1"/>
        <c:smooth val="0"/>
        <c:axId val="133761280"/>
        <c:axId val="133775360"/>
      </c:lineChart>
      <c:dateAx>
        <c:axId val="133761280"/>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3775360"/>
        <c:crosses val="autoZero"/>
        <c:auto val="1"/>
        <c:lblOffset val="100"/>
        <c:baseTimeUnit val="days"/>
        <c:majorUnit val="30"/>
        <c:majorTimeUnit val="days"/>
      </c:dateAx>
      <c:valAx>
        <c:axId val="133775360"/>
        <c:scaling>
          <c:orientation val="minMax"/>
        </c:scaling>
        <c:delete val="0"/>
        <c:axPos val="l"/>
        <c:majorGridlines>
          <c:spPr>
            <a:ln w="3175">
              <a:solidFill>
                <a:srgbClr val="000000"/>
              </a:solidFill>
              <a:prstDash val="solid"/>
            </a:ln>
          </c:spPr>
        </c:majorGridlines>
        <c:min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376128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13436861266220496"/>
          <c:y val="0.13325007196730321"/>
          <c:w val="0.22082772406914633"/>
          <c:h val="0.1652996754508209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5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2012 BCR Specific Conductance Average 1/2-2 meters </a:t>
            </a:r>
          </a:p>
        </c:rich>
      </c:tx>
      <c:layout>
        <c:manualLayout>
          <c:xMode val="edge"/>
          <c:yMode val="edge"/>
          <c:x val="0.19840874864398247"/>
          <c:y val="4.3226937469507197E-2"/>
        </c:manualLayout>
      </c:layout>
      <c:overlay val="0"/>
      <c:spPr>
        <a:noFill/>
        <a:ln w="25400">
          <a:noFill/>
        </a:ln>
      </c:spPr>
    </c:title>
    <c:autoTitleDeleted val="0"/>
    <c:plotArea>
      <c:layout>
        <c:manualLayout>
          <c:layoutTarget val="inner"/>
          <c:xMode val="edge"/>
          <c:yMode val="edge"/>
          <c:x val="0.11090726716485085"/>
          <c:y val="0.18627510427869778"/>
          <c:w val="0.84248374208001053"/>
          <c:h val="0.70588460568769684"/>
        </c:manualLayout>
      </c:layout>
      <c:lineChart>
        <c:grouping val="standard"/>
        <c:varyColors val="0"/>
        <c:ser>
          <c:idx val="0"/>
          <c:order val="0"/>
          <c:tx>
            <c:strRef>
              <c:f>Conductance!$A$6</c:f>
              <c:strCache>
                <c:ptCount val="1"/>
                <c:pt idx="0">
                  <c:v>Site 40 Central Pool</c:v>
                </c:pt>
              </c:strCache>
            </c:strRef>
          </c:tx>
          <c:cat>
            <c:numRef>
              <c:f>Conductance!$B$2:$Q$2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Conductance!$B$22:$Q$22</c:f>
              <c:numCache>
                <c:formatCode>0.000</c:formatCode>
                <c:ptCount val="16"/>
                <c:pt idx="0">
                  <c:v>0.40625</c:v>
                </c:pt>
                <c:pt idx="1">
                  <c:v>0.43099999999999999</c:v>
                </c:pt>
                <c:pt idx="2">
                  <c:v>0.57699999999999996</c:v>
                </c:pt>
                <c:pt idx="3">
                  <c:v>0.64275000000000004</c:v>
                </c:pt>
                <c:pt idx="4">
                  <c:v>0.66</c:v>
                </c:pt>
                <c:pt idx="5">
                  <c:v>0.67025000000000001</c:v>
                </c:pt>
                <c:pt idx="6">
                  <c:v>0.65</c:v>
                </c:pt>
                <c:pt idx="7">
                  <c:v>0.65</c:v>
                </c:pt>
                <c:pt idx="8">
                  <c:v>0.55000000000000004</c:v>
                </c:pt>
                <c:pt idx="9">
                  <c:v>0.52500000000000002</c:v>
                </c:pt>
                <c:pt idx="10">
                  <c:v>0.53100000000000003</c:v>
                </c:pt>
                <c:pt idx="11">
                  <c:v>0.51424999999999998</c:v>
                </c:pt>
                <c:pt idx="12">
                  <c:v>0.50024999999999997</c:v>
                </c:pt>
                <c:pt idx="13">
                  <c:v>0.49149999999999999</c:v>
                </c:pt>
                <c:pt idx="14">
                  <c:v>0.50575000000000003</c:v>
                </c:pt>
                <c:pt idx="15">
                  <c:v>0.52849999999999997</c:v>
                </c:pt>
              </c:numCache>
            </c:numRef>
          </c:val>
          <c:smooth val="0"/>
          <c:extLst>
            <c:ext xmlns:c16="http://schemas.microsoft.com/office/drawing/2014/chart" uri="{C3380CC4-5D6E-409C-BE32-E72D297353CC}">
              <c16:uniqueId val="{00000000-AA53-4EAF-B9CA-33DC3FC665A0}"/>
            </c:ext>
          </c:extLst>
        </c:ser>
        <c:ser>
          <c:idx val="1"/>
          <c:order val="1"/>
          <c:tx>
            <c:strRef>
              <c:f>Conductance!$A$24</c:f>
              <c:strCache>
                <c:ptCount val="1"/>
                <c:pt idx="0">
                  <c:v>Site 41- BC Outlet</c:v>
                </c:pt>
              </c:strCache>
            </c:strRef>
          </c:tx>
          <c:val>
            <c:numRef>
              <c:f>Conductance!$B$37:$Q$37</c:f>
              <c:numCache>
                <c:formatCode>0.000</c:formatCode>
                <c:ptCount val="16"/>
                <c:pt idx="0">
                  <c:v>0.41</c:v>
                </c:pt>
                <c:pt idx="1">
                  <c:v>0.43875000000000003</c:v>
                </c:pt>
                <c:pt idx="2">
                  <c:v>0.56999999999999995</c:v>
                </c:pt>
                <c:pt idx="3">
                  <c:v>0.64</c:v>
                </c:pt>
                <c:pt idx="4">
                  <c:v>0.66</c:v>
                </c:pt>
                <c:pt idx="5">
                  <c:v>0.67</c:v>
                </c:pt>
                <c:pt idx="6">
                  <c:v>0.65</c:v>
                </c:pt>
                <c:pt idx="7">
                  <c:v>0.65</c:v>
                </c:pt>
                <c:pt idx="8">
                  <c:v>0.55000000000000004</c:v>
                </c:pt>
                <c:pt idx="9">
                  <c:v>0.52625</c:v>
                </c:pt>
                <c:pt idx="10">
                  <c:v>0.53200000000000003</c:v>
                </c:pt>
                <c:pt idx="11">
                  <c:v>0.51424999999999998</c:v>
                </c:pt>
                <c:pt idx="12">
                  <c:v>0.49975000000000003</c:v>
                </c:pt>
                <c:pt idx="13">
                  <c:v>0.49124999999999996</c:v>
                </c:pt>
                <c:pt idx="14">
                  <c:v>0.50700000000000001</c:v>
                </c:pt>
              </c:numCache>
            </c:numRef>
          </c:val>
          <c:smooth val="0"/>
          <c:extLst>
            <c:ext xmlns:c16="http://schemas.microsoft.com/office/drawing/2014/chart" uri="{C3380CC4-5D6E-409C-BE32-E72D297353CC}">
              <c16:uniqueId val="{00000001-AA53-4EAF-B9CA-33DC3FC665A0}"/>
            </c:ext>
          </c:extLst>
        </c:ser>
        <c:ser>
          <c:idx val="2"/>
          <c:order val="2"/>
          <c:tx>
            <c:strRef>
              <c:f>Conductance!$A$39</c:f>
              <c:strCache>
                <c:ptCount val="1"/>
                <c:pt idx="0">
                  <c:v>Site 42 - South Dam</c:v>
                </c:pt>
              </c:strCache>
            </c:strRef>
          </c:tx>
          <c:val>
            <c:numRef>
              <c:f>Conductance!$B$50:$Q$50</c:f>
              <c:numCache>
                <c:formatCode>0.000</c:formatCode>
                <c:ptCount val="16"/>
                <c:pt idx="0">
                  <c:v>0.40725</c:v>
                </c:pt>
                <c:pt idx="1">
                  <c:v>0.43574999999999997</c:v>
                </c:pt>
                <c:pt idx="2">
                  <c:v>0.58325000000000005</c:v>
                </c:pt>
                <c:pt idx="3">
                  <c:v>0.63775000000000004</c:v>
                </c:pt>
                <c:pt idx="4">
                  <c:v>0.66</c:v>
                </c:pt>
                <c:pt idx="5">
                  <c:v>0.67</c:v>
                </c:pt>
                <c:pt idx="6">
                  <c:v>0.66</c:v>
                </c:pt>
                <c:pt idx="7">
                  <c:v>0.65</c:v>
                </c:pt>
                <c:pt idx="8">
                  <c:v>0.55000000000000004</c:v>
                </c:pt>
                <c:pt idx="9">
                  <c:v>0.52600000000000002</c:v>
                </c:pt>
                <c:pt idx="10">
                  <c:v>0.53100000000000003</c:v>
                </c:pt>
                <c:pt idx="11">
                  <c:v>0.51400000000000001</c:v>
                </c:pt>
                <c:pt idx="12">
                  <c:v>0.498</c:v>
                </c:pt>
                <c:pt idx="13">
                  <c:v>0.49124999999999996</c:v>
                </c:pt>
                <c:pt idx="14">
                  <c:v>0.50600000000000001</c:v>
                </c:pt>
              </c:numCache>
            </c:numRef>
          </c:val>
          <c:smooth val="0"/>
          <c:extLst>
            <c:ext xmlns:c16="http://schemas.microsoft.com/office/drawing/2014/chart" uri="{C3380CC4-5D6E-409C-BE32-E72D297353CC}">
              <c16:uniqueId val="{00000002-AA53-4EAF-B9CA-33DC3FC665A0}"/>
            </c:ext>
          </c:extLst>
        </c:ser>
        <c:ser>
          <c:idx val="3"/>
          <c:order val="3"/>
          <c:tx>
            <c:strRef>
              <c:f>Conductance!$A$52</c:f>
              <c:strCache>
                <c:ptCount val="1"/>
                <c:pt idx="0">
                  <c:v>Site 43 - TC Inlet</c:v>
                </c:pt>
              </c:strCache>
            </c:strRef>
          </c:tx>
          <c:val>
            <c:numRef>
              <c:f>Conductance!$B$61:$Q$61</c:f>
              <c:numCache>
                <c:formatCode>0.000</c:formatCode>
                <c:ptCount val="16"/>
                <c:pt idx="0">
                  <c:v>0.40450000000000003</c:v>
                </c:pt>
                <c:pt idx="1">
                  <c:v>0.44324999999999998</c:v>
                </c:pt>
                <c:pt idx="2">
                  <c:v>0.59624999999999995</c:v>
                </c:pt>
                <c:pt idx="3">
                  <c:v>0.65750000000000008</c:v>
                </c:pt>
                <c:pt idx="4">
                  <c:v>0.66500000000000004</c:v>
                </c:pt>
                <c:pt idx="5">
                  <c:v>0.6925</c:v>
                </c:pt>
                <c:pt idx="6">
                  <c:v>0.66</c:v>
                </c:pt>
                <c:pt idx="7">
                  <c:v>0.65</c:v>
                </c:pt>
                <c:pt idx="8">
                  <c:v>0.55000000000000004</c:v>
                </c:pt>
                <c:pt idx="9">
                  <c:v>0.52600000000000002</c:v>
                </c:pt>
                <c:pt idx="10">
                  <c:v>0.53100000000000003</c:v>
                </c:pt>
                <c:pt idx="11">
                  <c:v>0.51375000000000004</c:v>
                </c:pt>
                <c:pt idx="12">
                  <c:v>0.50050000000000006</c:v>
                </c:pt>
                <c:pt idx="13">
                  <c:v>0.49324999999999997</c:v>
                </c:pt>
                <c:pt idx="14">
                  <c:v>0.50900000000000012</c:v>
                </c:pt>
                <c:pt idx="15">
                  <c:v>0.53266666666666662</c:v>
                </c:pt>
              </c:numCache>
            </c:numRef>
          </c:val>
          <c:smooth val="0"/>
          <c:extLst>
            <c:ext xmlns:c16="http://schemas.microsoft.com/office/drawing/2014/chart" uri="{C3380CC4-5D6E-409C-BE32-E72D297353CC}">
              <c16:uniqueId val="{00000003-AA53-4EAF-B9CA-33DC3FC665A0}"/>
            </c:ext>
          </c:extLst>
        </c:ser>
        <c:ser>
          <c:idx val="4"/>
          <c:order val="4"/>
          <c:tx>
            <c:strRef>
              <c:f>Conductance!$A$63</c:f>
              <c:strCache>
                <c:ptCount val="1"/>
                <c:pt idx="0">
                  <c:v>Site 44 - BC Inlet</c:v>
                </c:pt>
              </c:strCache>
            </c:strRef>
          </c:tx>
          <c:val>
            <c:numRef>
              <c:f>Conductance!$B$74:$Q$74</c:f>
              <c:numCache>
                <c:formatCode>0.000</c:formatCode>
                <c:ptCount val="16"/>
                <c:pt idx="0">
                  <c:v>0.40700000000000003</c:v>
                </c:pt>
                <c:pt idx="1">
                  <c:v>0.43524999999999997</c:v>
                </c:pt>
                <c:pt idx="2">
                  <c:v>0.57599999999999996</c:v>
                </c:pt>
                <c:pt idx="3">
                  <c:v>0.64250000000000007</c:v>
                </c:pt>
                <c:pt idx="4">
                  <c:v>0.66</c:v>
                </c:pt>
                <c:pt idx="5">
                  <c:v>0.66500000000000004</c:v>
                </c:pt>
                <c:pt idx="6">
                  <c:v>0.66</c:v>
                </c:pt>
                <c:pt idx="7">
                  <c:v>0.65</c:v>
                </c:pt>
                <c:pt idx="8">
                  <c:v>0.55000000000000004</c:v>
                </c:pt>
                <c:pt idx="9">
                  <c:v>0.52600000000000002</c:v>
                </c:pt>
                <c:pt idx="10">
                  <c:v>0.53125</c:v>
                </c:pt>
                <c:pt idx="11">
                  <c:v>0.51375000000000004</c:v>
                </c:pt>
                <c:pt idx="12">
                  <c:v>0.497</c:v>
                </c:pt>
                <c:pt idx="13">
                  <c:v>0.49</c:v>
                </c:pt>
                <c:pt idx="14">
                  <c:v>0.50150000000000006</c:v>
                </c:pt>
                <c:pt idx="15">
                  <c:v>0.52849999999999997</c:v>
                </c:pt>
              </c:numCache>
            </c:numRef>
          </c:val>
          <c:smooth val="0"/>
          <c:extLst>
            <c:ext xmlns:c16="http://schemas.microsoft.com/office/drawing/2014/chart" uri="{C3380CC4-5D6E-409C-BE32-E72D297353CC}">
              <c16:uniqueId val="{00000004-AA53-4EAF-B9CA-33DC3FC665A0}"/>
            </c:ext>
          </c:extLst>
        </c:ser>
        <c:dLbls>
          <c:showLegendKey val="0"/>
          <c:showVal val="0"/>
          <c:showCatName val="0"/>
          <c:showSerName val="0"/>
          <c:showPercent val="0"/>
          <c:showBubbleSize val="0"/>
        </c:dLbls>
        <c:marker val="1"/>
        <c:smooth val="0"/>
        <c:axId val="134175744"/>
        <c:axId val="134181632"/>
      </c:lineChart>
      <c:dateAx>
        <c:axId val="134175744"/>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a:pPr>
            <a:endParaRPr lang="en-US"/>
          </a:p>
        </c:txPr>
        <c:crossAx val="134181632"/>
        <c:crosses val="autoZero"/>
        <c:auto val="1"/>
        <c:lblOffset val="100"/>
        <c:baseTimeUnit val="days"/>
        <c:majorUnit val="30"/>
        <c:majorTimeUnit val="days"/>
        <c:minorUnit val="15"/>
        <c:minorTimeUnit val="days"/>
      </c:dateAx>
      <c:valAx>
        <c:axId val="134181632"/>
        <c:scaling>
          <c:orientation val="minMax"/>
        </c:scaling>
        <c:delete val="0"/>
        <c:axPos val="l"/>
        <c:majorGridlines>
          <c:spPr>
            <a:ln w="3175">
              <a:solidFill>
                <a:srgbClr val="000000"/>
              </a:solidFill>
              <a:prstDash val="solid"/>
            </a:ln>
          </c:spPr>
        </c:majorGridlines>
        <c:minorGridlines/>
        <c:title>
          <c:tx>
            <c:rich>
              <a:bodyPr/>
              <a:lstStyle/>
              <a:p>
                <a:pPr>
                  <a:defRPr/>
                </a:pPr>
                <a:r>
                  <a:rPr lang="en-US"/>
                  <a:t>Speciic Conductance uS/cm</a:t>
                </a:r>
              </a:p>
            </c:rich>
          </c:tx>
          <c:layout>
            <c:manualLayout>
              <c:xMode val="edge"/>
              <c:yMode val="edge"/>
              <c:x val="2.2598841811440236E-2"/>
              <c:y val="0.28758272862952627"/>
            </c:manualLayout>
          </c:layout>
          <c:overlay val="0"/>
          <c:spPr>
            <a:noFill/>
            <a:ln w="25400">
              <a:noFill/>
            </a:ln>
          </c:spPr>
        </c:title>
        <c:numFmt formatCode="0.000" sourceLinked="1"/>
        <c:majorTickMark val="out"/>
        <c:minorTickMark val="none"/>
        <c:tickLblPos val="nextTo"/>
        <c:spPr>
          <a:ln w="3175">
            <a:solidFill>
              <a:srgbClr val="000000"/>
            </a:solidFill>
            <a:prstDash val="solid"/>
          </a:ln>
        </c:spPr>
        <c:txPr>
          <a:bodyPr rot="0" vert="horz"/>
          <a:lstStyle/>
          <a:p>
            <a:pPr>
              <a:defRPr/>
            </a:pPr>
            <a:endParaRPr lang="en-US"/>
          </a:p>
        </c:txPr>
        <c:crossAx val="134175744"/>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t"/>
      <c:layout>
        <c:manualLayout>
          <c:xMode val="edge"/>
          <c:yMode val="edge"/>
          <c:x val="0.27028555186045128"/>
          <c:y val="0.51206173445336101"/>
          <c:w val="0.21324792909979448"/>
          <c:h val="0.28418673807396155"/>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prstDash val="solid"/>
        </a:ln>
      </c:spPr>
      <c:txPr>
        <a:bodyPr/>
        <a:lstStyle/>
        <a:p>
          <a:pPr>
            <a:defRPr sz="1050"/>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2012 Watershed Specific Conductance Trends</a:t>
            </a:r>
          </a:p>
        </c:rich>
      </c:tx>
      <c:layout>
        <c:manualLayout>
          <c:xMode val="edge"/>
          <c:yMode val="edge"/>
          <c:x val="0.34438502673797688"/>
          <c:y val="3.7288135593222492E-2"/>
        </c:manualLayout>
      </c:layout>
      <c:overlay val="0"/>
      <c:spPr>
        <a:noFill/>
        <a:ln w="25400">
          <a:noFill/>
        </a:ln>
      </c:spPr>
    </c:title>
    <c:autoTitleDeleted val="0"/>
    <c:plotArea>
      <c:layout>
        <c:manualLayout>
          <c:layoutTarget val="inner"/>
          <c:xMode val="edge"/>
          <c:yMode val="edge"/>
          <c:x val="0.11836750420852493"/>
          <c:y val="0.17966131432288521"/>
          <c:w val="0.82176979933274752"/>
          <c:h val="0.64745869878624651"/>
        </c:manualLayout>
      </c:layout>
      <c:lineChart>
        <c:grouping val="standard"/>
        <c:varyColors val="0"/>
        <c:ser>
          <c:idx val="0"/>
          <c:order val="0"/>
          <c:tx>
            <c:strRef>
              <c:f>Conductance!$A$5</c:f>
              <c:strCache>
                <c:ptCount val="1"/>
                <c:pt idx="0">
                  <c:v>45-Bear Creek Discharge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Conductance!$B$2:$Q$2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Conductance!$B$5:$Q$5</c:f>
              <c:numCache>
                <c:formatCode>General</c:formatCode>
                <c:ptCount val="16"/>
                <c:pt idx="0">
                  <c:v>0.41</c:v>
                </c:pt>
                <c:pt idx="1">
                  <c:v>0.439</c:v>
                </c:pt>
                <c:pt idx="2">
                  <c:v>0.56799999999999995</c:v>
                </c:pt>
                <c:pt idx="3">
                  <c:v>0.64</c:v>
                </c:pt>
                <c:pt idx="4">
                  <c:v>0.66100000000000003</c:v>
                </c:pt>
                <c:pt idx="5">
                  <c:v>0.69</c:v>
                </c:pt>
                <c:pt idx="6">
                  <c:v>0.66</c:v>
                </c:pt>
                <c:pt idx="7">
                  <c:v>0.66</c:v>
                </c:pt>
                <c:pt idx="8">
                  <c:v>0.55000000000000004</c:v>
                </c:pt>
                <c:pt idx="9">
                  <c:v>0.54</c:v>
                </c:pt>
                <c:pt idx="10">
                  <c:v>0.53</c:v>
                </c:pt>
                <c:pt idx="11">
                  <c:v>0.51100000000000001</c:v>
                </c:pt>
                <c:pt idx="13">
                  <c:v>0.497</c:v>
                </c:pt>
                <c:pt idx="14">
                  <c:v>0.51200000000000001</c:v>
                </c:pt>
                <c:pt idx="15">
                  <c:v>0.53400000000000003</c:v>
                </c:pt>
              </c:numCache>
            </c:numRef>
          </c:val>
          <c:smooth val="0"/>
          <c:extLst>
            <c:ext xmlns:c16="http://schemas.microsoft.com/office/drawing/2014/chart" uri="{C3380CC4-5D6E-409C-BE32-E72D297353CC}">
              <c16:uniqueId val="{00000000-A8EA-4920-B2CF-C02B7E3D3FC1}"/>
            </c:ext>
          </c:extLst>
        </c:ser>
        <c:ser>
          <c:idx val="1"/>
          <c:order val="1"/>
          <c:tx>
            <c:strRef>
              <c:f>Conductance!$A$3</c:f>
              <c:strCache>
                <c:ptCount val="1"/>
                <c:pt idx="0">
                  <c:v>16a-Turkey Creek Inflow</c:v>
                </c:pt>
              </c:strCache>
            </c:strRef>
          </c:tx>
          <c:cat>
            <c:numRef>
              <c:f>Conductance!$B$2:$Q$2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Conductance!$B$3:$Q$3</c:f>
              <c:numCache>
                <c:formatCode>General</c:formatCode>
                <c:ptCount val="16"/>
                <c:pt idx="0">
                  <c:v>1.65</c:v>
                </c:pt>
                <c:pt idx="1">
                  <c:v>1.67</c:v>
                </c:pt>
                <c:pt idx="2">
                  <c:v>1.31</c:v>
                </c:pt>
                <c:pt idx="3">
                  <c:v>1.47</c:v>
                </c:pt>
                <c:pt idx="4">
                  <c:v>1.34</c:v>
                </c:pt>
                <c:pt idx="5">
                  <c:v>1.31</c:v>
                </c:pt>
                <c:pt idx="6">
                  <c:v>0.99</c:v>
                </c:pt>
                <c:pt idx="7">
                  <c:v>1.19</c:v>
                </c:pt>
                <c:pt idx="8">
                  <c:v>2.21</c:v>
                </c:pt>
                <c:pt idx="9">
                  <c:v>2.25</c:v>
                </c:pt>
                <c:pt idx="10">
                  <c:v>2.2999999999999998</c:v>
                </c:pt>
                <c:pt idx="11">
                  <c:v>0.86</c:v>
                </c:pt>
                <c:pt idx="13">
                  <c:v>1.75</c:v>
                </c:pt>
                <c:pt idx="14">
                  <c:v>2.11</c:v>
                </c:pt>
                <c:pt idx="15">
                  <c:v>2.11</c:v>
                </c:pt>
              </c:numCache>
            </c:numRef>
          </c:val>
          <c:smooth val="0"/>
          <c:extLst>
            <c:ext xmlns:c16="http://schemas.microsoft.com/office/drawing/2014/chart" uri="{C3380CC4-5D6E-409C-BE32-E72D297353CC}">
              <c16:uniqueId val="{00000001-A8EA-4920-B2CF-C02B7E3D3FC1}"/>
            </c:ext>
          </c:extLst>
        </c:ser>
        <c:ser>
          <c:idx val="2"/>
          <c:order val="2"/>
          <c:tx>
            <c:strRef>
              <c:f>Conductance!$A$4</c:f>
              <c:strCache>
                <c:ptCount val="1"/>
                <c:pt idx="0">
                  <c:v>15a-Bear Creek Inflow</c:v>
                </c:pt>
              </c:strCache>
            </c:strRef>
          </c:tx>
          <c:val>
            <c:numRef>
              <c:f>Conductance!$B$4:$Q$4</c:f>
              <c:numCache>
                <c:formatCode>General</c:formatCode>
                <c:ptCount val="16"/>
                <c:pt idx="0">
                  <c:v>0.34300000000000003</c:v>
                </c:pt>
                <c:pt idx="1">
                  <c:v>0.48099999999999998</c:v>
                </c:pt>
                <c:pt idx="2">
                  <c:v>0.33900000000000002</c:v>
                </c:pt>
                <c:pt idx="3">
                  <c:v>0.40400000000000003</c:v>
                </c:pt>
                <c:pt idx="4">
                  <c:v>0.31</c:v>
                </c:pt>
                <c:pt idx="5">
                  <c:v>0.42099999999999999</c:v>
                </c:pt>
                <c:pt idx="6">
                  <c:v>0.23</c:v>
                </c:pt>
                <c:pt idx="7">
                  <c:v>0.36</c:v>
                </c:pt>
                <c:pt idx="8">
                  <c:v>0.16400000000000001</c:v>
                </c:pt>
                <c:pt idx="9">
                  <c:v>0.16900000000000001</c:v>
                </c:pt>
                <c:pt idx="10">
                  <c:v>0.21099999999999999</c:v>
                </c:pt>
                <c:pt idx="11">
                  <c:v>0.29699999999999999</c:v>
                </c:pt>
                <c:pt idx="13">
                  <c:v>0.20200000000000001</c:v>
                </c:pt>
                <c:pt idx="14">
                  <c:v>0.30399999999999999</c:v>
                </c:pt>
                <c:pt idx="15">
                  <c:v>0.32200000000000001</c:v>
                </c:pt>
              </c:numCache>
            </c:numRef>
          </c:val>
          <c:smooth val="0"/>
          <c:extLst>
            <c:ext xmlns:c16="http://schemas.microsoft.com/office/drawing/2014/chart" uri="{C3380CC4-5D6E-409C-BE32-E72D297353CC}">
              <c16:uniqueId val="{00000002-A8EA-4920-B2CF-C02B7E3D3FC1}"/>
            </c:ext>
          </c:extLst>
        </c:ser>
        <c:ser>
          <c:idx val="3"/>
          <c:order val="3"/>
          <c:tx>
            <c:strRef>
              <c:f>Conductance!$A$23</c:f>
              <c:strCache>
                <c:ptCount val="1"/>
                <c:pt idx="0">
                  <c:v>BCR Site 40 Profile Average</c:v>
                </c:pt>
              </c:strCache>
            </c:strRef>
          </c:tx>
          <c:val>
            <c:numRef>
              <c:f>Conductance!$B$23:$Q$23</c:f>
              <c:numCache>
                <c:formatCode>0.000</c:formatCode>
                <c:ptCount val="16"/>
                <c:pt idx="0">
                  <c:v>0.51745714285714273</c:v>
                </c:pt>
                <c:pt idx="1">
                  <c:v>0.61040000000000005</c:v>
                </c:pt>
                <c:pt idx="2">
                  <c:v>0.59133333333333327</c:v>
                </c:pt>
                <c:pt idx="3">
                  <c:v>0.64040000000000008</c:v>
                </c:pt>
                <c:pt idx="4">
                  <c:v>0.65760000000000007</c:v>
                </c:pt>
                <c:pt idx="5">
                  <c:v>0.67171428571428571</c:v>
                </c:pt>
                <c:pt idx="6">
                  <c:v>0.64533333333333343</c:v>
                </c:pt>
                <c:pt idx="7">
                  <c:v>0.65000000000000013</c:v>
                </c:pt>
                <c:pt idx="8">
                  <c:v>0.54857142857142849</c:v>
                </c:pt>
                <c:pt idx="9">
                  <c:v>0.52523076923076928</c:v>
                </c:pt>
                <c:pt idx="10">
                  <c:v>0.53130769230769226</c:v>
                </c:pt>
                <c:pt idx="11">
                  <c:v>0.51535714285714274</c:v>
                </c:pt>
                <c:pt idx="12">
                  <c:v>0.49628571428571416</c:v>
                </c:pt>
                <c:pt idx="13">
                  <c:v>0.49107142857142866</c:v>
                </c:pt>
                <c:pt idx="14">
                  <c:v>0.53085714285714281</c:v>
                </c:pt>
                <c:pt idx="15">
                  <c:v>0.54814285714285715</c:v>
                </c:pt>
              </c:numCache>
            </c:numRef>
          </c:val>
          <c:smooth val="0"/>
          <c:extLst>
            <c:ext xmlns:c16="http://schemas.microsoft.com/office/drawing/2014/chart" uri="{C3380CC4-5D6E-409C-BE32-E72D297353CC}">
              <c16:uniqueId val="{00000003-A8EA-4920-B2CF-C02B7E3D3FC1}"/>
            </c:ext>
          </c:extLst>
        </c:ser>
        <c:dLbls>
          <c:showLegendKey val="0"/>
          <c:showVal val="0"/>
          <c:showCatName val="0"/>
          <c:showSerName val="0"/>
          <c:showPercent val="0"/>
          <c:showBubbleSize val="0"/>
        </c:dLbls>
        <c:marker val="1"/>
        <c:smooth val="0"/>
        <c:axId val="134323200"/>
        <c:axId val="134329088"/>
      </c:lineChart>
      <c:dateAx>
        <c:axId val="134323200"/>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329088"/>
        <c:crosses val="autoZero"/>
        <c:auto val="1"/>
        <c:lblOffset val="100"/>
        <c:baseTimeUnit val="days"/>
        <c:majorUnit val="31"/>
        <c:majorTimeUnit val="days"/>
        <c:minorUnit val="1"/>
        <c:minorTimeUnit val="days"/>
      </c:dateAx>
      <c:valAx>
        <c:axId val="134329088"/>
        <c:scaling>
          <c:orientation val="minMax"/>
        </c:scaling>
        <c:delete val="0"/>
        <c:axPos val="l"/>
        <c:majorGridlines>
          <c:spPr>
            <a:ln w="3175">
              <a:solidFill>
                <a:srgbClr val="000000"/>
              </a:solidFill>
              <a:prstDash val="solid"/>
            </a:ln>
          </c:spPr>
        </c:majorGridlines>
        <c:minorGridlines/>
        <c:title>
          <c:tx>
            <c:rich>
              <a:bodyPr/>
              <a:lstStyle/>
              <a:p>
                <a:pPr>
                  <a:defRPr sz="975" b="1" i="0" u="none" strike="noStrike" baseline="0">
                    <a:solidFill>
                      <a:srgbClr val="000000"/>
                    </a:solidFill>
                    <a:latin typeface="Arial"/>
                    <a:ea typeface="Arial"/>
                    <a:cs typeface="Arial"/>
                  </a:defRPr>
                </a:pPr>
                <a:r>
                  <a:rPr lang="en-US"/>
                  <a:t>Specific Conducatnace uS/cm</a:t>
                </a:r>
              </a:p>
            </c:rich>
          </c:tx>
          <c:layout>
            <c:manualLayout>
              <c:xMode val="edge"/>
              <c:yMode val="edge"/>
              <c:x val="3.5374064872906931E-2"/>
              <c:y val="0.1728817118199207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432320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t"/>
      <c:layout>
        <c:manualLayout>
          <c:xMode val="edge"/>
          <c:yMode val="edge"/>
          <c:x val="0.16559637088952142"/>
          <c:y val="0.12012326394423495"/>
          <c:w val="0.31913205842959153"/>
          <c:h val="0.1893846366370197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0">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1" i="0" u="none" strike="noStrike" baseline="0">
                <a:solidFill>
                  <a:srgbClr val="000000"/>
                </a:solidFill>
                <a:latin typeface="Arial"/>
                <a:ea typeface="Arial"/>
                <a:cs typeface="Arial"/>
              </a:defRPr>
            </a:pPr>
            <a:r>
              <a:rPr lang="en-US"/>
              <a:t>Bear Creek Watershed pH Trends</a:t>
            </a:r>
          </a:p>
        </c:rich>
      </c:tx>
      <c:layout>
        <c:manualLayout>
          <c:xMode val="edge"/>
          <c:yMode val="edge"/>
          <c:x val="0.32092426187424972"/>
          <c:y val="3.1331592689296812E-2"/>
        </c:manualLayout>
      </c:layout>
      <c:overlay val="0"/>
      <c:spPr>
        <a:noFill/>
        <a:ln w="25400">
          <a:noFill/>
        </a:ln>
      </c:spPr>
    </c:title>
    <c:autoTitleDeleted val="0"/>
    <c:plotArea>
      <c:layout>
        <c:manualLayout>
          <c:layoutTarget val="inner"/>
          <c:xMode val="edge"/>
          <c:yMode val="edge"/>
          <c:x val="8.1914936167582567E-2"/>
          <c:y val="9.9270108301308752E-2"/>
          <c:w val="0.8941575931463015"/>
          <c:h val="0.76757061084090061"/>
        </c:manualLayout>
      </c:layout>
      <c:lineChart>
        <c:grouping val="standard"/>
        <c:varyColors val="0"/>
        <c:ser>
          <c:idx val="2"/>
          <c:order val="0"/>
          <c:tx>
            <c:strRef>
              <c:f>pH!$A$5</c:f>
              <c:strCache>
                <c:ptCount val="1"/>
                <c:pt idx="0">
                  <c:v>45-Bear Creek Discharge</c:v>
                </c:pt>
              </c:strCache>
            </c:strRef>
          </c:tx>
          <c:spPr>
            <a:ln w="31750">
              <a:solidFill>
                <a:srgbClr val="FF0000"/>
              </a:solidFill>
              <a:prstDash val="solid"/>
            </a:ln>
          </c:spPr>
          <c:marker>
            <c:symbol val="triangle"/>
            <c:size val="7"/>
            <c:spPr>
              <a:solidFill>
                <a:srgbClr val="FFFF00"/>
              </a:solidFill>
              <a:ln>
                <a:solidFill>
                  <a:srgbClr val="FFFF00"/>
                </a:solidFill>
                <a:prstDash val="solid"/>
              </a:ln>
            </c:spPr>
          </c:marker>
          <c:cat>
            <c:numRef>
              <c:f>pH!$B$2:$Q$2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pH!$B$5:$Q$5</c:f>
              <c:numCache>
                <c:formatCode>General</c:formatCode>
                <c:ptCount val="16"/>
                <c:pt idx="0">
                  <c:v>8.11</c:v>
                </c:pt>
                <c:pt idx="1">
                  <c:v>8.27</c:v>
                </c:pt>
                <c:pt idx="2">
                  <c:v>8.33</c:v>
                </c:pt>
                <c:pt idx="3">
                  <c:v>8.48</c:v>
                </c:pt>
                <c:pt idx="4">
                  <c:v>8.41</c:v>
                </c:pt>
                <c:pt idx="5">
                  <c:v>8.2799999999999994</c:v>
                </c:pt>
                <c:pt idx="6">
                  <c:v>7.98</c:v>
                </c:pt>
                <c:pt idx="7">
                  <c:v>8.6</c:v>
                </c:pt>
                <c:pt idx="8">
                  <c:v>8.39</c:v>
                </c:pt>
                <c:pt idx="9">
                  <c:v>8.81</c:v>
                </c:pt>
                <c:pt idx="10">
                  <c:v>8.2799999999999994</c:v>
                </c:pt>
                <c:pt idx="11">
                  <c:v>8.26</c:v>
                </c:pt>
                <c:pt idx="13">
                  <c:v>8.7799999999999994</c:v>
                </c:pt>
                <c:pt idx="14">
                  <c:v>8.6199999999999992</c:v>
                </c:pt>
                <c:pt idx="15">
                  <c:v>8.61</c:v>
                </c:pt>
              </c:numCache>
            </c:numRef>
          </c:val>
          <c:smooth val="0"/>
          <c:extLst>
            <c:ext xmlns:c16="http://schemas.microsoft.com/office/drawing/2014/chart" uri="{C3380CC4-5D6E-409C-BE32-E72D297353CC}">
              <c16:uniqueId val="{00000000-9BA4-41FA-B547-815CF09C03CA}"/>
            </c:ext>
          </c:extLst>
        </c:ser>
        <c:ser>
          <c:idx val="3"/>
          <c:order val="1"/>
          <c:tx>
            <c:strRef>
              <c:f>pH!$A$23</c:f>
              <c:strCache>
                <c:ptCount val="1"/>
                <c:pt idx="0">
                  <c:v>BCR Site 40 Profile Average</c:v>
                </c:pt>
              </c:strCache>
            </c:strRef>
          </c:tx>
          <c:spPr>
            <a:ln w="38100">
              <a:solidFill>
                <a:srgbClr val="00FFFF"/>
              </a:solidFill>
              <a:prstDash val="solid"/>
            </a:ln>
          </c:spPr>
          <c:marker>
            <c:symbol val="x"/>
            <c:size val="9"/>
            <c:spPr>
              <a:noFill/>
              <a:ln>
                <a:solidFill>
                  <a:srgbClr val="00FFFF"/>
                </a:solidFill>
                <a:prstDash val="solid"/>
              </a:ln>
            </c:spPr>
          </c:marker>
          <c:cat>
            <c:numRef>
              <c:f>pH!$B$2:$Q$2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pH!$B$23:$Q$23</c:f>
              <c:numCache>
                <c:formatCode>0.00</c:formatCode>
                <c:ptCount val="16"/>
                <c:pt idx="0">
                  <c:v>7.6414285714285715</c:v>
                </c:pt>
                <c:pt idx="1">
                  <c:v>7.67</c:v>
                </c:pt>
                <c:pt idx="2">
                  <c:v>7.8673333333333337</c:v>
                </c:pt>
                <c:pt idx="3">
                  <c:v>8.1986666666666697</c:v>
                </c:pt>
                <c:pt idx="4">
                  <c:v>8.1233333333333313</c:v>
                </c:pt>
                <c:pt idx="5">
                  <c:v>8.6800000000000015</c:v>
                </c:pt>
                <c:pt idx="6">
                  <c:v>8.4540000000000006</c:v>
                </c:pt>
                <c:pt idx="7">
                  <c:v>8.6907142857142841</c:v>
                </c:pt>
                <c:pt idx="8">
                  <c:v>8.6457142857142841</c:v>
                </c:pt>
                <c:pt idx="9">
                  <c:v>9.2030769230769227</c:v>
                </c:pt>
                <c:pt idx="10">
                  <c:v>8.3438461538461546</c:v>
                </c:pt>
                <c:pt idx="11">
                  <c:v>8.7164285714285725</c:v>
                </c:pt>
                <c:pt idx="12">
                  <c:v>8.879999999999999</c:v>
                </c:pt>
                <c:pt idx="13">
                  <c:v>9.1407142857142869</c:v>
                </c:pt>
                <c:pt idx="14">
                  <c:v>9.1142857142857139</c:v>
                </c:pt>
                <c:pt idx="15">
                  <c:v>8.9550000000000001</c:v>
                </c:pt>
              </c:numCache>
            </c:numRef>
          </c:val>
          <c:smooth val="0"/>
          <c:extLst>
            <c:ext xmlns:c16="http://schemas.microsoft.com/office/drawing/2014/chart" uri="{C3380CC4-5D6E-409C-BE32-E72D297353CC}">
              <c16:uniqueId val="{00000001-9BA4-41FA-B547-815CF09C03CA}"/>
            </c:ext>
          </c:extLst>
        </c:ser>
        <c:ser>
          <c:idx val="4"/>
          <c:order val="2"/>
          <c:tx>
            <c:strRef>
              <c:f>pH!$A$4</c:f>
              <c:strCache>
                <c:ptCount val="1"/>
                <c:pt idx="0">
                  <c:v>15a-Bear Creek Inflow</c:v>
                </c:pt>
              </c:strCache>
            </c:strRef>
          </c:tx>
          <c:spPr>
            <a:ln w="25400">
              <a:solidFill>
                <a:srgbClr val="800080"/>
              </a:solidFill>
              <a:prstDash val="solid"/>
            </a:ln>
          </c:spPr>
          <c:marker>
            <c:symbol val="star"/>
            <c:size val="7"/>
            <c:spPr>
              <a:noFill/>
              <a:ln>
                <a:solidFill>
                  <a:srgbClr val="800080"/>
                </a:solidFill>
                <a:prstDash val="solid"/>
              </a:ln>
            </c:spPr>
          </c:marker>
          <c:cat>
            <c:numRef>
              <c:f>pH!$B$2:$Q$2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pH!$B$4:$Q$4</c:f>
              <c:numCache>
                <c:formatCode>General</c:formatCode>
                <c:ptCount val="16"/>
                <c:pt idx="0">
                  <c:v>7.78</c:v>
                </c:pt>
                <c:pt idx="1">
                  <c:v>7.96</c:v>
                </c:pt>
                <c:pt idx="2">
                  <c:v>8.56</c:v>
                </c:pt>
                <c:pt idx="3">
                  <c:v>7.76</c:v>
                </c:pt>
                <c:pt idx="4">
                  <c:v>7.76</c:v>
                </c:pt>
                <c:pt idx="5">
                  <c:v>7.8</c:v>
                </c:pt>
                <c:pt idx="6">
                  <c:v>7.89</c:v>
                </c:pt>
                <c:pt idx="7">
                  <c:v>8.09</c:v>
                </c:pt>
                <c:pt idx="8">
                  <c:v>8.75</c:v>
                </c:pt>
                <c:pt idx="9">
                  <c:v>8.81</c:v>
                </c:pt>
                <c:pt idx="10">
                  <c:v>8.16</c:v>
                </c:pt>
                <c:pt idx="11">
                  <c:v>7.69</c:v>
                </c:pt>
                <c:pt idx="13">
                  <c:v>8.43</c:v>
                </c:pt>
                <c:pt idx="14">
                  <c:v>8.41</c:v>
                </c:pt>
                <c:pt idx="15">
                  <c:v>8.7899999999999991</c:v>
                </c:pt>
              </c:numCache>
            </c:numRef>
          </c:val>
          <c:smooth val="0"/>
          <c:extLst>
            <c:ext xmlns:c16="http://schemas.microsoft.com/office/drawing/2014/chart" uri="{C3380CC4-5D6E-409C-BE32-E72D297353CC}">
              <c16:uniqueId val="{00000002-9BA4-41FA-B547-815CF09C03CA}"/>
            </c:ext>
          </c:extLst>
        </c:ser>
        <c:ser>
          <c:idx val="0"/>
          <c:order val="3"/>
          <c:tx>
            <c:strRef>
              <c:f>pH!$A$3</c:f>
              <c:strCache>
                <c:ptCount val="1"/>
                <c:pt idx="0">
                  <c:v>16a-Turkey Creek Inflow</c:v>
                </c:pt>
              </c:strCache>
            </c:strRef>
          </c:tx>
          <c:val>
            <c:numRef>
              <c:f>pH!$B$3:$Q$3</c:f>
              <c:numCache>
                <c:formatCode>General</c:formatCode>
                <c:ptCount val="16"/>
                <c:pt idx="0">
                  <c:v>8.32</c:v>
                </c:pt>
                <c:pt idx="1">
                  <c:v>8.3000000000000007</c:v>
                </c:pt>
                <c:pt idx="2">
                  <c:v>8.26</c:v>
                </c:pt>
                <c:pt idx="3">
                  <c:v>8.42</c:v>
                </c:pt>
                <c:pt idx="4">
                  <c:v>8.1999999999999993</c:v>
                </c:pt>
                <c:pt idx="5">
                  <c:v>7.84</c:v>
                </c:pt>
                <c:pt idx="6">
                  <c:v>8.14</c:v>
                </c:pt>
                <c:pt idx="7">
                  <c:v>8.18</c:v>
                </c:pt>
                <c:pt idx="8">
                  <c:v>7.75</c:v>
                </c:pt>
                <c:pt idx="9">
                  <c:v>8.32</c:v>
                </c:pt>
                <c:pt idx="10">
                  <c:v>7.86</c:v>
                </c:pt>
                <c:pt idx="11">
                  <c:v>8.51</c:v>
                </c:pt>
                <c:pt idx="13">
                  <c:v>7.68</c:v>
                </c:pt>
                <c:pt idx="14">
                  <c:v>7.96</c:v>
                </c:pt>
                <c:pt idx="15">
                  <c:v>7.89</c:v>
                </c:pt>
              </c:numCache>
            </c:numRef>
          </c:val>
          <c:smooth val="0"/>
          <c:extLst>
            <c:ext xmlns:c16="http://schemas.microsoft.com/office/drawing/2014/chart" uri="{C3380CC4-5D6E-409C-BE32-E72D297353CC}">
              <c16:uniqueId val="{00000003-9BA4-41FA-B547-815CF09C03CA}"/>
            </c:ext>
          </c:extLst>
        </c:ser>
        <c:dLbls>
          <c:showLegendKey val="0"/>
          <c:showVal val="0"/>
          <c:showCatName val="0"/>
          <c:showSerName val="0"/>
          <c:showPercent val="0"/>
          <c:showBubbleSize val="0"/>
        </c:dLbls>
        <c:marker val="1"/>
        <c:smooth val="0"/>
        <c:axId val="134389120"/>
        <c:axId val="134423680"/>
      </c:lineChart>
      <c:dateAx>
        <c:axId val="134389120"/>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975" b="1" i="0" u="none" strike="noStrike" baseline="0">
                <a:solidFill>
                  <a:srgbClr val="000000"/>
                </a:solidFill>
                <a:latin typeface="Arial"/>
                <a:ea typeface="Arial"/>
                <a:cs typeface="Arial"/>
              </a:defRPr>
            </a:pPr>
            <a:endParaRPr lang="en-US"/>
          </a:p>
        </c:txPr>
        <c:crossAx val="134423680"/>
        <c:crosses val="autoZero"/>
        <c:auto val="1"/>
        <c:lblOffset val="100"/>
        <c:baseTimeUnit val="days"/>
        <c:majorUnit val="30"/>
        <c:majorTimeUnit val="days"/>
        <c:minorUnit val="15"/>
        <c:minorTimeUnit val="days"/>
      </c:dateAx>
      <c:valAx>
        <c:axId val="134423680"/>
        <c:scaling>
          <c:orientation val="minMax"/>
          <c:max val="9.5"/>
          <c:min val="6.5"/>
        </c:scaling>
        <c:delete val="0"/>
        <c:axPos val="l"/>
        <c:majorGridlines>
          <c:spPr>
            <a:ln w="3175">
              <a:solidFill>
                <a:srgbClr val="000000"/>
              </a:solidFill>
              <a:prstDash val="solid"/>
            </a:ln>
          </c:spPr>
        </c:majorGridlines>
        <c:minorGridlines/>
        <c:title>
          <c:tx>
            <c:rich>
              <a:bodyPr/>
              <a:lstStyle/>
              <a:p>
                <a:pPr>
                  <a:defRPr sz="1075" b="1" i="0" u="none" strike="noStrike" baseline="0">
                    <a:solidFill>
                      <a:srgbClr val="000000"/>
                    </a:solidFill>
                    <a:latin typeface="Arial"/>
                    <a:ea typeface="Arial"/>
                    <a:cs typeface="Arial"/>
                  </a:defRPr>
                </a:pPr>
                <a:r>
                  <a:rPr lang="en-US"/>
                  <a:t>pH (Standad Unit)</a:t>
                </a:r>
              </a:p>
            </c:rich>
          </c:tx>
          <c:layout>
            <c:manualLayout>
              <c:xMode val="edge"/>
              <c:yMode val="edge"/>
              <c:x val="1.7021351150104953E-2"/>
              <c:y val="0.3838120104438869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13438912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10335061203217218"/>
          <c:y val="0.12469830654729806"/>
          <c:w val="0.21842019543974078"/>
          <c:h val="0.1483109464258144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2012 BCR pH Average 1/2-2 Meters</a:t>
            </a:r>
          </a:p>
        </c:rich>
      </c:tx>
      <c:overlay val="0"/>
    </c:title>
    <c:autoTitleDeleted val="0"/>
    <c:plotArea>
      <c:layout>
        <c:manualLayout>
          <c:layoutTarget val="inner"/>
          <c:xMode val="edge"/>
          <c:yMode val="edge"/>
          <c:x val="7.0719362412355671E-2"/>
          <c:y val="0.14168778611975827"/>
          <c:w val="0.88952644104070056"/>
          <c:h val="0.68247024354513863"/>
        </c:manualLayout>
      </c:layout>
      <c:lineChart>
        <c:grouping val="standard"/>
        <c:varyColors val="0"/>
        <c:ser>
          <c:idx val="0"/>
          <c:order val="0"/>
          <c:tx>
            <c:strRef>
              <c:f>pH!$A$6</c:f>
              <c:strCache>
                <c:ptCount val="1"/>
                <c:pt idx="0">
                  <c:v>Site 40 Central Pool</c:v>
                </c:pt>
              </c:strCache>
            </c:strRef>
          </c:tx>
          <c:cat>
            <c:numRef>
              <c:f>pH!$B$2:$Q$2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pH!$B$22:$Q$22</c:f>
              <c:numCache>
                <c:formatCode>0.00</c:formatCode>
                <c:ptCount val="16"/>
                <c:pt idx="0">
                  <c:v>7.7200000000000006</c:v>
                </c:pt>
                <c:pt idx="1">
                  <c:v>7.9050000000000002</c:v>
                </c:pt>
                <c:pt idx="2">
                  <c:v>8.0474999999999994</c:v>
                </c:pt>
                <c:pt idx="3">
                  <c:v>8.4924999999999997</c:v>
                </c:pt>
                <c:pt idx="4">
                  <c:v>8.4174999999999986</c:v>
                </c:pt>
                <c:pt idx="5">
                  <c:v>8.7050000000000001</c:v>
                </c:pt>
                <c:pt idx="6">
                  <c:v>8.4850000000000012</c:v>
                </c:pt>
                <c:pt idx="7">
                  <c:v>8.697499999999998</c:v>
                </c:pt>
                <c:pt idx="8">
                  <c:v>8.692499999999999</c:v>
                </c:pt>
                <c:pt idx="9">
                  <c:v>9.1624999999999996</c:v>
                </c:pt>
                <c:pt idx="10">
                  <c:v>8.3449999999999989</c:v>
                </c:pt>
                <c:pt idx="11">
                  <c:v>8.7250000000000014</c:v>
                </c:pt>
                <c:pt idx="12">
                  <c:v>8.94</c:v>
                </c:pt>
                <c:pt idx="13">
                  <c:v>9.1950000000000003</c:v>
                </c:pt>
                <c:pt idx="14">
                  <c:v>9.1649999999999991</c:v>
                </c:pt>
                <c:pt idx="15">
                  <c:v>9.0924999999999994</c:v>
                </c:pt>
              </c:numCache>
            </c:numRef>
          </c:val>
          <c:smooth val="0"/>
          <c:extLst>
            <c:ext xmlns:c16="http://schemas.microsoft.com/office/drawing/2014/chart" uri="{C3380CC4-5D6E-409C-BE32-E72D297353CC}">
              <c16:uniqueId val="{00000000-2C44-4CCF-9A05-DEED6D414CAF}"/>
            </c:ext>
          </c:extLst>
        </c:ser>
        <c:ser>
          <c:idx val="1"/>
          <c:order val="1"/>
          <c:tx>
            <c:strRef>
              <c:f>pH!$A$24</c:f>
              <c:strCache>
                <c:ptCount val="1"/>
                <c:pt idx="0">
                  <c:v>Site 41- BC Outlet</c:v>
                </c:pt>
              </c:strCache>
            </c:strRef>
          </c:tx>
          <c:val>
            <c:numRef>
              <c:f>pH!$B$37:$Q$37</c:f>
              <c:numCache>
                <c:formatCode>0.00</c:formatCode>
                <c:ptCount val="16"/>
                <c:pt idx="0">
                  <c:v>8.42</c:v>
                </c:pt>
                <c:pt idx="1">
                  <c:v>8.0250000000000004</c:v>
                </c:pt>
                <c:pt idx="2">
                  <c:v>7.9825000000000008</c:v>
                </c:pt>
                <c:pt idx="3">
                  <c:v>8.5724999999999998</c:v>
                </c:pt>
                <c:pt idx="4">
                  <c:v>8.4499999999999993</c:v>
                </c:pt>
                <c:pt idx="5">
                  <c:v>8.7275000000000009</c:v>
                </c:pt>
                <c:pt idx="6">
                  <c:v>8.4675000000000011</c:v>
                </c:pt>
                <c:pt idx="7">
                  <c:v>8.7475000000000005</c:v>
                </c:pt>
                <c:pt idx="8">
                  <c:v>8.6674999999999986</c:v>
                </c:pt>
                <c:pt idx="9">
                  <c:v>9.2200000000000006</c:v>
                </c:pt>
                <c:pt idx="10">
                  <c:v>8.36</c:v>
                </c:pt>
                <c:pt idx="11">
                  <c:v>8.7525000000000013</c:v>
                </c:pt>
                <c:pt idx="12">
                  <c:v>9.0149999999999988</c:v>
                </c:pt>
                <c:pt idx="13">
                  <c:v>9.1774999999999984</c:v>
                </c:pt>
                <c:pt idx="14">
                  <c:v>9.1550000000000011</c:v>
                </c:pt>
              </c:numCache>
            </c:numRef>
          </c:val>
          <c:smooth val="0"/>
          <c:extLst>
            <c:ext xmlns:c16="http://schemas.microsoft.com/office/drawing/2014/chart" uri="{C3380CC4-5D6E-409C-BE32-E72D297353CC}">
              <c16:uniqueId val="{00000001-2C44-4CCF-9A05-DEED6D414CAF}"/>
            </c:ext>
          </c:extLst>
        </c:ser>
        <c:ser>
          <c:idx val="2"/>
          <c:order val="2"/>
          <c:tx>
            <c:strRef>
              <c:f>pH!$A$39</c:f>
              <c:strCache>
                <c:ptCount val="1"/>
                <c:pt idx="0">
                  <c:v>Site 42 - South Dam</c:v>
                </c:pt>
              </c:strCache>
            </c:strRef>
          </c:tx>
          <c:val>
            <c:numRef>
              <c:f>pH!$B$49:$P$49</c:f>
              <c:numCache>
                <c:formatCode>0.00</c:formatCode>
                <c:ptCount val="15"/>
                <c:pt idx="0">
                  <c:v>7.9825000000000008</c:v>
                </c:pt>
                <c:pt idx="1">
                  <c:v>7.8624999999999998</c:v>
                </c:pt>
                <c:pt idx="2">
                  <c:v>7.81</c:v>
                </c:pt>
                <c:pt idx="3">
                  <c:v>8.5124999999999993</c:v>
                </c:pt>
                <c:pt idx="4">
                  <c:v>8.39</c:v>
                </c:pt>
                <c:pt idx="5">
                  <c:v>8.7175000000000011</c:v>
                </c:pt>
                <c:pt idx="6">
                  <c:v>8.4700000000000006</c:v>
                </c:pt>
                <c:pt idx="7">
                  <c:v>8.7650000000000006</c:v>
                </c:pt>
                <c:pt idx="8">
                  <c:v>8.7100000000000009</c:v>
                </c:pt>
                <c:pt idx="9">
                  <c:v>9.1754999999999995</c:v>
                </c:pt>
                <c:pt idx="10">
                  <c:v>8.3324999999999996</c:v>
                </c:pt>
                <c:pt idx="11">
                  <c:v>8.7350000000000012</c:v>
                </c:pt>
                <c:pt idx="12">
                  <c:v>8.8774999999999995</c:v>
                </c:pt>
                <c:pt idx="13">
                  <c:v>9.2275000000000009</c:v>
                </c:pt>
                <c:pt idx="14">
                  <c:v>9.23</c:v>
                </c:pt>
              </c:numCache>
            </c:numRef>
          </c:val>
          <c:smooth val="0"/>
          <c:extLst>
            <c:ext xmlns:c16="http://schemas.microsoft.com/office/drawing/2014/chart" uri="{C3380CC4-5D6E-409C-BE32-E72D297353CC}">
              <c16:uniqueId val="{00000002-2C44-4CCF-9A05-DEED6D414CAF}"/>
            </c:ext>
          </c:extLst>
        </c:ser>
        <c:ser>
          <c:idx val="3"/>
          <c:order val="3"/>
          <c:tx>
            <c:strRef>
              <c:f>pH!$A$51</c:f>
              <c:strCache>
                <c:ptCount val="1"/>
                <c:pt idx="0">
                  <c:v>Site 43 - TC Inlet</c:v>
                </c:pt>
              </c:strCache>
            </c:strRef>
          </c:tx>
          <c:val>
            <c:numRef>
              <c:f>pH!$B$60:$Q$60</c:f>
              <c:numCache>
                <c:formatCode>0.00</c:formatCode>
                <c:ptCount val="16"/>
                <c:pt idx="0">
                  <c:v>8.3625000000000007</c:v>
                </c:pt>
                <c:pt idx="1">
                  <c:v>8.4275000000000002</c:v>
                </c:pt>
                <c:pt idx="2">
                  <c:v>7.8775000000000004</c:v>
                </c:pt>
                <c:pt idx="3">
                  <c:v>8.5274999999999999</c:v>
                </c:pt>
                <c:pt idx="4">
                  <c:v>8.43</c:v>
                </c:pt>
                <c:pt idx="5">
                  <c:v>8.8625000000000007</c:v>
                </c:pt>
                <c:pt idx="6">
                  <c:v>8.5175000000000001</c:v>
                </c:pt>
                <c:pt idx="7">
                  <c:v>8.8125</c:v>
                </c:pt>
                <c:pt idx="8">
                  <c:v>8.8275000000000006</c:v>
                </c:pt>
                <c:pt idx="9">
                  <c:v>9.213000000000001</c:v>
                </c:pt>
                <c:pt idx="10">
                  <c:v>8.4675000000000011</c:v>
                </c:pt>
                <c:pt idx="11">
                  <c:v>8.7674999999999983</c:v>
                </c:pt>
                <c:pt idx="12">
                  <c:v>8.8800000000000008</c:v>
                </c:pt>
                <c:pt idx="13">
                  <c:v>9.192499999999999</c:v>
                </c:pt>
                <c:pt idx="14">
                  <c:v>9.2074999999999996</c:v>
                </c:pt>
                <c:pt idx="15">
                  <c:v>8.83</c:v>
                </c:pt>
              </c:numCache>
            </c:numRef>
          </c:val>
          <c:smooth val="0"/>
          <c:extLst>
            <c:ext xmlns:c16="http://schemas.microsoft.com/office/drawing/2014/chart" uri="{C3380CC4-5D6E-409C-BE32-E72D297353CC}">
              <c16:uniqueId val="{00000003-2C44-4CCF-9A05-DEED6D414CAF}"/>
            </c:ext>
          </c:extLst>
        </c:ser>
        <c:ser>
          <c:idx val="4"/>
          <c:order val="4"/>
          <c:tx>
            <c:strRef>
              <c:f>pH!$A$62</c:f>
              <c:strCache>
                <c:ptCount val="1"/>
                <c:pt idx="0">
                  <c:v>Site 44 - BC Inlet</c:v>
                </c:pt>
              </c:strCache>
            </c:strRef>
          </c:tx>
          <c:val>
            <c:numRef>
              <c:f>pH!$B$73:$Q$73</c:f>
              <c:numCache>
                <c:formatCode>0.00</c:formatCode>
                <c:ptCount val="16"/>
                <c:pt idx="0">
                  <c:v>8.1124999999999989</c:v>
                </c:pt>
                <c:pt idx="1">
                  <c:v>8.0649999999999995</c:v>
                </c:pt>
                <c:pt idx="2">
                  <c:v>7.9424999999999999</c:v>
                </c:pt>
                <c:pt idx="3">
                  <c:v>8.58</c:v>
                </c:pt>
                <c:pt idx="4">
                  <c:v>8.4400000000000013</c:v>
                </c:pt>
                <c:pt idx="5">
                  <c:v>8.7199999999999989</c:v>
                </c:pt>
                <c:pt idx="6">
                  <c:v>8.5150000000000006</c:v>
                </c:pt>
                <c:pt idx="7">
                  <c:v>8.8125000000000018</c:v>
                </c:pt>
                <c:pt idx="8">
                  <c:v>8.7475000000000005</c:v>
                </c:pt>
                <c:pt idx="9">
                  <c:v>9.2249999999999996</c:v>
                </c:pt>
                <c:pt idx="10">
                  <c:v>8.4374999999999982</c:v>
                </c:pt>
                <c:pt idx="11">
                  <c:v>8.77</c:v>
                </c:pt>
                <c:pt idx="12">
                  <c:v>8.8250000000000011</c:v>
                </c:pt>
                <c:pt idx="13">
                  <c:v>9.2050000000000001</c:v>
                </c:pt>
                <c:pt idx="14">
                  <c:v>9.1974999999999998</c:v>
                </c:pt>
                <c:pt idx="15">
                  <c:v>9.0650000000000013</c:v>
                </c:pt>
              </c:numCache>
            </c:numRef>
          </c:val>
          <c:smooth val="0"/>
          <c:extLst>
            <c:ext xmlns:c16="http://schemas.microsoft.com/office/drawing/2014/chart" uri="{C3380CC4-5D6E-409C-BE32-E72D297353CC}">
              <c16:uniqueId val="{00000004-2C44-4CCF-9A05-DEED6D414CAF}"/>
            </c:ext>
          </c:extLst>
        </c:ser>
        <c:dLbls>
          <c:showLegendKey val="0"/>
          <c:showVal val="0"/>
          <c:showCatName val="0"/>
          <c:showSerName val="0"/>
          <c:showPercent val="0"/>
          <c:showBubbleSize val="0"/>
        </c:dLbls>
        <c:marker val="1"/>
        <c:smooth val="0"/>
        <c:axId val="134476160"/>
        <c:axId val="134477696"/>
      </c:lineChart>
      <c:dateAx>
        <c:axId val="134476160"/>
        <c:scaling>
          <c:orientation val="minMax"/>
        </c:scaling>
        <c:delete val="0"/>
        <c:axPos val="b"/>
        <c:numFmt formatCode="[$-409]d\-mmm;@" sourceLinked="1"/>
        <c:majorTickMark val="out"/>
        <c:minorTickMark val="none"/>
        <c:tickLblPos val="nextTo"/>
        <c:txPr>
          <a:bodyPr/>
          <a:lstStyle/>
          <a:p>
            <a:pPr>
              <a:defRPr sz="1000"/>
            </a:pPr>
            <a:endParaRPr lang="en-US"/>
          </a:p>
        </c:txPr>
        <c:crossAx val="134477696"/>
        <c:crosses val="autoZero"/>
        <c:auto val="1"/>
        <c:lblOffset val="100"/>
        <c:baseTimeUnit val="days"/>
      </c:dateAx>
      <c:valAx>
        <c:axId val="134477696"/>
        <c:scaling>
          <c:orientation val="minMax"/>
          <c:max val="9.5"/>
          <c:min val="6.5"/>
        </c:scaling>
        <c:delete val="0"/>
        <c:axPos val="l"/>
        <c:majorGridlines/>
        <c:minorGridlines/>
        <c:numFmt formatCode="0.00" sourceLinked="1"/>
        <c:majorTickMark val="out"/>
        <c:minorTickMark val="none"/>
        <c:tickLblPos val="nextTo"/>
        <c:crossAx val="13447616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t"/>
      <c:layout>
        <c:manualLayout>
          <c:xMode val="edge"/>
          <c:yMode val="edge"/>
          <c:x val="0.10695414693908822"/>
          <c:y val="0.13029939571507204"/>
          <c:w val="0.26095509131050681"/>
          <c:h val="0.17228584508331821"/>
        </c:manualLayout>
      </c:layout>
      <c:overlay val="0"/>
      <c:spPr>
        <a:gradFill>
          <a:gsLst>
            <a:gs pos="0">
              <a:srgbClr val="1F497D">
                <a:lumMod val="40000"/>
                <a:lumOff val="60000"/>
              </a:srgbClr>
            </a:gs>
            <a:gs pos="50000">
              <a:srgbClr val="4F81BD">
                <a:tint val="44500"/>
                <a:satMod val="160000"/>
              </a:srgbClr>
            </a:gs>
            <a:gs pos="100000">
              <a:srgbClr val="4F81BD">
                <a:tint val="23500"/>
                <a:satMod val="160000"/>
              </a:srgbClr>
            </a:gs>
          </a:gsLst>
          <a:lin ang="5400000" scaled="0"/>
        </a:gradFill>
        <a:ln w="25400" cap="sq" cmpd="sng">
          <a:solidFill>
            <a:srgbClr val="000000"/>
          </a:solidFill>
          <a:prstDash val="solid"/>
          <a:round/>
        </a:ln>
      </c:spPr>
      <c:txPr>
        <a:bodyPr/>
        <a:lstStyle/>
        <a:p>
          <a:pPr>
            <a:defRPr sz="105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mn-lt"/>
                <a:ea typeface="Arial Black"/>
                <a:cs typeface="Arial Black"/>
              </a:defRPr>
            </a:pPr>
            <a:r>
              <a:rPr lang="en-US" sz="1600" b="1">
                <a:latin typeface="+mn-lt"/>
              </a:rPr>
              <a:t>2012 BCR Dissolved Oxygen Average 1/2-2 Meters</a:t>
            </a:r>
          </a:p>
        </c:rich>
      </c:tx>
      <c:layout>
        <c:manualLayout>
          <c:xMode val="edge"/>
          <c:yMode val="edge"/>
          <c:x val="0.41865459014155032"/>
          <c:y val="3.2760885687465852E-2"/>
        </c:manualLayout>
      </c:layout>
      <c:overlay val="0"/>
      <c:spPr>
        <a:noFill/>
        <a:ln w="25400">
          <a:noFill/>
        </a:ln>
      </c:spPr>
    </c:title>
    <c:autoTitleDeleted val="0"/>
    <c:plotArea>
      <c:layout>
        <c:manualLayout>
          <c:layoutTarget val="inner"/>
          <c:xMode val="edge"/>
          <c:yMode val="edge"/>
          <c:x val="9.5389917727394982E-2"/>
          <c:y val="0.14479678982435923"/>
          <c:w val="0.88133087334983395"/>
          <c:h val="0.69638098122350089"/>
        </c:manualLayout>
      </c:layout>
      <c:lineChart>
        <c:grouping val="standard"/>
        <c:varyColors val="0"/>
        <c:ser>
          <c:idx val="0"/>
          <c:order val="0"/>
          <c:tx>
            <c:strRef>
              <c:f>Oxygen!$A$6</c:f>
              <c:strCache>
                <c:ptCount val="1"/>
                <c:pt idx="0">
                  <c:v>Site 40 Central Pool</c:v>
                </c:pt>
              </c:strCache>
            </c:strRef>
          </c:tx>
          <c:cat>
            <c:numRef>
              <c:f>Oxygen!$B$2:$Q$2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Oxygen!$B$22:$Q$22</c:f>
              <c:numCache>
                <c:formatCode>0.00</c:formatCode>
                <c:ptCount val="16"/>
                <c:pt idx="0">
                  <c:v>10.5525</c:v>
                </c:pt>
                <c:pt idx="1">
                  <c:v>12.475</c:v>
                </c:pt>
                <c:pt idx="2">
                  <c:v>10.3575</c:v>
                </c:pt>
                <c:pt idx="3">
                  <c:v>9.2424999999999997</c:v>
                </c:pt>
                <c:pt idx="4">
                  <c:v>8.317499999999999</c:v>
                </c:pt>
                <c:pt idx="5">
                  <c:v>9.3874999999999993</c:v>
                </c:pt>
                <c:pt idx="6">
                  <c:v>6.34</c:v>
                </c:pt>
                <c:pt idx="7">
                  <c:v>7.5824999999999996</c:v>
                </c:pt>
                <c:pt idx="8">
                  <c:v>6.7424999999999997</c:v>
                </c:pt>
                <c:pt idx="9">
                  <c:v>8.2050000000000001</c:v>
                </c:pt>
                <c:pt idx="10">
                  <c:v>7.7324999999999999</c:v>
                </c:pt>
                <c:pt idx="11">
                  <c:v>10.120000000000001</c:v>
                </c:pt>
                <c:pt idx="12">
                  <c:v>10.147499999999999</c:v>
                </c:pt>
                <c:pt idx="13">
                  <c:v>10.16</c:v>
                </c:pt>
                <c:pt idx="14">
                  <c:v>11.3925</c:v>
                </c:pt>
                <c:pt idx="15">
                  <c:v>12.515000000000001</c:v>
                </c:pt>
              </c:numCache>
            </c:numRef>
          </c:val>
          <c:smooth val="0"/>
          <c:extLst>
            <c:ext xmlns:c16="http://schemas.microsoft.com/office/drawing/2014/chart" uri="{C3380CC4-5D6E-409C-BE32-E72D297353CC}">
              <c16:uniqueId val="{00000000-5F91-4A1A-A3D0-A6D80279738C}"/>
            </c:ext>
          </c:extLst>
        </c:ser>
        <c:ser>
          <c:idx val="1"/>
          <c:order val="1"/>
          <c:tx>
            <c:strRef>
              <c:f>Oxygen!$A$24</c:f>
              <c:strCache>
                <c:ptCount val="1"/>
                <c:pt idx="0">
                  <c:v>Site 41- BC Outlet</c:v>
                </c:pt>
              </c:strCache>
            </c:strRef>
          </c:tx>
          <c:val>
            <c:numRef>
              <c:f>Oxygen!$B$37:$Q$37</c:f>
              <c:numCache>
                <c:formatCode>0.00</c:formatCode>
                <c:ptCount val="16"/>
                <c:pt idx="0">
                  <c:v>10.61</c:v>
                </c:pt>
                <c:pt idx="1">
                  <c:v>12.097499999999998</c:v>
                </c:pt>
                <c:pt idx="2">
                  <c:v>10.42</c:v>
                </c:pt>
                <c:pt idx="3">
                  <c:v>8.9400000000000013</c:v>
                </c:pt>
                <c:pt idx="4">
                  <c:v>8.0749999999999993</c:v>
                </c:pt>
                <c:pt idx="5">
                  <c:v>9.02</c:v>
                </c:pt>
                <c:pt idx="6">
                  <c:v>5.99</c:v>
                </c:pt>
                <c:pt idx="7">
                  <c:v>7.7475000000000005</c:v>
                </c:pt>
                <c:pt idx="8">
                  <c:v>6.7200000000000006</c:v>
                </c:pt>
                <c:pt idx="9">
                  <c:v>8.0374999999999996</c:v>
                </c:pt>
                <c:pt idx="10">
                  <c:v>7.3875000000000002</c:v>
                </c:pt>
                <c:pt idx="11">
                  <c:v>9.875</c:v>
                </c:pt>
                <c:pt idx="12">
                  <c:v>10.414999999999999</c:v>
                </c:pt>
                <c:pt idx="13">
                  <c:v>10.175000000000001</c:v>
                </c:pt>
                <c:pt idx="14">
                  <c:v>10.8675</c:v>
                </c:pt>
              </c:numCache>
            </c:numRef>
          </c:val>
          <c:smooth val="0"/>
          <c:extLst>
            <c:ext xmlns:c16="http://schemas.microsoft.com/office/drawing/2014/chart" uri="{C3380CC4-5D6E-409C-BE32-E72D297353CC}">
              <c16:uniqueId val="{00000001-5F91-4A1A-A3D0-A6D80279738C}"/>
            </c:ext>
          </c:extLst>
        </c:ser>
        <c:ser>
          <c:idx val="2"/>
          <c:order val="2"/>
          <c:tx>
            <c:strRef>
              <c:f>Oxygen!$A$39</c:f>
              <c:strCache>
                <c:ptCount val="1"/>
                <c:pt idx="0">
                  <c:v>Site 42 - South Dam</c:v>
                </c:pt>
              </c:strCache>
            </c:strRef>
          </c:tx>
          <c:val>
            <c:numRef>
              <c:f>Oxygen!$B$49:$Q$49</c:f>
              <c:numCache>
                <c:formatCode>0.00</c:formatCode>
                <c:ptCount val="16"/>
                <c:pt idx="0">
                  <c:v>10.88</c:v>
                </c:pt>
                <c:pt idx="1">
                  <c:v>11.989999999999998</c:v>
                </c:pt>
                <c:pt idx="2">
                  <c:v>10.104999999999999</c:v>
                </c:pt>
                <c:pt idx="3">
                  <c:v>9.0649999999999995</c:v>
                </c:pt>
                <c:pt idx="4">
                  <c:v>8.4224999999999994</c:v>
                </c:pt>
                <c:pt idx="5">
                  <c:v>9.0525000000000002</c:v>
                </c:pt>
                <c:pt idx="6">
                  <c:v>6.2949999999999999</c:v>
                </c:pt>
                <c:pt idx="7">
                  <c:v>7.3374999999999995</c:v>
                </c:pt>
                <c:pt idx="8">
                  <c:v>6.4550000000000001</c:v>
                </c:pt>
                <c:pt idx="9">
                  <c:v>7.8975</c:v>
                </c:pt>
                <c:pt idx="10">
                  <c:v>7.4324999999999992</c:v>
                </c:pt>
                <c:pt idx="11">
                  <c:v>9.98</c:v>
                </c:pt>
                <c:pt idx="12">
                  <c:v>10.6675</c:v>
                </c:pt>
                <c:pt idx="13">
                  <c:v>10.07</c:v>
                </c:pt>
                <c:pt idx="14">
                  <c:v>10.977500000000001</c:v>
                </c:pt>
              </c:numCache>
            </c:numRef>
          </c:val>
          <c:smooth val="0"/>
          <c:extLst>
            <c:ext xmlns:c16="http://schemas.microsoft.com/office/drawing/2014/chart" uri="{C3380CC4-5D6E-409C-BE32-E72D297353CC}">
              <c16:uniqueId val="{00000002-5F91-4A1A-A3D0-A6D80279738C}"/>
            </c:ext>
          </c:extLst>
        </c:ser>
        <c:ser>
          <c:idx val="3"/>
          <c:order val="3"/>
          <c:tx>
            <c:strRef>
              <c:f>Oxygen!$A$51</c:f>
              <c:strCache>
                <c:ptCount val="1"/>
                <c:pt idx="0">
                  <c:v>Site 43 - TC Inlet</c:v>
                </c:pt>
              </c:strCache>
            </c:strRef>
          </c:tx>
          <c:val>
            <c:numRef>
              <c:f>Oxygen!$B$60:$Q$60</c:f>
              <c:numCache>
                <c:formatCode>0.00</c:formatCode>
                <c:ptCount val="16"/>
                <c:pt idx="0">
                  <c:v>10.7525</c:v>
                </c:pt>
                <c:pt idx="1">
                  <c:v>12.055</c:v>
                </c:pt>
                <c:pt idx="2">
                  <c:v>9.8925000000000001</c:v>
                </c:pt>
                <c:pt idx="3">
                  <c:v>8.93</c:v>
                </c:pt>
                <c:pt idx="4">
                  <c:v>8.3324999999999996</c:v>
                </c:pt>
                <c:pt idx="5">
                  <c:v>8.8625000000000007</c:v>
                </c:pt>
                <c:pt idx="6">
                  <c:v>6.3100000000000005</c:v>
                </c:pt>
                <c:pt idx="7">
                  <c:v>7.83</c:v>
                </c:pt>
                <c:pt idx="8">
                  <c:v>6.83</c:v>
                </c:pt>
                <c:pt idx="9">
                  <c:v>8.1374999999999993</c:v>
                </c:pt>
                <c:pt idx="10">
                  <c:v>8.317499999999999</c:v>
                </c:pt>
                <c:pt idx="11">
                  <c:v>10.2675</c:v>
                </c:pt>
                <c:pt idx="12">
                  <c:v>10.635</c:v>
                </c:pt>
                <c:pt idx="13">
                  <c:v>9.7050000000000001</c:v>
                </c:pt>
                <c:pt idx="14">
                  <c:v>10.705</c:v>
                </c:pt>
                <c:pt idx="15">
                  <c:v>12.253333333333336</c:v>
                </c:pt>
              </c:numCache>
            </c:numRef>
          </c:val>
          <c:smooth val="0"/>
          <c:extLst>
            <c:ext xmlns:c16="http://schemas.microsoft.com/office/drawing/2014/chart" uri="{C3380CC4-5D6E-409C-BE32-E72D297353CC}">
              <c16:uniqueId val="{00000003-5F91-4A1A-A3D0-A6D80279738C}"/>
            </c:ext>
          </c:extLst>
        </c:ser>
        <c:ser>
          <c:idx val="4"/>
          <c:order val="4"/>
          <c:tx>
            <c:strRef>
              <c:f>Oxygen!$A$62</c:f>
              <c:strCache>
                <c:ptCount val="1"/>
                <c:pt idx="0">
                  <c:v>Site 44 - BC Inlet</c:v>
                </c:pt>
              </c:strCache>
            </c:strRef>
          </c:tx>
          <c:val>
            <c:numRef>
              <c:f>Oxygen!$B$73:$Q$73</c:f>
              <c:numCache>
                <c:formatCode>0.00</c:formatCode>
                <c:ptCount val="16"/>
                <c:pt idx="0">
                  <c:v>10.665000000000001</c:v>
                </c:pt>
                <c:pt idx="1">
                  <c:v>11.91</c:v>
                </c:pt>
                <c:pt idx="2">
                  <c:v>10.2125</c:v>
                </c:pt>
                <c:pt idx="3">
                  <c:v>9.0749999999999993</c:v>
                </c:pt>
                <c:pt idx="4">
                  <c:v>7.9525000000000006</c:v>
                </c:pt>
                <c:pt idx="5">
                  <c:v>9.3475000000000001</c:v>
                </c:pt>
                <c:pt idx="6">
                  <c:v>6.0650000000000004</c:v>
                </c:pt>
                <c:pt idx="7">
                  <c:v>7.82</c:v>
                </c:pt>
                <c:pt idx="8">
                  <c:v>6.6924999999999999</c:v>
                </c:pt>
                <c:pt idx="9">
                  <c:v>8.1724999999999994</c:v>
                </c:pt>
                <c:pt idx="10">
                  <c:v>7.9949999999999992</c:v>
                </c:pt>
                <c:pt idx="11">
                  <c:v>10.252500000000001</c:v>
                </c:pt>
                <c:pt idx="12">
                  <c:v>9.76</c:v>
                </c:pt>
                <c:pt idx="13">
                  <c:v>9.83</c:v>
                </c:pt>
                <c:pt idx="14">
                  <c:v>10.4725</c:v>
                </c:pt>
                <c:pt idx="15">
                  <c:v>12.4275</c:v>
                </c:pt>
              </c:numCache>
            </c:numRef>
          </c:val>
          <c:smooth val="0"/>
          <c:extLst>
            <c:ext xmlns:c16="http://schemas.microsoft.com/office/drawing/2014/chart" uri="{C3380CC4-5D6E-409C-BE32-E72D297353CC}">
              <c16:uniqueId val="{00000004-5F91-4A1A-A3D0-A6D80279738C}"/>
            </c:ext>
          </c:extLst>
        </c:ser>
        <c:dLbls>
          <c:showLegendKey val="0"/>
          <c:showVal val="0"/>
          <c:showCatName val="0"/>
          <c:showSerName val="0"/>
          <c:showPercent val="0"/>
          <c:showBubbleSize val="0"/>
        </c:dLbls>
        <c:marker val="1"/>
        <c:smooth val="0"/>
        <c:axId val="134608000"/>
        <c:axId val="134609536"/>
      </c:lineChart>
      <c:dateAx>
        <c:axId val="134608000"/>
        <c:scaling>
          <c:orientation val="minMax"/>
        </c:scaling>
        <c:delete val="0"/>
        <c:axPos val="b"/>
        <c:numFmt formatCode="[$-409]d\-mmm;@" sourceLinked="0"/>
        <c:majorTickMark val="out"/>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Arial Black"/>
                <a:ea typeface="Arial Black"/>
                <a:cs typeface="Arial Black"/>
              </a:defRPr>
            </a:pPr>
            <a:endParaRPr lang="en-US"/>
          </a:p>
        </c:txPr>
        <c:crossAx val="134609536"/>
        <c:crosses val="autoZero"/>
        <c:auto val="1"/>
        <c:lblOffset val="100"/>
        <c:baseTimeUnit val="days"/>
        <c:majorUnit val="30"/>
        <c:majorTimeUnit val="days"/>
        <c:minorUnit val="7"/>
        <c:minorTimeUnit val="days"/>
      </c:dateAx>
      <c:valAx>
        <c:axId val="134609536"/>
        <c:scaling>
          <c:orientation val="minMax"/>
          <c:min val="5"/>
        </c:scaling>
        <c:delete val="0"/>
        <c:axPos val="l"/>
        <c:majorGridlines>
          <c:spPr>
            <a:ln w="3175">
              <a:solidFill>
                <a:srgbClr val="000000"/>
              </a:solidFill>
              <a:prstDash val="solid"/>
            </a:ln>
          </c:spPr>
        </c:majorGridlines>
        <c:minorGridlines/>
        <c:title>
          <c:tx>
            <c:rich>
              <a:bodyPr/>
              <a:lstStyle/>
              <a:p>
                <a:pPr>
                  <a:defRPr sz="1100" b="1" i="0" u="none" strike="noStrike" baseline="0">
                    <a:solidFill>
                      <a:srgbClr val="000000"/>
                    </a:solidFill>
                    <a:latin typeface="Arial"/>
                    <a:ea typeface="Arial"/>
                    <a:cs typeface="Arial"/>
                  </a:defRPr>
                </a:pPr>
                <a:r>
                  <a:rPr lang="en-US" sz="1100"/>
                  <a:t>DO mg/l</a:t>
                </a:r>
              </a:p>
            </c:rich>
          </c:tx>
          <c:layout>
            <c:manualLayout>
              <c:xMode val="edge"/>
              <c:yMode val="edge"/>
              <c:x val="2.0834563061591552E-2"/>
              <c:y val="0.409955534969909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Black"/>
                <a:ea typeface="Arial Black"/>
                <a:cs typeface="Arial Black"/>
              </a:defRPr>
            </a:pPr>
            <a:endParaRPr lang="en-US"/>
          </a:p>
        </c:txPr>
        <c:crossAx val="134608000"/>
        <c:crosses val="autoZero"/>
        <c:crossBetween val="between"/>
        <c:majorUnit val="1"/>
        <c:minorUnit val="0.2"/>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11862564289290507"/>
          <c:y val="0.40874733231860222"/>
          <c:w val="0.14920231213872959"/>
          <c:h val="0.2103880088108719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25400">
          <a:solidFill>
            <a:schemeClr val="tx1"/>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2012 Dissolved Oxygen Trends</a:t>
            </a:r>
          </a:p>
        </c:rich>
      </c:tx>
      <c:overlay val="0"/>
    </c:title>
    <c:autoTitleDeleted val="0"/>
    <c:plotArea>
      <c:layout>
        <c:manualLayout>
          <c:layoutTarget val="inner"/>
          <c:xMode val="edge"/>
          <c:yMode val="edge"/>
          <c:x val="5.4538039515893914E-2"/>
          <c:y val="0.15818631223728621"/>
          <c:w val="0.89860427602799664"/>
          <c:h val="0.74763453910366462"/>
        </c:manualLayout>
      </c:layout>
      <c:lineChart>
        <c:grouping val="standard"/>
        <c:varyColors val="0"/>
        <c:ser>
          <c:idx val="0"/>
          <c:order val="0"/>
          <c:tx>
            <c:strRef>
              <c:f>Oxygen!$A$3</c:f>
              <c:strCache>
                <c:ptCount val="1"/>
                <c:pt idx="0">
                  <c:v>16a-Turkey Creek Inflow</c:v>
                </c:pt>
              </c:strCache>
            </c:strRef>
          </c:tx>
          <c:marker>
            <c:symbol val="none"/>
          </c:marker>
          <c:cat>
            <c:numRef>
              <c:f>Oxygen!$B$2:$Q$2</c:f>
              <c:numCache>
                <c:formatCode>[$-409]d\-mmm;@</c:formatCode>
                <c:ptCount val="16"/>
                <c:pt idx="0">
                  <c:v>40911</c:v>
                </c:pt>
                <c:pt idx="1">
                  <c:v>40949</c:v>
                </c:pt>
                <c:pt idx="2">
                  <c:v>40994</c:v>
                </c:pt>
                <c:pt idx="3">
                  <c:v>41022</c:v>
                </c:pt>
                <c:pt idx="4">
                  <c:v>41050</c:v>
                </c:pt>
                <c:pt idx="5">
                  <c:v>41085</c:v>
                </c:pt>
                <c:pt idx="6">
                  <c:v>41099</c:v>
                </c:pt>
                <c:pt idx="7">
                  <c:v>41113</c:v>
                </c:pt>
                <c:pt idx="8">
                  <c:v>41127</c:v>
                </c:pt>
                <c:pt idx="9">
                  <c:v>41148</c:v>
                </c:pt>
                <c:pt idx="10">
                  <c:v>41162</c:v>
                </c:pt>
                <c:pt idx="11">
                  <c:v>41177</c:v>
                </c:pt>
                <c:pt idx="12">
                  <c:v>41197</c:v>
                </c:pt>
                <c:pt idx="13">
                  <c:v>41204</c:v>
                </c:pt>
                <c:pt idx="14">
                  <c:v>41239</c:v>
                </c:pt>
                <c:pt idx="15">
                  <c:v>41257</c:v>
                </c:pt>
              </c:numCache>
            </c:numRef>
          </c:cat>
          <c:val>
            <c:numRef>
              <c:f>Oxygen!$B$3:$Q$3</c:f>
              <c:numCache>
                <c:formatCode>General</c:formatCode>
                <c:ptCount val="16"/>
                <c:pt idx="0">
                  <c:v>11.75</c:v>
                </c:pt>
                <c:pt idx="1">
                  <c:v>13.62</c:v>
                </c:pt>
                <c:pt idx="2">
                  <c:v>10.74</c:v>
                </c:pt>
                <c:pt idx="3">
                  <c:v>10.3</c:v>
                </c:pt>
                <c:pt idx="4">
                  <c:v>9.01</c:v>
                </c:pt>
                <c:pt idx="5">
                  <c:v>6.76</c:v>
                </c:pt>
                <c:pt idx="6">
                  <c:v>6.97</c:v>
                </c:pt>
                <c:pt idx="7">
                  <c:v>7.67</c:v>
                </c:pt>
                <c:pt idx="8">
                  <c:v>8.1</c:v>
                </c:pt>
                <c:pt idx="9">
                  <c:v>8.6999999999999993</c:v>
                </c:pt>
                <c:pt idx="10">
                  <c:v>9.68</c:v>
                </c:pt>
                <c:pt idx="11">
                  <c:v>8.6</c:v>
                </c:pt>
                <c:pt idx="13">
                  <c:v>10.029999999999999</c:v>
                </c:pt>
                <c:pt idx="14">
                  <c:v>8.26</c:v>
                </c:pt>
                <c:pt idx="15">
                  <c:v>11.83</c:v>
                </c:pt>
              </c:numCache>
            </c:numRef>
          </c:val>
          <c:smooth val="0"/>
          <c:extLst>
            <c:ext xmlns:c16="http://schemas.microsoft.com/office/drawing/2014/chart" uri="{C3380CC4-5D6E-409C-BE32-E72D297353CC}">
              <c16:uniqueId val="{00000000-D7B4-4A19-BBD9-DFEE977FE00C}"/>
            </c:ext>
          </c:extLst>
        </c:ser>
        <c:ser>
          <c:idx val="1"/>
          <c:order val="1"/>
          <c:tx>
            <c:strRef>
              <c:f>Oxygen!$A$4</c:f>
              <c:strCache>
                <c:ptCount val="1"/>
                <c:pt idx="0">
                  <c:v>15a-Bear Creek Inflow</c:v>
                </c:pt>
              </c:strCache>
            </c:strRef>
          </c:tx>
          <c:marker>
            <c:symbol val="none"/>
          </c:marker>
          <c:val>
            <c:numRef>
              <c:f>Oxygen!$B$4:$Q$4</c:f>
              <c:numCache>
                <c:formatCode>General</c:formatCode>
                <c:ptCount val="16"/>
                <c:pt idx="0">
                  <c:v>11.91</c:v>
                </c:pt>
                <c:pt idx="1">
                  <c:v>13.38</c:v>
                </c:pt>
                <c:pt idx="2">
                  <c:v>12.22</c:v>
                </c:pt>
                <c:pt idx="3">
                  <c:v>8.67</c:v>
                </c:pt>
                <c:pt idx="4">
                  <c:v>8.4700000000000006</c:v>
                </c:pt>
                <c:pt idx="5">
                  <c:v>7.62</c:v>
                </c:pt>
                <c:pt idx="6">
                  <c:v>7.7</c:v>
                </c:pt>
                <c:pt idx="7">
                  <c:v>6.93</c:v>
                </c:pt>
                <c:pt idx="8">
                  <c:v>7.22</c:v>
                </c:pt>
                <c:pt idx="9">
                  <c:v>7.97</c:v>
                </c:pt>
                <c:pt idx="10">
                  <c:v>8.4</c:v>
                </c:pt>
                <c:pt idx="11">
                  <c:v>8.76</c:v>
                </c:pt>
                <c:pt idx="13">
                  <c:v>11.26</c:v>
                </c:pt>
                <c:pt idx="14">
                  <c:v>11.3</c:v>
                </c:pt>
                <c:pt idx="15">
                  <c:v>12.33</c:v>
                </c:pt>
              </c:numCache>
            </c:numRef>
          </c:val>
          <c:smooth val="0"/>
          <c:extLst>
            <c:ext xmlns:c16="http://schemas.microsoft.com/office/drawing/2014/chart" uri="{C3380CC4-5D6E-409C-BE32-E72D297353CC}">
              <c16:uniqueId val="{00000001-D7B4-4A19-BBD9-DFEE977FE00C}"/>
            </c:ext>
          </c:extLst>
        </c:ser>
        <c:ser>
          <c:idx val="2"/>
          <c:order val="2"/>
          <c:tx>
            <c:strRef>
              <c:f>Oxygen!$A$5</c:f>
              <c:strCache>
                <c:ptCount val="1"/>
                <c:pt idx="0">
                  <c:v>45-Bear Creek Discharge</c:v>
                </c:pt>
              </c:strCache>
            </c:strRef>
          </c:tx>
          <c:marker>
            <c:symbol val="none"/>
          </c:marker>
          <c:val>
            <c:numRef>
              <c:f>Oxygen!$B$5:$Q$5</c:f>
              <c:numCache>
                <c:formatCode>General</c:formatCode>
                <c:ptCount val="16"/>
                <c:pt idx="0">
                  <c:v>12.01</c:v>
                </c:pt>
                <c:pt idx="1">
                  <c:v>12.06</c:v>
                </c:pt>
                <c:pt idx="2">
                  <c:v>10.98</c:v>
                </c:pt>
                <c:pt idx="3">
                  <c:v>7.27</c:v>
                </c:pt>
                <c:pt idx="4">
                  <c:v>6.74</c:v>
                </c:pt>
                <c:pt idx="5">
                  <c:v>5.88</c:v>
                </c:pt>
                <c:pt idx="6">
                  <c:v>5.21</c:v>
                </c:pt>
                <c:pt idx="7">
                  <c:v>6.65</c:v>
                </c:pt>
                <c:pt idx="8">
                  <c:v>8.02</c:v>
                </c:pt>
                <c:pt idx="9">
                  <c:v>4.92</c:v>
                </c:pt>
                <c:pt idx="10">
                  <c:v>6.38</c:v>
                </c:pt>
                <c:pt idx="11">
                  <c:v>7.54</c:v>
                </c:pt>
                <c:pt idx="13">
                  <c:v>9.36</c:v>
                </c:pt>
                <c:pt idx="14">
                  <c:v>9.0500000000000007</c:v>
                </c:pt>
                <c:pt idx="15">
                  <c:v>11</c:v>
                </c:pt>
              </c:numCache>
            </c:numRef>
          </c:val>
          <c:smooth val="0"/>
          <c:extLst>
            <c:ext xmlns:c16="http://schemas.microsoft.com/office/drawing/2014/chart" uri="{C3380CC4-5D6E-409C-BE32-E72D297353CC}">
              <c16:uniqueId val="{00000002-D7B4-4A19-BBD9-DFEE977FE00C}"/>
            </c:ext>
          </c:extLst>
        </c:ser>
        <c:ser>
          <c:idx val="3"/>
          <c:order val="3"/>
          <c:tx>
            <c:strRef>
              <c:f>Oxygen!$A$23</c:f>
              <c:strCache>
                <c:ptCount val="1"/>
                <c:pt idx="0">
                  <c:v>BCR Site 40 Profile Average</c:v>
                </c:pt>
              </c:strCache>
            </c:strRef>
          </c:tx>
          <c:marker>
            <c:symbol val="none"/>
          </c:marker>
          <c:val>
            <c:numRef>
              <c:f>Oxygen!$B$23:$Q$23</c:f>
              <c:numCache>
                <c:formatCode>0.00</c:formatCode>
                <c:ptCount val="16"/>
                <c:pt idx="0">
                  <c:v>8.0578571428571415</c:v>
                </c:pt>
                <c:pt idx="1">
                  <c:v>8.3166666666666682</c:v>
                </c:pt>
                <c:pt idx="2">
                  <c:v>9.2293333333333329</c:v>
                </c:pt>
                <c:pt idx="3">
                  <c:v>7.6799999999999988</c:v>
                </c:pt>
                <c:pt idx="4">
                  <c:v>6.1419999999999995</c:v>
                </c:pt>
                <c:pt idx="5">
                  <c:v>8.75</c:v>
                </c:pt>
                <c:pt idx="6">
                  <c:v>5.9473333333333329</c:v>
                </c:pt>
                <c:pt idx="7">
                  <c:v>7.2471428571428564</c:v>
                </c:pt>
                <c:pt idx="8">
                  <c:v>6.0814285714285727</c:v>
                </c:pt>
                <c:pt idx="9">
                  <c:v>8.1992307692307698</c:v>
                </c:pt>
                <c:pt idx="10">
                  <c:v>7.3346153846153843</c:v>
                </c:pt>
                <c:pt idx="11">
                  <c:v>9.7800000000000011</c:v>
                </c:pt>
                <c:pt idx="12">
                  <c:v>9.24</c:v>
                </c:pt>
                <c:pt idx="13">
                  <c:v>9.0264285714285695</c:v>
                </c:pt>
                <c:pt idx="14">
                  <c:v>10.264285714285714</c:v>
                </c:pt>
                <c:pt idx="15">
                  <c:v>11.288571428571428</c:v>
                </c:pt>
              </c:numCache>
            </c:numRef>
          </c:val>
          <c:smooth val="0"/>
          <c:extLst>
            <c:ext xmlns:c16="http://schemas.microsoft.com/office/drawing/2014/chart" uri="{C3380CC4-5D6E-409C-BE32-E72D297353CC}">
              <c16:uniqueId val="{00000003-D7B4-4A19-BBD9-DFEE977FE00C}"/>
            </c:ext>
          </c:extLst>
        </c:ser>
        <c:dLbls>
          <c:showLegendKey val="0"/>
          <c:showVal val="0"/>
          <c:showCatName val="0"/>
          <c:showSerName val="0"/>
          <c:showPercent val="0"/>
          <c:showBubbleSize val="0"/>
        </c:dLbls>
        <c:smooth val="0"/>
        <c:axId val="134657152"/>
        <c:axId val="134658688"/>
      </c:lineChart>
      <c:dateAx>
        <c:axId val="134657152"/>
        <c:scaling>
          <c:orientation val="minMax"/>
        </c:scaling>
        <c:delete val="0"/>
        <c:axPos val="b"/>
        <c:numFmt formatCode="[$-409]d\-mmm;@" sourceLinked="1"/>
        <c:majorTickMark val="none"/>
        <c:minorTickMark val="none"/>
        <c:tickLblPos val="nextTo"/>
        <c:txPr>
          <a:bodyPr/>
          <a:lstStyle/>
          <a:p>
            <a:pPr>
              <a:defRPr sz="1100" b="1">
                <a:latin typeface="Arial" pitchFamily="34" charset="0"/>
                <a:cs typeface="Arial" pitchFamily="34" charset="0"/>
              </a:defRPr>
            </a:pPr>
            <a:endParaRPr lang="en-US"/>
          </a:p>
        </c:txPr>
        <c:crossAx val="134658688"/>
        <c:crosses val="autoZero"/>
        <c:auto val="1"/>
        <c:lblOffset val="100"/>
        <c:baseTimeUnit val="days"/>
        <c:majorUnit val="30"/>
        <c:majorTimeUnit val="days"/>
      </c:dateAx>
      <c:valAx>
        <c:axId val="134658688"/>
        <c:scaling>
          <c:orientation val="minMax"/>
          <c:max val="14"/>
        </c:scaling>
        <c:delete val="0"/>
        <c:axPos val="l"/>
        <c:majorGridlines/>
        <c:minorGridlines/>
        <c:title>
          <c:tx>
            <c:rich>
              <a:bodyPr/>
              <a:lstStyle/>
              <a:p>
                <a:pPr>
                  <a:defRPr sz="1100">
                    <a:latin typeface="Arial" pitchFamily="34" charset="0"/>
                    <a:cs typeface="Arial" pitchFamily="34" charset="0"/>
                  </a:defRPr>
                </a:pPr>
                <a:r>
                  <a:rPr lang="en-US" sz="1100">
                    <a:latin typeface="Arial" pitchFamily="34" charset="0"/>
                    <a:cs typeface="Arial" pitchFamily="34" charset="0"/>
                  </a:rPr>
                  <a:t>DO mg/l</a:t>
                </a:r>
              </a:p>
            </c:rich>
          </c:tx>
          <c:overlay val="0"/>
        </c:title>
        <c:numFmt formatCode="General" sourceLinked="1"/>
        <c:majorTickMark val="none"/>
        <c:minorTickMark val="none"/>
        <c:tickLblPos val="nextTo"/>
        <c:txPr>
          <a:bodyPr/>
          <a:lstStyle/>
          <a:p>
            <a:pPr>
              <a:defRPr sz="1050" b="1">
                <a:latin typeface="Arial" pitchFamily="34" charset="0"/>
                <a:cs typeface="Arial" pitchFamily="34" charset="0"/>
              </a:defRPr>
            </a:pPr>
            <a:endParaRPr lang="en-US"/>
          </a:p>
        </c:txPr>
        <c:crossAx val="134657152"/>
        <c:crosses val="autoZero"/>
        <c:crossBetween val="between"/>
      </c:valAx>
      <c:spPr>
        <a:gradFill>
          <a:gsLst>
            <a:gs pos="0">
              <a:srgbClr val="1F497D">
                <a:lumMod val="40000"/>
                <a:lumOff val="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1072163896179644"/>
          <c:y val="0.59891698147558148"/>
          <c:w val="0.18806138815981513"/>
          <c:h val="0.20361476491739144"/>
        </c:manualLayout>
      </c:layout>
      <c:overlay val="0"/>
      <c:spPr>
        <a:gradFill>
          <a:gsLst>
            <a:gs pos="0">
              <a:srgbClr val="1F497D">
                <a:lumMod val="40000"/>
                <a:lumOff val="60000"/>
              </a:srgbClr>
            </a:gs>
            <a:gs pos="50000">
              <a:srgbClr val="4F81BD">
                <a:tint val="44500"/>
                <a:satMod val="160000"/>
              </a:srgbClr>
            </a:gs>
            <a:gs pos="100000">
              <a:srgbClr val="4F81BD">
                <a:tint val="23500"/>
                <a:satMod val="160000"/>
              </a:srgbClr>
            </a:gs>
          </a:gsLst>
          <a:lin ang="5400000" scaled="0"/>
        </a:gradFill>
        <a:ln w="12700">
          <a:solidFill>
            <a:srgbClr val="000000"/>
          </a:solidFill>
        </a:ln>
      </c:spPr>
      <c:txPr>
        <a:bodyPr/>
        <a:lstStyle/>
        <a:p>
          <a:pPr>
            <a:defRPr sz="1050">
              <a:latin typeface="Arial" pitchFamily="34" charset="0"/>
              <a:cs typeface="Arial" pitchFamily="34" charset="0"/>
            </a:defRPr>
          </a:pPr>
          <a:endParaRPr lang="en-US"/>
        </a:p>
      </c:txPr>
    </c:legend>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BCR 2012 Temperature C (0.5-2m)</a:t>
            </a:r>
          </a:p>
        </c:rich>
      </c:tx>
      <c:overlay val="0"/>
    </c:title>
    <c:autoTitleDeleted val="0"/>
    <c:plotArea>
      <c:layout/>
      <c:lineChart>
        <c:grouping val="standard"/>
        <c:varyColors val="0"/>
        <c:ser>
          <c:idx val="0"/>
          <c:order val="0"/>
          <c:tx>
            <c:strRef>
              <c:f>'Temp DO Comp'!$A$4</c:f>
              <c:strCache>
                <c:ptCount val="1"/>
                <c:pt idx="0">
                  <c:v>site 40</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Comp'!$B$4:$Q$4</c:f>
              <c:numCache>
                <c:formatCode>0.00</c:formatCode>
                <c:ptCount val="16"/>
                <c:pt idx="0">
                  <c:v>2.63</c:v>
                </c:pt>
                <c:pt idx="1">
                  <c:v>2.65</c:v>
                </c:pt>
                <c:pt idx="2">
                  <c:v>9.6</c:v>
                </c:pt>
                <c:pt idx="3">
                  <c:v>14.8</c:v>
                </c:pt>
                <c:pt idx="4">
                  <c:v>16.63</c:v>
                </c:pt>
                <c:pt idx="5">
                  <c:v>22.38</c:v>
                </c:pt>
                <c:pt idx="6">
                  <c:v>22.33</c:v>
                </c:pt>
                <c:pt idx="7">
                  <c:v>23.9</c:v>
                </c:pt>
                <c:pt idx="8">
                  <c:v>22.83</c:v>
                </c:pt>
                <c:pt idx="9">
                  <c:v>21.2</c:v>
                </c:pt>
                <c:pt idx="10">
                  <c:v>20.5</c:v>
                </c:pt>
                <c:pt idx="11">
                  <c:v>17.899999999999999</c:v>
                </c:pt>
                <c:pt idx="12">
                  <c:v>12.93</c:v>
                </c:pt>
                <c:pt idx="13">
                  <c:v>11.83</c:v>
                </c:pt>
                <c:pt idx="14">
                  <c:v>5.8</c:v>
                </c:pt>
                <c:pt idx="15">
                  <c:v>3.35</c:v>
                </c:pt>
              </c:numCache>
            </c:numRef>
          </c:val>
          <c:smooth val="0"/>
          <c:extLst>
            <c:ext xmlns:c16="http://schemas.microsoft.com/office/drawing/2014/chart" uri="{C3380CC4-5D6E-409C-BE32-E72D297353CC}">
              <c16:uniqueId val="{00000000-C5E5-4607-A76C-259A5C55B061}"/>
            </c:ext>
          </c:extLst>
        </c:ser>
        <c:ser>
          <c:idx val="1"/>
          <c:order val="1"/>
          <c:tx>
            <c:strRef>
              <c:f>'Temp DO Comp'!$A$5</c:f>
              <c:strCache>
                <c:ptCount val="1"/>
                <c:pt idx="0">
                  <c:v>Site 41</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Comp'!$B$5:$Q$5</c:f>
              <c:numCache>
                <c:formatCode>0.00</c:formatCode>
                <c:ptCount val="16"/>
                <c:pt idx="0">
                  <c:v>2.6</c:v>
                </c:pt>
                <c:pt idx="1">
                  <c:v>2.75</c:v>
                </c:pt>
                <c:pt idx="2">
                  <c:v>9.6</c:v>
                </c:pt>
                <c:pt idx="3">
                  <c:v>14.83</c:v>
                </c:pt>
                <c:pt idx="4">
                  <c:v>17.05</c:v>
                </c:pt>
                <c:pt idx="5">
                  <c:v>22.7</c:v>
                </c:pt>
                <c:pt idx="6">
                  <c:v>22.23</c:v>
                </c:pt>
                <c:pt idx="7">
                  <c:v>24</c:v>
                </c:pt>
                <c:pt idx="8">
                  <c:v>22.95</c:v>
                </c:pt>
                <c:pt idx="9">
                  <c:v>21.4</c:v>
                </c:pt>
                <c:pt idx="10">
                  <c:v>20.18</c:v>
                </c:pt>
                <c:pt idx="11">
                  <c:v>17.899999999999999</c:v>
                </c:pt>
                <c:pt idx="12">
                  <c:v>12.78</c:v>
                </c:pt>
                <c:pt idx="13">
                  <c:v>11.8</c:v>
                </c:pt>
                <c:pt idx="14">
                  <c:v>5.8</c:v>
                </c:pt>
              </c:numCache>
            </c:numRef>
          </c:val>
          <c:smooth val="0"/>
          <c:extLst>
            <c:ext xmlns:c16="http://schemas.microsoft.com/office/drawing/2014/chart" uri="{C3380CC4-5D6E-409C-BE32-E72D297353CC}">
              <c16:uniqueId val="{00000001-C5E5-4607-A76C-259A5C55B061}"/>
            </c:ext>
          </c:extLst>
        </c:ser>
        <c:ser>
          <c:idx val="2"/>
          <c:order val="2"/>
          <c:tx>
            <c:strRef>
              <c:f>'Temp DO Comp'!$A$6</c:f>
              <c:strCache>
                <c:ptCount val="1"/>
                <c:pt idx="0">
                  <c:v>Site 42</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Comp'!$B$6:$Q$6</c:f>
              <c:numCache>
                <c:formatCode>0.00</c:formatCode>
                <c:ptCount val="16"/>
                <c:pt idx="0">
                  <c:v>2.75</c:v>
                </c:pt>
                <c:pt idx="1">
                  <c:v>2.88</c:v>
                </c:pt>
                <c:pt idx="2">
                  <c:v>8.8800000000000008</c:v>
                </c:pt>
                <c:pt idx="3">
                  <c:v>14.38</c:v>
                </c:pt>
                <c:pt idx="4">
                  <c:v>16.38</c:v>
                </c:pt>
                <c:pt idx="5">
                  <c:v>22.5</c:v>
                </c:pt>
                <c:pt idx="6">
                  <c:v>22.2</c:v>
                </c:pt>
                <c:pt idx="7">
                  <c:v>23.98</c:v>
                </c:pt>
                <c:pt idx="8">
                  <c:v>23.05</c:v>
                </c:pt>
                <c:pt idx="9">
                  <c:v>21.38</c:v>
                </c:pt>
                <c:pt idx="10">
                  <c:v>20.18</c:v>
                </c:pt>
                <c:pt idx="11">
                  <c:v>17.899999999999999</c:v>
                </c:pt>
                <c:pt idx="12">
                  <c:v>12.73</c:v>
                </c:pt>
                <c:pt idx="13">
                  <c:v>11.63</c:v>
                </c:pt>
                <c:pt idx="14">
                  <c:v>5.7</c:v>
                </c:pt>
              </c:numCache>
            </c:numRef>
          </c:val>
          <c:smooth val="0"/>
          <c:extLst>
            <c:ext xmlns:c16="http://schemas.microsoft.com/office/drawing/2014/chart" uri="{C3380CC4-5D6E-409C-BE32-E72D297353CC}">
              <c16:uniqueId val="{00000002-C5E5-4607-A76C-259A5C55B061}"/>
            </c:ext>
          </c:extLst>
        </c:ser>
        <c:ser>
          <c:idx val="3"/>
          <c:order val="3"/>
          <c:tx>
            <c:strRef>
              <c:f>'Temp DO Comp'!$A$7</c:f>
              <c:strCache>
                <c:ptCount val="1"/>
                <c:pt idx="0">
                  <c:v>Site 43</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Comp'!$B$7:$Q$7</c:f>
              <c:numCache>
                <c:formatCode>0.00</c:formatCode>
                <c:ptCount val="16"/>
                <c:pt idx="0">
                  <c:v>2.78</c:v>
                </c:pt>
                <c:pt idx="1">
                  <c:v>2.65</c:v>
                </c:pt>
                <c:pt idx="2">
                  <c:v>9.5</c:v>
                </c:pt>
                <c:pt idx="3">
                  <c:v>15.18</c:v>
                </c:pt>
                <c:pt idx="4">
                  <c:v>16.8</c:v>
                </c:pt>
                <c:pt idx="5">
                  <c:v>23.25</c:v>
                </c:pt>
                <c:pt idx="6">
                  <c:v>22.4</c:v>
                </c:pt>
                <c:pt idx="7">
                  <c:v>24.65</c:v>
                </c:pt>
                <c:pt idx="8">
                  <c:v>23.35</c:v>
                </c:pt>
                <c:pt idx="9">
                  <c:v>21.9</c:v>
                </c:pt>
                <c:pt idx="10">
                  <c:v>20.83</c:v>
                </c:pt>
                <c:pt idx="11">
                  <c:v>18.03</c:v>
                </c:pt>
                <c:pt idx="12">
                  <c:v>13.1</c:v>
                </c:pt>
                <c:pt idx="13">
                  <c:v>11.9</c:v>
                </c:pt>
                <c:pt idx="14">
                  <c:v>5.8</c:v>
                </c:pt>
                <c:pt idx="15">
                  <c:v>3</c:v>
                </c:pt>
              </c:numCache>
            </c:numRef>
          </c:val>
          <c:smooth val="0"/>
          <c:extLst>
            <c:ext xmlns:c16="http://schemas.microsoft.com/office/drawing/2014/chart" uri="{C3380CC4-5D6E-409C-BE32-E72D297353CC}">
              <c16:uniqueId val="{00000003-C5E5-4607-A76C-259A5C55B061}"/>
            </c:ext>
          </c:extLst>
        </c:ser>
        <c:ser>
          <c:idx val="4"/>
          <c:order val="4"/>
          <c:tx>
            <c:strRef>
              <c:f>'Temp DO Comp'!$A$8</c:f>
              <c:strCache>
                <c:ptCount val="1"/>
                <c:pt idx="0">
                  <c:v>Site 44</c:v>
                </c:pt>
              </c:strCache>
            </c:strRef>
          </c:tx>
          <c:marker>
            <c:symbol val="none"/>
          </c:marker>
          <c:cat>
            <c:strRef>
              <c:f>'Temp DO Comp'!$B$2:$Q$2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Comp'!$B$8:$Q$8</c:f>
              <c:numCache>
                <c:formatCode>0.00</c:formatCode>
                <c:ptCount val="16"/>
                <c:pt idx="0">
                  <c:v>2.68</c:v>
                </c:pt>
                <c:pt idx="1">
                  <c:v>3.28</c:v>
                </c:pt>
                <c:pt idx="2">
                  <c:v>9.5</c:v>
                </c:pt>
                <c:pt idx="3">
                  <c:v>15.28</c:v>
                </c:pt>
                <c:pt idx="4">
                  <c:v>17.13</c:v>
                </c:pt>
                <c:pt idx="5">
                  <c:v>22.95</c:v>
                </c:pt>
                <c:pt idx="6">
                  <c:v>22.4</c:v>
                </c:pt>
                <c:pt idx="7">
                  <c:v>24.16</c:v>
                </c:pt>
                <c:pt idx="8">
                  <c:v>23.15</c:v>
                </c:pt>
                <c:pt idx="9">
                  <c:v>21.95</c:v>
                </c:pt>
                <c:pt idx="10">
                  <c:v>20.85</c:v>
                </c:pt>
                <c:pt idx="11">
                  <c:v>17.98</c:v>
                </c:pt>
                <c:pt idx="12">
                  <c:v>12.8</c:v>
                </c:pt>
                <c:pt idx="13">
                  <c:v>11.78</c:v>
                </c:pt>
                <c:pt idx="14">
                  <c:v>5.8</c:v>
                </c:pt>
                <c:pt idx="15">
                  <c:v>3.58</c:v>
                </c:pt>
              </c:numCache>
            </c:numRef>
          </c:val>
          <c:smooth val="0"/>
          <c:extLst>
            <c:ext xmlns:c16="http://schemas.microsoft.com/office/drawing/2014/chart" uri="{C3380CC4-5D6E-409C-BE32-E72D297353CC}">
              <c16:uniqueId val="{00000004-C5E5-4607-A76C-259A5C55B061}"/>
            </c:ext>
          </c:extLst>
        </c:ser>
        <c:ser>
          <c:idx val="5"/>
          <c:order val="5"/>
          <c:tx>
            <c:strRef>
              <c:f>'Temp DO Comp'!$A$9</c:f>
              <c:strCache>
                <c:ptCount val="1"/>
                <c:pt idx="0">
                  <c:v>S(Jan-Mar)</c:v>
                </c:pt>
              </c:strCache>
            </c:strRef>
          </c:tx>
          <c:spPr>
            <a:ln w="44450" cmpd="sng">
              <a:prstDash val="sysDash"/>
            </a:ln>
          </c:spPr>
          <c:marker>
            <c:symbol val="none"/>
          </c:marker>
          <c:val>
            <c:numRef>
              <c:f>'Temp DO Comp'!$B$9:$D$9</c:f>
              <c:numCache>
                <c:formatCode>0</c:formatCode>
                <c:ptCount val="3"/>
                <c:pt idx="0" formatCode="General">
                  <c:v>9</c:v>
                </c:pt>
                <c:pt idx="1">
                  <c:v>9</c:v>
                </c:pt>
                <c:pt idx="2">
                  <c:v>9</c:v>
                </c:pt>
              </c:numCache>
            </c:numRef>
          </c:val>
          <c:smooth val="0"/>
          <c:extLst>
            <c:ext xmlns:c16="http://schemas.microsoft.com/office/drawing/2014/chart" uri="{C3380CC4-5D6E-409C-BE32-E72D297353CC}">
              <c16:uniqueId val="{00000005-C5E5-4607-A76C-259A5C55B061}"/>
            </c:ext>
          </c:extLst>
        </c:ser>
        <c:ser>
          <c:idx val="6"/>
          <c:order val="6"/>
          <c:tx>
            <c:strRef>
              <c:f>'Temp DO Comp'!$A$10</c:f>
              <c:strCache>
                <c:ptCount val="1"/>
                <c:pt idx="0">
                  <c:v>S(Apr-Dec)</c:v>
                </c:pt>
              </c:strCache>
            </c:strRef>
          </c:tx>
          <c:spPr>
            <a:ln w="44450">
              <a:prstDash val="sysDash"/>
            </a:ln>
          </c:spPr>
          <c:marker>
            <c:symbol val="none"/>
          </c:marker>
          <c:val>
            <c:numRef>
              <c:f>'Temp DO Comp'!$B$10:$Q$10</c:f>
              <c:numCache>
                <c:formatCode>0.00</c:formatCode>
                <c:ptCount val="16"/>
                <c:pt idx="3" formatCode="General">
                  <c:v>23.3</c:v>
                </c:pt>
                <c:pt idx="4" formatCode="General">
                  <c:v>23.3</c:v>
                </c:pt>
                <c:pt idx="5" formatCode="General">
                  <c:v>23.3</c:v>
                </c:pt>
                <c:pt idx="6" formatCode="General">
                  <c:v>23.3</c:v>
                </c:pt>
                <c:pt idx="7" formatCode="General">
                  <c:v>23.3</c:v>
                </c:pt>
                <c:pt idx="8" formatCode="General">
                  <c:v>23.3</c:v>
                </c:pt>
                <c:pt idx="9" formatCode="General">
                  <c:v>23.3</c:v>
                </c:pt>
                <c:pt idx="10" formatCode="General">
                  <c:v>23.3</c:v>
                </c:pt>
                <c:pt idx="11" formatCode="General">
                  <c:v>23.3</c:v>
                </c:pt>
                <c:pt idx="12" formatCode="General">
                  <c:v>23.3</c:v>
                </c:pt>
                <c:pt idx="13" formatCode="General">
                  <c:v>23.3</c:v>
                </c:pt>
                <c:pt idx="14" formatCode="General">
                  <c:v>23.3</c:v>
                </c:pt>
                <c:pt idx="15" formatCode="General">
                  <c:v>23.3</c:v>
                </c:pt>
              </c:numCache>
            </c:numRef>
          </c:val>
          <c:smooth val="0"/>
          <c:extLst>
            <c:ext xmlns:c16="http://schemas.microsoft.com/office/drawing/2014/chart" uri="{C3380CC4-5D6E-409C-BE32-E72D297353CC}">
              <c16:uniqueId val="{00000006-C5E5-4607-A76C-259A5C55B061}"/>
            </c:ext>
          </c:extLst>
        </c:ser>
        <c:dLbls>
          <c:showLegendKey val="0"/>
          <c:showVal val="0"/>
          <c:showCatName val="0"/>
          <c:showSerName val="0"/>
          <c:showPercent val="0"/>
          <c:showBubbleSize val="0"/>
        </c:dLbls>
        <c:smooth val="0"/>
        <c:axId val="134802048"/>
        <c:axId val="134906240"/>
      </c:lineChart>
      <c:catAx>
        <c:axId val="134802048"/>
        <c:scaling>
          <c:orientation val="minMax"/>
        </c:scaling>
        <c:delete val="0"/>
        <c:axPos val="b"/>
        <c:numFmt formatCode="General" sourceLinked="0"/>
        <c:majorTickMark val="none"/>
        <c:minorTickMark val="none"/>
        <c:tickLblPos val="nextTo"/>
        <c:crossAx val="134906240"/>
        <c:crosses val="autoZero"/>
        <c:auto val="1"/>
        <c:lblAlgn val="ctr"/>
        <c:lblOffset val="100"/>
        <c:noMultiLvlLbl val="0"/>
      </c:catAx>
      <c:valAx>
        <c:axId val="134906240"/>
        <c:scaling>
          <c:orientation val="minMax"/>
        </c:scaling>
        <c:delete val="0"/>
        <c:axPos val="l"/>
        <c:majorGridlines/>
        <c:title>
          <c:tx>
            <c:rich>
              <a:bodyPr/>
              <a:lstStyle/>
              <a:p>
                <a:pPr>
                  <a:defRPr/>
                </a:pPr>
                <a:r>
                  <a:rPr lang="en-US"/>
                  <a:t>Temperature C</a:t>
                </a:r>
              </a:p>
            </c:rich>
          </c:tx>
          <c:overlay val="0"/>
        </c:title>
        <c:numFmt formatCode="0.00" sourceLinked="1"/>
        <c:majorTickMark val="none"/>
        <c:minorTickMark val="none"/>
        <c:tickLblPos val="nextTo"/>
        <c:crossAx val="134802048"/>
        <c:crosses val="autoZero"/>
        <c:crossBetween val="between"/>
      </c:valAx>
      <c:dTable>
        <c:showHorzBorder val="1"/>
        <c:showVertBorder val="1"/>
        <c:showOutline val="1"/>
        <c:showKeys val="1"/>
      </c:dTable>
      <c:spPr>
        <a:gradFill>
          <a:gsLst>
            <a:gs pos="0">
              <a:schemeClr val="tx2">
                <a:lumMod val="20000"/>
                <a:lumOff val="80000"/>
              </a:schemeClr>
            </a:gs>
            <a:gs pos="53000">
              <a:srgbClr val="D4DEFF"/>
            </a:gs>
            <a:gs pos="83000">
              <a:srgbClr val="D4DEFF"/>
            </a:gs>
            <a:gs pos="100000">
              <a:srgbClr val="96AB94"/>
            </a:gs>
          </a:gsLst>
          <a:lin ang="5400000" scaled="0"/>
        </a:gradFill>
      </c:spPr>
    </c:plotArea>
    <c:plotVisOnly val="1"/>
    <c:dispBlanksAs val="gap"/>
    <c:showDLblsOverMax val="0"/>
  </c:chart>
  <c:spPr>
    <a:gradFill>
      <a:gsLst>
        <a:gs pos="0">
          <a:schemeClr val="accent1">
            <a:lumMod val="60000"/>
            <a:lumOff val="40000"/>
          </a:schemeClr>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Bear Creek Reservoir Nitrate-Nitrogen [ug/l] Trend</a:t>
            </a:r>
          </a:p>
        </c:rich>
      </c:tx>
      <c:layout>
        <c:manualLayout>
          <c:xMode val="edge"/>
          <c:yMode val="edge"/>
          <c:x val="0.17907444668008049"/>
          <c:y val="3.6065573770491806E-2"/>
        </c:manualLayout>
      </c:layout>
      <c:overlay val="0"/>
      <c:spPr>
        <a:noFill/>
        <a:ln w="25400">
          <a:noFill/>
        </a:ln>
      </c:spPr>
    </c:title>
    <c:autoTitleDeleted val="0"/>
    <c:plotArea>
      <c:layout>
        <c:manualLayout>
          <c:layoutTarget val="inner"/>
          <c:xMode val="edge"/>
          <c:yMode val="edge"/>
          <c:x val="8.6519114688128479E-2"/>
          <c:y val="0.15737704918033879"/>
          <c:w val="0.89738430583497519"/>
          <c:h val="0.66557377049181365"/>
        </c:manualLayout>
      </c:layout>
      <c:barChart>
        <c:barDir val="col"/>
        <c:grouping val="clustered"/>
        <c:varyColors val="0"/>
        <c:ser>
          <c:idx val="0"/>
          <c:order val="0"/>
          <c:tx>
            <c:strRef>
              <c:f>'Annual Reservoir Trends'!$B$10</c:f>
              <c:strCache>
                <c:ptCount val="1"/>
                <c:pt idx="0">
                  <c:v>Top</c:v>
                </c:pt>
              </c:strCache>
            </c:strRef>
          </c:tx>
          <c:spPr>
            <a:solidFill>
              <a:srgbClr val="9999FF"/>
            </a:solidFill>
            <a:ln w="12700">
              <a:solidFill>
                <a:srgbClr val="000000"/>
              </a:solidFill>
              <a:prstDash val="solid"/>
            </a:ln>
          </c:spPr>
          <c:invertIfNegative val="0"/>
          <c:cat>
            <c:numRef>
              <c:f>'Annual Reservoir Trends'!$C$3:$X$3</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'Annual Reservoir Trends'!$C$10:$X$10</c:f>
              <c:numCache>
                <c:formatCode>General</c:formatCode>
                <c:ptCount val="22"/>
                <c:pt idx="0">
                  <c:v>442</c:v>
                </c:pt>
                <c:pt idx="1">
                  <c:v>289</c:v>
                </c:pt>
                <c:pt idx="2">
                  <c:v>504</c:v>
                </c:pt>
                <c:pt idx="3">
                  <c:v>382</c:v>
                </c:pt>
                <c:pt idx="4">
                  <c:v>474</c:v>
                </c:pt>
                <c:pt idx="5">
                  <c:v>578</c:v>
                </c:pt>
                <c:pt idx="6">
                  <c:v>393</c:v>
                </c:pt>
                <c:pt idx="7">
                  <c:v>388</c:v>
                </c:pt>
                <c:pt idx="8">
                  <c:v>224</c:v>
                </c:pt>
                <c:pt idx="9">
                  <c:v>431</c:v>
                </c:pt>
                <c:pt idx="10">
                  <c:v>401</c:v>
                </c:pt>
                <c:pt idx="11">
                  <c:v>289</c:v>
                </c:pt>
                <c:pt idx="12">
                  <c:v>268</c:v>
                </c:pt>
                <c:pt idx="13">
                  <c:v>268</c:v>
                </c:pt>
                <c:pt idx="14" formatCode="0">
                  <c:v>193.23769230769227</c:v>
                </c:pt>
                <c:pt idx="15" formatCode="0">
                  <c:v>158.27857142857144</c:v>
                </c:pt>
                <c:pt idx="16" formatCode="0">
                  <c:v>221.96199999999999</c:v>
                </c:pt>
                <c:pt idx="17" formatCode="0">
                  <c:v>233</c:v>
                </c:pt>
                <c:pt idx="18" formatCode="0">
                  <c:v>291</c:v>
                </c:pt>
                <c:pt idx="19" formatCode="0">
                  <c:v>287</c:v>
                </c:pt>
                <c:pt idx="20" formatCode="0">
                  <c:v>158</c:v>
                </c:pt>
                <c:pt idx="21" formatCode="0">
                  <c:v>165</c:v>
                </c:pt>
              </c:numCache>
            </c:numRef>
          </c:val>
          <c:extLst>
            <c:ext xmlns:c16="http://schemas.microsoft.com/office/drawing/2014/chart" uri="{C3380CC4-5D6E-409C-BE32-E72D297353CC}">
              <c16:uniqueId val="{00000000-7D42-43C3-B7FC-392C1F3DBB08}"/>
            </c:ext>
          </c:extLst>
        </c:ser>
        <c:ser>
          <c:idx val="3"/>
          <c:order val="1"/>
          <c:tx>
            <c:strRef>
              <c:f>'Annual Reservoir Trends'!$B$12</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poly"/>
            <c:order val="6"/>
            <c:dispRSqr val="0"/>
            <c:dispEq val="0"/>
          </c:trendline>
          <c:cat>
            <c:numRef>
              <c:f>'Annual Reservoir Trends'!$C$3:$X$3</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'Annual Reservoir Trends'!$C$12:$X$12</c:f>
              <c:numCache>
                <c:formatCode>General</c:formatCode>
                <c:ptCount val="22"/>
                <c:pt idx="0">
                  <c:v>341</c:v>
                </c:pt>
                <c:pt idx="1">
                  <c:v>228</c:v>
                </c:pt>
                <c:pt idx="2">
                  <c:v>333</c:v>
                </c:pt>
                <c:pt idx="3">
                  <c:v>308</c:v>
                </c:pt>
                <c:pt idx="4">
                  <c:v>503</c:v>
                </c:pt>
                <c:pt idx="5">
                  <c:v>561</c:v>
                </c:pt>
                <c:pt idx="6">
                  <c:v>341</c:v>
                </c:pt>
                <c:pt idx="7">
                  <c:v>342</c:v>
                </c:pt>
                <c:pt idx="8">
                  <c:v>231</c:v>
                </c:pt>
                <c:pt idx="9">
                  <c:v>483</c:v>
                </c:pt>
                <c:pt idx="10">
                  <c:v>390</c:v>
                </c:pt>
                <c:pt idx="11">
                  <c:v>268</c:v>
                </c:pt>
                <c:pt idx="12">
                  <c:v>259</c:v>
                </c:pt>
                <c:pt idx="13">
                  <c:v>224</c:v>
                </c:pt>
                <c:pt idx="14" formatCode="0">
                  <c:v>220.75615384615381</c:v>
                </c:pt>
                <c:pt idx="15" formatCode="0">
                  <c:v>151.27000000000001</c:v>
                </c:pt>
                <c:pt idx="16" formatCode="0">
                  <c:v>232.79071428571427</c:v>
                </c:pt>
                <c:pt idx="17" formatCode="0">
                  <c:v>230</c:v>
                </c:pt>
                <c:pt idx="18" formatCode="0">
                  <c:v>244</c:v>
                </c:pt>
                <c:pt idx="19" formatCode="0">
                  <c:v>222</c:v>
                </c:pt>
                <c:pt idx="20" formatCode="0">
                  <c:v>186</c:v>
                </c:pt>
                <c:pt idx="21" formatCode="0">
                  <c:v>102</c:v>
                </c:pt>
              </c:numCache>
            </c:numRef>
          </c:val>
          <c:extLst>
            <c:ext xmlns:c16="http://schemas.microsoft.com/office/drawing/2014/chart" uri="{C3380CC4-5D6E-409C-BE32-E72D297353CC}">
              <c16:uniqueId val="{00000002-7D42-43C3-B7FC-392C1F3DBB08}"/>
            </c:ext>
          </c:extLst>
        </c:ser>
        <c:dLbls>
          <c:showLegendKey val="0"/>
          <c:showVal val="0"/>
          <c:showCatName val="0"/>
          <c:showSerName val="0"/>
          <c:showPercent val="0"/>
          <c:showBubbleSize val="0"/>
        </c:dLbls>
        <c:gapWidth val="150"/>
        <c:axId val="156180480"/>
        <c:axId val="156413952"/>
      </c:barChart>
      <c:catAx>
        <c:axId val="156180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00" b="1" i="0" u="none" strike="noStrike" baseline="0">
                <a:solidFill>
                  <a:srgbClr val="000000"/>
                </a:solidFill>
                <a:latin typeface="Arial"/>
                <a:ea typeface="Arial"/>
                <a:cs typeface="Arial"/>
              </a:defRPr>
            </a:pPr>
            <a:endParaRPr lang="en-US"/>
          </a:p>
        </c:txPr>
        <c:crossAx val="156413952"/>
        <c:crosses val="autoZero"/>
        <c:auto val="1"/>
        <c:lblAlgn val="ctr"/>
        <c:lblOffset val="100"/>
        <c:tickLblSkip val="1"/>
        <c:tickMarkSkip val="1"/>
        <c:noMultiLvlLbl val="0"/>
      </c:catAx>
      <c:valAx>
        <c:axId val="1564139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5618048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69818913480885314"/>
          <c:y val="0.13989071038251366"/>
          <c:w val="0.27364185110663974"/>
          <c:h val="0.1901639344262324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6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2012 DO Compliance Bear Creek Reservoir Site 40 Central Pool</a:t>
            </a:r>
          </a:p>
        </c:rich>
      </c:tx>
      <c:layout>
        <c:manualLayout>
          <c:xMode val="edge"/>
          <c:yMode val="edge"/>
          <c:x val="0.37165956565936742"/>
          <c:y val="5.0375220954524187E-2"/>
        </c:manualLayout>
      </c:layout>
      <c:overlay val="0"/>
    </c:title>
    <c:autoTitleDeleted val="0"/>
    <c:plotArea>
      <c:layout>
        <c:manualLayout>
          <c:layoutTarget val="inner"/>
          <c:xMode val="edge"/>
          <c:yMode val="edge"/>
          <c:x val="0.24042892058729445"/>
          <c:y val="0.11462692163479567"/>
          <c:w val="0.7381233612514887"/>
          <c:h val="0.69914671380363169"/>
        </c:manualLayout>
      </c:layout>
      <c:lineChart>
        <c:grouping val="standard"/>
        <c:varyColors val="0"/>
        <c:ser>
          <c:idx val="2"/>
          <c:order val="0"/>
          <c:tx>
            <c:strRef>
              <c:f>'Temp DO Comp'!$S$5</c:f>
              <c:strCache>
                <c:ptCount val="1"/>
                <c:pt idx="0">
                  <c:v>Profile Average (mg/l)</c:v>
                </c:pt>
              </c:strCache>
            </c:strRef>
          </c:tx>
          <c:spPr>
            <a:ln>
              <a:solidFill>
                <a:srgbClr val="C00000"/>
              </a:solidFill>
            </a:ln>
          </c:spPr>
          <c:marker>
            <c:spPr>
              <a:solidFill>
                <a:srgbClr val="C00000"/>
              </a:solidFill>
            </c:spPr>
          </c:marker>
          <c:cat>
            <c:strRef>
              <c:f>'Temp DO Comp'!$T$2:$AJ$2</c:f>
              <c:strCache>
                <c:ptCount val="16"/>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Oct</c:v>
                </c:pt>
                <c:pt idx="14">
                  <c:v>Nov</c:v>
                </c:pt>
                <c:pt idx="15">
                  <c:v>Dec</c:v>
                </c:pt>
              </c:strCache>
            </c:strRef>
          </c:cat>
          <c:val>
            <c:numRef>
              <c:f>'Temp DO Comp'!$T$5:$AJ$5</c:f>
              <c:numCache>
                <c:formatCode>0.0</c:formatCode>
                <c:ptCount val="16"/>
                <c:pt idx="0">
                  <c:v>8.06</c:v>
                </c:pt>
                <c:pt idx="1">
                  <c:v>8.3166666666666682</c:v>
                </c:pt>
                <c:pt idx="2">
                  <c:v>9.2293333333333329</c:v>
                </c:pt>
                <c:pt idx="3">
                  <c:v>7.6799999999999988</c:v>
                </c:pt>
                <c:pt idx="4" formatCode="General">
                  <c:v>6.1419999999999995</c:v>
                </c:pt>
                <c:pt idx="5">
                  <c:v>8.75</c:v>
                </c:pt>
                <c:pt idx="6" formatCode="General">
                  <c:v>5.9473333333333329</c:v>
                </c:pt>
                <c:pt idx="7">
                  <c:v>7.2471428571428564</c:v>
                </c:pt>
                <c:pt idx="8">
                  <c:v>6.0814285714285727</c:v>
                </c:pt>
                <c:pt idx="9">
                  <c:v>8.1992307692307698</c:v>
                </c:pt>
                <c:pt idx="10">
                  <c:v>7.3346153846153843</c:v>
                </c:pt>
                <c:pt idx="11">
                  <c:v>9.7800000000000011</c:v>
                </c:pt>
                <c:pt idx="12">
                  <c:v>9.24</c:v>
                </c:pt>
                <c:pt idx="13">
                  <c:v>9.0264285714285695</c:v>
                </c:pt>
                <c:pt idx="14">
                  <c:v>10.26</c:v>
                </c:pt>
                <c:pt idx="15">
                  <c:v>11.29</c:v>
                </c:pt>
              </c:numCache>
            </c:numRef>
          </c:val>
          <c:smooth val="0"/>
          <c:extLst>
            <c:ext xmlns:c16="http://schemas.microsoft.com/office/drawing/2014/chart" uri="{C3380CC4-5D6E-409C-BE32-E72D297353CC}">
              <c16:uniqueId val="{00000000-A465-4077-A3AE-4050E0B3CFE7}"/>
            </c:ext>
          </c:extLst>
        </c:ser>
        <c:ser>
          <c:idx val="3"/>
          <c:order val="1"/>
          <c:tx>
            <c:strRef>
              <c:f>'Temp DO Comp'!$S$4</c:f>
              <c:strCache>
                <c:ptCount val="1"/>
                <c:pt idx="0">
                  <c:v>Average1/2-2m (mg/l)</c:v>
                </c:pt>
              </c:strCache>
            </c:strRef>
          </c:tx>
          <c:cat>
            <c:strRef>
              <c:f>'Temp DO Comp'!$T$2:$AG$2</c:f>
              <c:strCache>
                <c:ptCount val="13"/>
                <c:pt idx="0">
                  <c:v>Jan</c:v>
                </c:pt>
                <c:pt idx="1">
                  <c:v>Feb</c:v>
                </c:pt>
                <c:pt idx="2">
                  <c:v>Mar</c:v>
                </c:pt>
                <c:pt idx="3">
                  <c:v>Apr</c:v>
                </c:pt>
                <c:pt idx="4">
                  <c:v>May</c:v>
                </c:pt>
                <c:pt idx="5">
                  <c:v>Jun</c:v>
                </c:pt>
                <c:pt idx="6">
                  <c:v>Jul</c:v>
                </c:pt>
                <c:pt idx="7">
                  <c:v>Jul</c:v>
                </c:pt>
                <c:pt idx="8">
                  <c:v>Aug</c:v>
                </c:pt>
                <c:pt idx="9">
                  <c:v>Aug</c:v>
                </c:pt>
                <c:pt idx="10">
                  <c:v>Sep</c:v>
                </c:pt>
                <c:pt idx="11">
                  <c:v>Sep</c:v>
                </c:pt>
                <c:pt idx="12">
                  <c:v>Oct</c:v>
                </c:pt>
              </c:strCache>
            </c:strRef>
          </c:cat>
          <c:val>
            <c:numRef>
              <c:f>'Temp DO Comp'!$T$4:$AJ$4</c:f>
              <c:numCache>
                <c:formatCode>0.0</c:formatCode>
                <c:ptCount val="16"/>
                <c:pt idx="0">
                  <c:v>10.55</c:v>
                </c:pt>
                <c:pt idx="1">
                  <c:v>12.475</c:v>
                </c:pt>
                <c:pt idx="2">
                  <c:v>10.3575</c:v>
                </c:pt>
                <c:pt idx="3">
                  <c:v>9.2424999999999997</c:v>
                </c:pt>
                <c:pt idx="4" formatCode="General">
                  <c:v>8.317499999999999</c:v>
                </c:pt>
                <c:pt idx="5">
                  <c:v>9.3874999999999993</c:v>
                </c:pt>
                <c:pt idx="6" formatCode="General">
                  <c:v>6.34</c:v>
                </c:pt>
                <c:pt idx="7">
                  <c:v>7.5824999999999996</c:v>
                </c:pt>
                <c:pt idx="8">
                  <c:v>6.7424999999999997</c:v>
                </c:pt>
                <c:pt idx="9">
                  <c:v>8.2050000000000001</c:v>
                </c:pt>
                <c:pt idx="10">
                  <c:v>7.7324999999999999</c:v>
                </c:pt>
                <c:pt idx="11">
                  <c:v>10.120000000000001</c:v>
                </c:pt>
                <c:pt idx="12">
                  <c:v>10.147499999999999</c:v>
                </c:pt>
                <c:pt idx="13">
                  <c:v>10.16</c:v>
                </c:pt>
                <c:pt idx="14">
                  <c:v>11.39</c:v>
                </c:pt>
                <c:pt idx="15">
                  <c:v>12.52</c:v>
                </c:pt>
              </c:numCache>
            </c:numRef>
          </c:val>
          <c:smooth val="0"/>
          <c:extLst>
            <c:ext xmlns:c16="http://schemas.microsoft.com/office/drawing/2014/chart" uri="{C3380CC4-5D6E-409C-BE32-E72D297353CC}">
              <c16:uniqueId val="{00000001-A465-4077-A3AE-4050E0B3CFE7}"/>
            </c:ext>
          </c:extLst>
        </c:ser>
        <c:dLbls>
          <c:showLegendKey val="0"/>
          <c:showVal val="0"/>
          <c:showCatName val="0"/>
          <c:showSerName val="0"/>
          <c:showPercent val="0"/>
          <c:showBubbleSize val="0"/>
        </c:dLbls>
        <c:marker val="1"/>
        <c:smooth val="0"/>
        <c:axId val="135195264"/>
        <c:axId val="135274880"/>
      </c:lineChart>
      <c:catAx>
        <c:axId val="135195264"/>
        <c:scaling>
          <c:orientation val="minMax"/>
        </c:scaling>
        <c:delete val="0"/>
        <c:axPos val="b"/>
        <c:numFmt formatCode="General" sourceLinked="0"/>
        <c:majorTickMark val="none"/>
        <c:minorTickMark val="none"/>
        <c:tickLblPos val="nextTo"/>
        <c:crossAx val="135274880"/>
        <c:crosses val="autoZero"/>
        <c:auto val="1"/>
        <c:lblAlgn val="ctr"/>
        <c:lblOffset val="100"/>
        <c:noMultiLvlLbl val="0"/>
      </c:catAx>
      <c:valAx>
        <c:axId val="135274880"/>
        <c:scaling>
          <c:orientation val="minMax"/>
        </c:scaling>
        <c:delete val="0"/>
        <c:axPos val="l"/>
        <c:majorGridlines/>
        <c:title>
          <c:tx>
            <c:rich>
              <a:bodyPr/>
              <a:lstStyle/>
              <a:p>
                <a:pPr>
                  <a:defRPr sz="1100"/>
                </a:pPr>
                <a:r>
                  <a:rPr lang="en-US" sz="1100"/>
                  <a:t>Dissolved Oxygen (mg/l)</a:t>
                </a:r>
              </a:p>
            </c:rich>
          </c:tx>
          <c:layout>
            <c:manualLayout>
              <c:xMode val="edge"/>
              <c:yMode val="edge"/>
              <c:x val="0.13859647208227358"/>
              <c:y val="0.21675576506113994"/>
            </c:manualLayout>
          </c:layout>
          <c:overlay val="0"/>
        </c:title>
        <c:numFmt formatCode="0.0" sourceLinked="1"/>
        <c:majorTickMark val="none"/>
        <c:minorTickMark val="none"/>
        <c:tickLblPos val="nextTo"/>
        <c:spPr>
          <a:noFill/>
        </c:spPr>
        <c:crossAx val="135195264"/>
        <c:crosses val="autoZero"/>
        <c:crossBetween val="between"/>
      </c:valAx>
      <c:dTable>
        <c:showHorzBorder val="1"/>
        <c:showVertBorder val="1"/>
        <c:showOutline val="1"/>
        <c:showKeys val="1"/>
      </c:dTable>
      <c:spPr>
        <a:gradFill flip="none" rotWithShape="1">
          <a:gsLst>
            <a:gs pos="0">
              <a:schemeClr val="accent3">
                <a:lumMod val="60000"/>
                <a:lumOff val="40000"/>
              </a:schemeClr>
            </a:gs>
            <a:gs pos="39999">
              <a:srgbClr val="85C2FF"/>
            </a:gs>
            <a:gs pos="70000">
              <a:srgbClr val="C4D6EB"/>
            </a:gs>
            <a:gs pos="100000">
              <a:srgbClr val="FFEBFA"/>
            </a:gs>
          </a:gsLst>
          <a:lin ang="5400000" scaled="1"/>
          <a:tileRect/>
        </a:gradFill>
      </c:spPr>
    </c:plotArea>
    <c:plotVisOnly val="1"/>
    <c:dispBlanksAs val="gap"/>
    <c:showDLblsOverMax val="0"/>
  </c:chart>
  <c:spPr>
    <a:gradFill>
      <a:gsLst>
        <a:gs pos="0">
          <a:srgbClr val="4F81BD">
            <a:lumMod val="60000"/>
            <a:lumOff val="40000"/>
          </a:srgbClr>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2012 Total Phosphorus Bear Creek Watershed</a:t>
            </a:r>
          </a:p>
        </c:rich>
      </c:tx>
      <c:overlay val="0"/>
      <c:spPr>
        <a:noFill/>
        <a:ln w="25400">
          <a:noFill/>
        </a:ln>
      </c:spPr>
    </c:title>
    <c:autoTitleDeleted val="0"/>
    <c:plotArea>
      <c:layout/>
      <c:lineChart>
        <c:grouping val="standard"/>
        <c:varyColors val="0"/>
        <c:ser>
          <c:idx val="0"/>
          <c:order val="0"/>
          <c:tx>
            <c:strRef>
              <c:f>'T &amp; Diss Phosphorus'!$A$17</c:f>
              <c:strCache>
                <c:ptCount val="1"/>
                <c:pt idx="0">
                  <c:v>Site 45-Reservoir Discharge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Phosphorus'!$B$17:$M$17</c:f>
              <c:numCache>
                <c:formatCode>0.0</c:formatCode>
                <c:ptCount val="12"/>
                <c:pt idx="0">
                  <c:v>14</c:v>
                </c:pt>
                <c:pt idx="1">
                  <c:v>21</c:v>
                </c:pt>
                <c:pt idx="2">
                  <c:v>16</c:v>
                </c:pt>
                <c:pt idx="3">
                  <c:v>21</c:v>
                </c:pt>
                <c:pt idx="4">
                  <c:v>21</c:v>
                </c:pt>
                <c:pt idx="5">
                  <c:v>30</c:v>
                </c:pt>
                <c:pt idx="6">
                  <c:v>59</c:v>
                </c:pt>
                <c:pt idx="7">
                  <c:v>109.5</c:v>
                </c:pt>
                <c:pt idx="8">
                  <c:v>108.5</c:v>
                </c:pt>
                <c:pt idx="9">
                  <c:v>75</c:v>
                </c:pt>
                <c:pt idx="10">
                  <c:v>53</c:v>
                </c:pt>
                <c:pt idx="11">
                  <c:v>34</c:v>
                </c:pt>
              </c:numCache>
            </c:numRef>
          </c:val>
          <c:smooth val="0"/>
          <c:extLst>
            <c:ext xmlns:c16="http://schemas.microsoft.com/office/drawing/2014/chart" uri="{C3380CC4-5D6E-409C-BE32-E72D297353CC}">
              <c16:uniqueId val="{00000000-EEC5-433A-8981-E7D54716CB14}"/>
            </c:ext>
          </c:extLst>
        </c:ser>
        <c:ser>
          <c:idx val="2"/>
          <c:order val="1"/>
          <c:tx>
            <c:strRef>
              <c:f>'T &amp; Diss Phosphorus'!$A$15</c:f>
              <c:strCache>
                <c:ptCount val="1"/>
                <c:pt idx="0">
                  <c:v>Site 16a-Turkey Creek Inflow</c:v>
                </c:pt>
              </c:strCache>
            </c:strRef>
          </c:tx>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Phosphorus'!$B$15:$M$15</c:f>
              <c:numCache>
                <c:formatCode>0.0</c:formatCode>
                <c:ptCount val="12"/>
                <c:pt idx="0">
                  <c:v>32</c:v>
                </c:pt>
                <c:pt idx="1">
                  <c:v>5</c:v>
                </c:pt>
                <c:pt idx="2">
                  <c:v>11</c:v>
                </c:pt>
                <c:pt idx="3">
                  <c:v>9</c:v>
                </c:pt>
                <c:pt idx="4">
                  <c:v>40</c:v>
                </c:pt>
                <c:pt idx="5">
                  <c:v>37</c:v>
                </c:pt>
                <c:pt idx="6">
                  <c:v>101.5</c:v>
                </c:pt>
                <c:pt idx="7">
                  <c:v>11</c:v>
                </c:pt>
                <c:pt idx="8">
                  <c:v>52</c:v>
                </c:pt>
                <c:pt idx="9">
                  <c:v>12</c:v>
                </c:pt>
                <c:pt idx="10">
                  <c:v>5</c:v>
                </c:pt>
                <c:pt idx="11">
                  <c:v>4</c:v>
                </c:pt>
              </c:numCache>
            </c:numRef>
          </c:val>
          <c:smooth val="0"/>
          <c:extLst>
            <c:ext xmlns:c16="http://schemas.microsoft.com/office/drawing/2014/chart" uri="{C3380CC4-5D6E-409C-BE32-E72D297353CC}">
              <c16:uniqueId val="{00000001-EEC5-433A-8981-E7D54716CB14}"/>
            </c:ext>
          </c:extLst>
        </c:ser>
        <c:ser>
          <c:idx val="3"/>
          <c:order val="2"/>
          <c:tx>
            <c:strRef>
              <c:f>'T &amp; Diss Phosphorus'!$A$16</c:f>
              <c:strCache>
                <c:ptCount val="1"/>
                <c:pt idx="0">
                  <c:v>Site 15a-Bear Creek Inflow</c:v>
                </c:pt>
              </c:strCache>
            </c:strRef>
          </c:tx>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Phosphorus'!$B$16:$M$16</c:f>
              <c:numCache>
                <c:formatCode>0.0</c:formatCode>
                <c:ptCount val="12"/>
                <c:pt idx="0">
                  <c:v>2</c:v>
                </c:pt>
                <c:pt idx="1">
                  <c:v>31</c:v>
                </c:pt>
                <c:pt idx="2">
                  <c:v>19</c:v>
                </c:pt>
                <c:pt idx="3">
                  <c:v>7</c:v>
                </c:pt>
                <c:pt idx="4">
                  <c:v>73</c:v>
                </c:pt>
                <c:pt idx="5">
                  <c:v>90</c:v>
                </c:pt>
                <c:pt idx="6">
                  <c:v>139</c:v>
                </c:pt>
                <c:pt idx="7">
                  <c:v>78.5</c:v>
                </c:pt>
                <c:pt idx="8">
                  <c:v>96.5</c:v>
                </c:pt>
                <c:pt idx="9">
                  <c:v>26</c:v>
                </c:pt>
                <c:pt idx="10">
                  <c:v>17</c:v>
                </c:pt>
                <c:pt idx="11">
                  <c:v>32</c:v>
                </c:pt>
              </c:numCache>
            </c:numRef>
          </c:val>
          <c:smooth val="0"/>
          <c:extLst>
            <c:ext xmlns:c16="http://schemas.microsoft.com/office/drawing/2014/chart" uri="{C3380CC4-5D6E-409C-BE32-E72D297353CC}">
              <c16:uniqueId val="{00000002-EEC5-433A-8981-E7D54716CB14}"/>
            </c:ext>
          </c:extLst>
        </c:ser>
        <c:ser>
          <c:idx val="1"/>
          <c:order val="3"/>
          <c:tx>
            <c:strRef>
              <c:f>'T &amp; Diss Phosphorus'!$A$20</c:f>
              <c:strCache>
                <c:ptCount val="1"/>
                <c:pt idx="0">
                  <c:v>BCR Water Column Average TP</c:v>
                </c:pt>
              </c:strCache>
            </c:strRef>
          </c:tx>
          <c:val>
            <c:numRef>
              <c:f>'T &amp; Diss Phosphorus'!$B$20:$M$20</c:f>
              <c:numCache>
                <c:formatCode>0.0</c:formatCode>
                <c:ptCount val="12"/>
                <c:pt idx="0">
                  <c:v>22.5</c:v>
                </c:pt>
                <c:pt idx="1">
                  <c:v>14.5</c:v>
                </c:pt>
                <c:pt idx="2">
                  <c:v>19</c:v>
                </c:pt>
                <c:pt idx="3">
                  <c:v>21</c:v>
                </c:pt>
                <c:pt idx="4">
                  <c:v>27.5</c:v>
                </c:pt>
                <c:pt idx="5">
                  <c:v>36.5</c:v>
                </c:pt>
                <c:pt idx="6">
                  <c:v>98.75</c:v>
                </c:pt>
                <c:pt idx="7">
                  <c:v>83.5</c:v>
                </c:pt>
                <c:pt idx="8">
                  <c:v>109.25</c:v>
                </c:pt>
                <c:pt idx="9">
                  <c:v>91.5</c:v>
                </c:pt>
                <c:pt idx="10">
                  <c:v>79</c:v>
                </c:pt>
                <c:pt idx="11">
                  <c:v>29.5</c:v>
                </c:pt>
              </c:numCache>
            </c:numRef>
          </c:val>
          <c:smooth val="0"/>
          <c:extLst>
            <c:ext xmlns:c16="http://schemas.microsoft.com/office/drawing/2014/chart" uri="{C3380CC4-5D6E-409C-BE32-E72D297353CC}">
              <c16:uniqueId val="{00000003-EEC5-433A-8981-E7D54716CB14}"/>
            </c:ext>
          </c:extLst>
        </c:ser>
        <c:dLbls>
          <c:showLegendKey val="0"/>
          <c:showVal val="0"/>
          <c:showCatName val="0"/>
          <c:showSerName val="0"/>
          <c:showPercent val="0"/>
          <c:showBubbleSize val="0"/>
        </c:dLbls>
        <c:marker val="1"/>
        <c:smooth val="0"/>
        <c:axId val="135575040"/>
        <c:axId val="135576576"/>
      </c:lineChart>
      <c:catAx>
        <c:axId val="1355750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35576576"/>
        <c:crosses val="autoZero"/>
        <c:auto val="1"/>
        <c:lblAlgn val="ctr"/>
        <c:lblOffset val="100"/>
        <c:tickLblSkip val="1"/>
        <c:tickMarkSkip val="1"/>
        <c:noMultiLvlLbl val="0"/>
      </c:catAx>
      <c:valAx>
        <c:axId val="135576576"/>
        <c:scaling>
          <c:orientation val="minMax"/>
        </c:scaling>
        <c:delete val="0"/>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Total Phosphorus ug/l</a:t>
                </a:r>
              </a:p>
            </c:rich>
          </c:tx>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850" b="1" i="0" u="none" strike="noStrike" baseline="0">
                <a:solidFill>
                  <a:srgbClr val="000000"/>
                </a:solidFill>
                <a:latin typeface="Arial"/>
                <a:ea typeface="Arial"/>
                <a:cs typeface="Arial"/>
              </a:defRPr>
            </a:pPr>
            <a:endParaRPr lang="en-US"/>
          </a:p>
        </c:txPr>
        <c:crossAx val="135575040"/>
        <c:crosses val="autoZero"/>
        <c:crossBetween val="between"/>
      </c:valAx>
      <c:dTable>
        <c:showHorzBorder val="1"/>
        <c:showVertBorder val="1"/>
        <c:showOutline val="1"/>
        <c:showKeys val="1"/>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a:pPr>
            <a:r>
              <a:rPr lang="en-US" sz="1400" b="1"/>
              <a:t>2012 Bear Creek Reservoir Total Phosphorus Trends</a:t>
            </a:r>
          </a:p>
        </c:rich>
      </c:tx>
      <c:layout>
        <c:manualLayout>
          <c:xMode val="edge"/>
          <c:yMode val="edge"/>
          <c:x val="0.35182485815493808"/>
          <c:y val="2.6315789473684216E-2"/>
        </c:manualLayout>
      </c:layout>
      <c:overlay val="0"/>
    </c:title>
    <c:autoTitleDeleted val="0"/>
    <c:plotArea>
      <c:layout>
        <c:manualLayout>
          <c:layoutTarget val="inner"/>
          <c:xMode val="edge"/>
          <c:yMode val="edge"/>
          <c:x val="0.23920618570385271"/>
          <c:y val="0.11874999999999998"/>
          <c:w val="0.73789300955701165"/>
          <c:h val="0.74093788852051889"/>
        </c:manualLayout>
      </c:layout>
      <c:lineChart>
        <c:grouping val="standard"/>
        <c:varyColors val="0"/>
        <c:ser>
          <c:idx val="2"/>
          <c:order val="0"/>
          <c:tx>
            <c:strRef>
              <c:f>'T &amp; Diss Phosphorus'!$A$18</c:f>
              <c:strCache>
                <c:ptCount val="1"/>
                <c:pt idx="0">
                  <c:v>Site 40a-Reservoir - Top TP</c:v>
                </c:pt>
              </c:strCache>
            </c:strRef>
          </c:tx>
          <c:spPr>
            <a:ln w="44450">
              <a:solidFill>
                <a:schemeClr val="accent2">
                  <a:lumMod val="75000"/>
                </a:schemeClr>
              </a:solidFill>
            </a:ln>
          </c:spP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Phosphorus'!$B$18:$M$18</c:f>
              <c:numCache>
                <c:formatCode>0.0</c:formatCode>
                <c:ptCount val="12"/>
                <c:pt idx="0">
                  <c:v>22</c:v>
                </c:pt>
                <c:pt idx="1">
                  <c:v>14</c:v>
                </c:pt>
                <c:pt idx="2">
                  <c:v>13</c:v>
                </c:pt>
                <c:pt idx="3">
                  <c:v>21</c:v>
                </c:pt>
                <c:pt idx="4">
                  <c:v>14</c:v>
                </c:pt>
                <c:pt idx="5">
                  <c:v>24</c:v>
                </c:pt>
                <c:pt idx="6">
                  <c:v>63.5</c:v>
                </c:pt>
                <c:pt idx="7">
                  <c:v>83.5</c:v>
                </c:pt>
                <c:pt idx="8">
                  <c:v>128</c:v>
                </c:pt>
                <c:pt idx="9">
                  <c:v>78</c:v>
                </c:pt>
                <c:pt idx="10">
                  <c:v>37</c:v>
                </c:pt>
                <c:pt idx="11">
                  <c:v>28</c:v>
                </c:pt>
              </c:numCache>
            </c:numRef>
          </c:val>
          <c:smooth val="0"/>
          <c:extLst>
            <c:ext xmlns:c16="http://schemas.microsoft.com/office/drawing/2014/chart" uri="{C3380CC4-5D6E-409C-BE32-E72D297353CC}">
              <c16:uniqueId val="{00000000-4DF0-4359-A8DB-CB4421E9D5D7}"/>
            </c:ext>
          </c:extLst>
        </c:ser>
        <c:ser>
          <c:idx val="3"/>
          <c:order val="1"/>
          <c:tx>
            <c:strRef>
              <c:f>'T &amp; Diss Phosphorus'!$A$19</c:f>
              <c:strCache>
                <c:ptCount val="1"/>
                <c:pt idx="0">
                  <c:v>Site 40c-Reservoir - Lower TP</c:v>
                </c:pt>
              </c:strCache>
            </c:strRef>
          </c:tx>
          <c:spPr>
            <a:ln w="44450"/>
          </c:spPr>
          <c:cat>
            <c:strRef>
              <c:f>'T &amp; Diss Phosphorus'!$B$14:$M$14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Phosphorus'!$B$19:$M$19</c:f>
              <c:numCache>
                <c:formatCode>0.0</c:formatCode>
                <c:ptCount val="12"/>
                <c:pt idx="0">
                  <c:v>23</c:v>
                </c:pt>
                <c:pt idx="1">
                  <c:v>15</c:v>
                </c:pt>
                <c:pt idx="2">
                  <c:v>25</c:v>
                </c:pt>
                <c:pt idx="3">
                  <c:v>21</c:v>
                </c:pt>
                <c:pt idx="4">
                  <c:v>41</c:v>
                </c:pt>
                <c:pt idx="5">
                  <c:v>49</c:v>
                </c:pt>
                <c:pt idx="6">
                  <c:v>134</c:v>
                </c:pt>
                <c:pt idx="7">
                  <c:v>83.5</c:v>
                </c:pt>
                <c:pt idx="8">
                  <c:v>90.5</c:v>
                </c:pt>
                <c:pt idx="9">
                  <c:v>105</c:v>
                </c:pt>
                <c:pt idx="10">
                  <c:v>121</c:v>
                </c:pt>
                <c:pt idx="11">
                  <c:v>31</c:v>
                </c:pt>
              </c:numCache>
            </c:numRef>
          </c:val>
          <c:smooth val="0"/>
          <c:extLst>
            <c:ext xmlns:c16="http://schemas.microsoft.com/office/drawing/2014/chart" uri="{C3380CC4-5D6E-409C-BE32-E72D297353CC}">
              <c16:uniqueId val="{00000001-4DF0-4359-A8DB-CB4421E9D5D7}"/>
            </c:ext>
          </c:extLst>
        </c:ser>
        <c:dLbls>
          <c:showLegendKey val="0"/>
          <c:showVal val="0"/>
          <c:showCatName val="0"/>
          <c:showSerName val="0"/>
          <c:showPercent val="0"/>
          <c:showBubbleSize val="0"/>
        </c:dLbls>
        <c:marker val="1"/>
        <c:smooth val="0"/>
        <c:axId val="135738496"/>
        <c:axId val="135740032"/>
      </c:lineChart>
      <c:catAx>
        <c:axId val="1357384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35740032"/>
        <c:crosses val="autoZero"/>
        <c:auto val="1"/>
        <c:lblAlgn val="ctr"/>
        <c:lblOffset val="100"/>
        <c:tickLblSkip val="1"/>
        <c:tickMarkSkip val="1"/>
        <c:noMultiLvlLbl val="0"/>
      </c:catAx>
      <c:valAx>
        <c:axId val="135740032"/>
        <c:scaling>
          <c:orientation val="minMax"/>
        </c:scaling>
        <c:delete val="0"/>
        <c:axPos val="l"/>
        <c:majorGridlines>
          <c:spPr>
            <a:ln w="3175">
              <a:solidFill>
                <a:srgbClr val="000000"/>
              </a:solidFill>
              <a:prstDash val="solid"/>
            </a:ln>
          </c:spPr>
        </c:majorGridlines>
        <c:title>
          <c:tx>
            <c:rich>
              <a:bodyPr/>
              <a:lstStyle/>
              <a:p>
                <a:pPr>
                  <a:defRPr sz="1100"/>
                </a:pPr>
                <a:r>
                  <a:rPr lang="en-US" sz="1100"/>
                  <a:t>Phosphorus, ug/l</a:t>
                </a:r>
              </a:p>
            </c:rich>
          </c:tx>
          <c:overlay val="0"/>
        </c:title>
        <c:numFmt formatCode="0.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35738496"/>
        <c:crosses val="autoZero"/>
        <c:crossBetween val="between"/>
      </c:valAx>
      <c:dTable>
        <c:showHorzBorder val="1"/>
        <c:showVertBorder val="1"/>
        <c:showOutline val="1"/>
        <c:showKeys val="1"/>
      </c:dTable>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w="12700">
          <a:solidFill>
            <a:srgbClr val="808080"/>
          </a:solidFill>
          <a:prstDash val="solid"/>
        </a:ln>
      </c:spPr>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no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2012 Bear Creek Reservoir TP versus TDP Surface</a:t>
            </a:r>
          </a:p>
        </c:rich>
      </c:tx>
      <c:overlay val="0"/>
    </c:title>
    <c:autoTitleDeleted val="0"/>
    <c:plotArea>
      <c:layout>
        <c:manualLayout>
          <c:layoutTarget val="inner"/>
          <c:xMode val="edge"/>
          <c:yMode val="edge"/>
          <c:x val="0.19934176767229941"/>
          <c:y val="0.13573406146812411"/>
          <c:w val="0.7826806157657259"/>
          <c:h val="0.69801371602743201"/>
        </c:manualLayout>
      </c:layout>
      <c:lineChart>
        <c:grouping val="standard"/>
        <c:varyColors val="0"/>
        <c:ser>
          <c:idx val="0"/>
          <c:order val="0"/>
          <c:tx>
            <c:strRef>
              <c:f>'T &amp; Diss Phosphorus'!$A$18</c:f>
              <c:strCache>
                <c:ptCount val="1"/>
                <c:pt idx="0">
                  <c:v>Site 40a-Reservoir - Top TP</c:v>
                </c:pt>
              </c:strCache>
            </c:strRef>
          </c:tx>
          <c:cat>
            <c:strRef>
              <c:f>'T &amp; Diss Phosphorus'!$B$54:$M$54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Phosphorus'!$B$18:$M$18</c:f>
              <c:numCache>
                <c:formatCode>0.0</c:formatCode>
                <c:ptCount val="12"/>
                <c:pt idx="0">
                  <c:v>22</c:v>
                </c:pt>
                <c:pt idx="1">
                  <c:v>14</c:v>
                </c:pt>
                <c:pt idx="2">
                  <c:v>13</c:v>
                </c:pt>
                <c:pt idx="3">
                  <c:v>21</c:v>
                </c:pt>
                <c:pt idx="4">
                  <c:v>14</c:v>
                </c:pt>
                <c:pt idx="5">
                  <c:v>24</c:v>
                </c:pt>
                <c:pt idx="6">
                  <c:v>63.5</c:v>
                </c:pt>
                <c:pt idx="7">
                  <c:v>83.5</c:v>
                </c:pt>
                <c:pt idx="8">
                  <c:v>128</c:v>
                </c:pt>
                <c:pt idx="9">
                  <c:v>78</c:v>
                </c:pt>
                <c:pt idx="10">
                  <c:v>37</c:v>
                </c:pt>
                <c:pt idx="11">
                  <c:v>28</c:v>
                </c:pt>
              </c:numCache>
            </c:numRef>
          </c:val>
          <c:smooth val="0"/>
          <c:extLst>
            <c:ext xmlns:c16="http://schemas.microsoft.com/office/drawing/2014/chart" uri="{C3380CC4-5D6E-409C-BE32-E72D297353CC}">
              <c16:uniqueId val="{00000000-AF42-45D2-9C9F-9D3D7725B244}"/>
            </c:ext>
          </c:extLst>
        </c:ser>
        <c:ser>
          <c:idx val="1"/>
          <c:order val="1"/>
          <c:tx>
            <c:strRef>
              <c:f>'T &amp; Diss Phosphorus'!$A$58</c:f>
              <c:strCache>
                <c:ptCount val="1"/>
                <c:pt idx="0">
                  <c:v>Site 40a-Reservoir - Top TDP</c:v>
                </c:pt>
              </c:strCache>
            </c:strRef>
          </c:tx>
          <c:cat>
            <c:strRef>
              <c:f>'T &amp; Diss Phosphorus'!$B$54:$M$54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 &amp; Diss Phosphorus'!$B$58:$M$58</c:f>
              <c:numCache>
                <c:formatCode>0</c:formatCode>
                <c:ptCount val="12"/>
                <c:pt idx="0">
                  <c:v>15</c:v>
                </c:pt>
                <c:pt idx="1">
                  <c:v>8</c:v>
                </c:pt>
                <c:pt idx="2">
                  <c:v>4</c:v>
                </c:pt>
                <c:pt idx="3">
                  <c:v>5</c:v>
                </c:pt>
                <c:pt idx="4">
                  <c:v>10</c:v>
                </c:pt>
                <c:pt idx="5">
                  <c:v>10</c:v>
                </c:pt>
                <c:pt idx="6">
                  <c:v>30.5</c:v>
                </c:pt>
                <c:pt idx="7">
                  <c:v>47.5</c:v>
                </c:pt>
                <c:pt idx="8">
                  <c:v>65</c:v>
                </c:pt>
                <c:pt idx="9">
                  <c:v>46</c:v>
                </c:pt>
                <c:pt idx="10">
                  <c:v>7</c:v>
                </c:pt>
                <c:pt idx="11">
                  <c:v>6</c:v>
                </c:pt>
              </c:numCache>
            </c:numRef>
          </c:val>
          <c:smooth val="0"/>
          <c:extLst>
            <c:ext xmlns:c16="http://schemas.microsoft.com/office/drawing/2014/chart" uri="{C3380CC4-5D6E-409C-BE32-E72D297353CC}">
              <c16:uniqueId val="{00000001-AF42-45D2-9C9F-9D3D7725B244}"/>
            </c:ext>
          </c:extLst>
        </c:ser>
        <c:ser>
          <c:idx val="2"/>
          <c:order val="2"/>
          <c:tx>
            <c:strRef>
              <c:f>'T &amp; Diss Phosphorus'!$A$19</c:f>
              <c:strCache>
                <c:ptCount val="1"/>
                <c:pt idx="0">
                  <c:v>Site 40c-Reservoir - Lower TP</c:v>
                </c:pt>
              </c:strCache>
            </c:strRef>
          </c:tx>
          <c:val>
            <c:numRef>
              <c:f>'T &amp; Diss Phosphorus'!$B$19:$M$19</c:f>
              <c:numCache>
                <c:formatCode>0.0</c:formatCode>
                <c:ptCount val="12"/>
                <c:pt idx="0">
                  <c:v>23</c:v>
                </c:pt>
                <c:pt idx="1">
                  <c:v>15</c:v>
                </c:pt>
                <c:pt idx="2">
                  <c:v>25</c:v>
                </c:pt>
                <c:pt idx="3">
                  <c:v>21</c:v>
                </c:pt>
                <c:pt idx="4">
                  <c:v>41</c:v>
                </c:pt>
                <c:pt idx="5">
                  <c:v>49</c:v>
                </c:pt>
                <c:pt idx="6">
                  <c:v>134</c:v>
                </c:pt>
                <c:pt idx="7">
                  <c:v>83.5</c:v>
                </c:pt>
                <c:pt idx="8">
                  <c:v>90.5</c:v>
                </c:pt>
                <c:pt idx="9">
                  <c:v>105</c:v>
                </c:pt>
                <c:pt idx="10">
                  <c:v>121</c:v>
                </c:pt>
                <c:pt idx="11">
                  <c:v>31</c:v>
                </c:pt>
              </c:numCache>
            </c:numRef>
          </c:val>
          <c:smooth val="0"/>
          <c:extLst>
            <c:ext xmlns:c16="http://schemas.microsoft.com/office/drawing/2014/chart" uri="{C3380CC4-5D6E-409C-BE32-E72D297353CC}">
              <c16:uniqueId val="{00000002-AF42-45D2-9C9F-9D3D7725B244}"/>
            </c:ext>
          </c:extLst>
        </c:ser>
        <c:ser>
          <c:idx val="3"/>
          <c:order val="3"/>
          <c:tx>
            <c:strRef>
              <c:f>'T &amp; Diss Phosphorus'!$A$59</c:f>
              <c:strCache>
                <c:ptCount val="1"/>
                <c:pt idx="0">
                  <c:v>Site 40c-Reservoir - Lower TDP</c:v>
                </c:pt>
              </c:strCache>
            </c:strRef>
          </c:tx>
          <c:val>
            <c:numRef>
              <c:f>'T &amp; Diss Phosphorus'!$B$59:$M$59</c:f>
              <c:numCache>
                <c:formatCode>0</c:formatCode>
                <c:ptCount val="12"/>
                <c:pt idx="0">
                  <c:v>7</c:v>
                </c:pt>
                <c:pt idx="1">
                  <c:v>6</c:v>
                </c:pt>
                <c:pt idx="2">
                  <c:v>5</c:v>
                </c:pt>
                <c:pt idx="3">
                  <c:v>7</c:v>
                </c:pt>
                <c:pt idx="4">
                  <c:v>23</c:v>
                </c:pt>
                <c:pt idx="5">
                  <c:v>13</c:v>
                </c:pt>
                <c:pt idx="6">
                  <c:v>34</c:v>
                </c:pt>
                <c:pt idx="7">
                  <c:v>48.5</c:v>
                </c:pt>
                <c:pt idx="8">
                  <c:v>59.5</c:v>
                </c:pt>
                <c:pt idx="9">
                  <c:v>51</c:v>
                </c:pt>
                <c:pt idx="10">
                  <c:v>30</c:v>
                </c:pt>
                <c:pt idx="11">
                  <c:v>5</c:v>
                </c:pt>
              </c:numCache>
            </c:numRef>
          </c:val>
          <c:smooth val="0"/>
          <c:extLst>
            <c:ext xmlns:c16="http://schemas.microsoft.com/office/drawing/2014/chart" uri="{C3380CC4-5D6E-409C-BE32-E72D297353CC}">
              <c16:uniqueId val="{00000003-AF42-45D2-9C9F-9D3D7725B244}"/>
            </c:ext>
          </c:extLst>
        </c:ser>
        <c:dLbls>
          <c:showLegendKey val="0"/>
          <c:showVal val="0"/>
          <c:showCatName val="0"/>
          <c:showSerName val="0"/>
          <c:showPercent val="0"/>
          <c:showBubbleSize val="0"/>
        </c:dLbls>
        <c:marker val="1"/>
        <c:smooth val="0"/>
        <c:axId val="135772416"/>
        <c:axId val="135856128"/>
      </c:lineChart>
      <c:catAx>
        <c:axId val="135772416"/>
        <c:scaling>
          <c:orientation val="minMax"/>
        </c:scaling>
        <c:delete val="0"/>
        <c:axPos val="b"/>
        <c:numFmt formatCode="General" sourceLinked="0"/>
        <c:majorTickMark val="none"/>
        <c:minorTickMark val="none"/>
        <c:tickLblPos val="nextTo"/>
        <c:crossAx val="135856128"/>
        <c:crosses val="autoZero"/>
        <c:auto val="1"/>
        <c:lblAlgn val="ctr"/>
        <c:lblOffset val="100"/>
        <c:noMultiLvlLbl val="0"/>
      </c:catAx>
      <c:valAx>
        <c:axId val="135856128"/>
        <c:scaling>
          <c:orientation val="minMax"/>
        </c:scaling>
        <c:delete val="0"/>
        <c:axPos val="l"/>
        <c:majorGridlines/>
        <c:minorGridlines/>
        <c:title>
          <c:tx>
            <c:rich>
              <a:bodyPr/>
              <a:lstStyle/>
              <a:p>
                <a:pPr>
                  <a:defRPr sz="1400"/>
                </a:pPr>
                <a:r>
                  <a:rPr lang="en-US" sz="1400"/>
                  <a:t>Phosphorus, ug/l</a:t>
                </a:r>
              </a:p>
            </c:rich>
          </c:tx>
          <c:layout>
            <c:manualLayout>
              <c:xMode val="edge"/>
              <c:yMode val="edge"/>
              <c:x val="0.14906863251152136"/>
              <c:y val="0.27271976248870533"/>
            </c:manualLayout>
          </c:layout>
          <c:overlay val="0"/>
        </c:title>
        <c:numFmt formatCode="0.0" sourceLinked="1"/>
        <c:majorTickMark val="none"/>
        <c:minorTickMark val="none"/>
        <c:tickLblPos val="nextTo"/>
        <c:crossAx val="135772416"/>
        <c:crosses val="autoZero"/>
        <c:crossBetween val="between"/>
      </c:valAx>
      <c:dTable>
        <c:showHorzBorder val="1"/>
        <c:showVertBorder val="1"/>
        <c:showOutline val="1"/>
        <c:showKeys val="1"/>
        <c:txPr>
          <a:bodyPr/>
          <a:lstStyle/>
          <a:p>
            <a:pPr rtl="0">
              <a:defRPr b="1"/>
            </a:pPr>
            <a:endParaRPr lang="en-US"/>
          </a:p>
        </c:txPr>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a:t>2012 Bear Creek Watershed Nitrate-Nitrogen</a:t>
            </a:r>
          </a:p>
        </c:rich>
      </c:tx>
      <c:layout>
        <c:manualLayout>
          <c:xMode val="edge"/>
          <c:yMode val="edge"/>
          <c:x val="0.34838709677419388"/>
          <c:y val="3.5842293906810055E-2"/>
        </c:manualLayout>
      </c:layout>
      <c:overlay val="0"/>
      <c:spPr>
        <a:noFill/>
        <a:ln w="25400">
          <a:noFill/>
        </a:ln>
      </c:spPr>
    </c:title>
    <c:autoTitleDeleted val="0"/>
    <c:plotArea>
      <c:layout>
        <c:manualLayout>
          <c:layoutTarget val="inner"/>
          <c:xMode val="edge"/>
          <c:yMode val="edge"/>
          <c:x val="0.10392609699769056"/>
          <c:y val="0.14864073995439941"/>
          <c:w val="0.86951501154734412"/>
          <c:h val="0.72573132344392399"/>
        </c:manualLayout>
      </c:layout>
      <c:lineChart>
        <c:grouping val="standard"/>
        <c:varyColors val="0"/>
        <c:ser>
          <c:idx val="0"/>
          <c:order val="0"/>
          <c:tx>
            <c:strRef>
              <c:f>'Nitrate &amp; T Nitrogen'!$A$5</c:f>
              <c:strCache>
                <c:ptCount val="1"/>
                <c:pt idx="0">
                  <c:v>Site 16a-Turkey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numRef>
              <c:f>'Nitrate &amp; T Nitrogen'!$B$4:$P$4</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'Nitrate &amp; T Nitrogen'!$B$5:$P$5</c:f>
              <c:numCache>
                <c:formatCode>General</c:formatCode>
                <c:ptCount val="15"/>
                <c:pt idx="0">
                  <c:v>858</c:v>
                </c:pt>
                <c:pt idx="1">
                  <c:v>438</c:v>
                </c:pt>
                <c:pt idx="2">
                  <c:v>217</c:v>
                </c:pt>
                <c:pt idx="3">
                  <c:v>164</c:v>
                </c:pt>
                <c:pt idx="4">
                  <c:v>287</c:v>
                </c:pt>
                <c:pt idx="5">
                  <c:v>233</c:v>
                </c:pt>
                <c:pt idx="6">
                  <c:v>212</c:v>
                </c:pt>
                <c:pt idx="7">
                  <c:v>177</c:v>
                </c:pt>
                <c:pt idx="8" formatCode="0">
                  <c:v>583</c:v>
                </c:pt>
                <c:pt idx="9" formatCode="0">
                  <c:v>725</c:v>
                </c:pt>
                <c:pt idx="10">
                  <c:v>824</c:v>
                </c:pt>
                <c:pt idx="11" formatCode="0">
                  <c:v>117</c:v>
                </c:pt>
                <c:pt idx="12" formatCode="0">
                  <c:v>441</c:v>
                </c:pt>
                <c:pt idx="13">
                  <c:v>679</c:v>
                </c:pt>
                <c:pt idx="14">
                  <c:v>726</c:v>
                </c:pt>
              </c:numCache>
            </c:numRef>
          </c:val>
          <c:smooth val="0"/>
          <c:extLst>
            <c:ext xmlns:c16="http://schemas.microsoft.com/office/drawing/2014/chart" uri="{C3380CC4-5D6E-409C-BE32-E72D297353CC}">
              <c16:uniqueId val="{00000000-4815-43CE-B9D6-A278DCA18FB4}"/>
            </c:ext>
          </c:extLst>
        </c:ser>
        <c:ser>
          <c:idx val="1"/>
          <c:order val="1"/>
          <c:tx>
            <c:strRef>
              <c:f>'Nitrate &amp; T Nitrogen'!$A$6</c:f>
              <c:strCache>
                <c:ptCount val="1"/>
                <c:pt idx="0">
                  <c:v>Site 15a-Bear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numRef>
              <c:f>'Nitrate &amp; T Nitrogen'!$B$4:$P$4</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'Nitrate &amp; T Nitrogen'!$B$6:$P$6</c:f>
              <c:numCache>
                <c:formatCode>General</c:formatCode>
                <c:ptCount val="15"/>
                <c:pt idx="0" formatCode="#,##0">
                  <c:v>526</c:v>
                </c:pt>
                <c:pt idx="1">
                  <c:v>904</c:v>
                </c:pt>
                <c:pt idx="2">
                  <c:v>726</c:v>
                </c:pt>
                <c:pt idx="3">
                  <c:v>1219</c:v>
                </c:pt>
                <c:pt idx="4">
                  <c:v>1133</c:v>
                </c:pt>
                <c:pt idx="5">
                  <c:v>233</c:v>
                </c:pt>
                <c:pt idx="6">
                  <c:v>331</c:v>
                </c:pt>
                <c:pt idx="7">
                  <c:v>1041</c:v>
                </c:pt>
                <c:pt idx="8" formatCode="0">
                  <c:v>585</c:v>
                </c:pt>
                <c:pt idx="9" formatCode="0">
                  <c:v>668</c:v>
                </c:pt>
                <c:pt idx="10">
                  <c:v>2063</c:v>
                </c:pt>
                <c:pt idx="11" formatCode="0">
                  <c:v>2448</c:v>
                </c:pt>
                <c:pt idx="12" formatCode="0">
                  <c:v>417</c:v>
                </c:pt>
                <c:pt idx="13">
                  <c:v>1884</c:v>
                </c:pt>
                <c:pt idx="14">
                  <c:v>1195</c:v>
                </c:pt>
              </c:numCache>
            </c:numRef>
          </c:val>
          <c:smooth val="0"/>
          <c:extLst>
            <c:ext xmlns:c16="http://schemas.microsoft.com/office/drawing/2014/chart" uri="{C3380CC4-5D6E-409C-BE32-E72D297353CC}">
              <c16:uniqueId val="{00000001-4815-43CE-B9D6-A278DCA18FB4}"/>
            </c:ext>
          </c:extLst>
        </c:ser>
        <c:ser>
          <c:idx val="2"/>
          <c:order val="2"/>
          <c:tx>
            <c:strRef>
              <c:f>'Nitrate &amp; T Nitrogen'!$A$7</c:f>
              <c:strCache>
                <c:ptCount val="1"/>
                <c:pt idx="0">
                  <c:v>Site 45-Reservoir Discharge</c:v>
                </c:pt>
              </c:strCache>
            </c:strRef>
          </c:tx>
          <c:spPr>
            <a:ln w="38100">
              <a:solidFill>
                <a:srgbClr val="00B050"/>
              </a:solidFill>
              <a:prstDash val="solid"/>
            </a:ln>
          </c:spPr>
          <c:marker>
            <c:symbol val="triangle"/>
            <c:size val="9"/>
            <c:spPr>
              <a:solidFill>
                <a:srgbClr val="00B050"/>
              </a:solidFill>
              <a:ln>
                <a:solidFill>
                  <a:srgbClr val="FFFF00"/>
                </a:solidFill>
                <a:prstDash val="solid"/>
              </a:ln>
            </c:spPr>
          </c:marker>
          <c:cat>
            <c:numRef>
              <c:f>'Nitrate &amp; T Nitrogen'!$B$4:$P$4</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'Nitrate &amp; T Nitrogen'!$B$7:$P$7</c:f>
              <c:numCache>
                <c:formatCode>General</c:formatCode>
                <c:ptCount val="15"/>
                <c:pt idx="0">
                  <c:v>482</c:v>
                </c:pt>
                <c:pt idx="1">
                  <c:v>704</c:v>
                </c:pt>
                <c:pt idx="2">
                  <c:v>356</c:v>
                </c:pt>
                <c:pt idx="3">
                  <c:v>214</c:v>
                </c:pt>
                <c:pt idx="4">
                  <c:v>163</c:v>
                </c:pt>
                <c:pt idx="5">
                  <c:v>21</c:v>
                </c:pt>
                <c:pt idx="6">
                  <c:v>51</c:v>
                </c:pt>
                <c:pt idx="7">
                  <c:v>13</c:v>
                </c:pt>
                <c:pt idx="8" formatCode="0">
                  <c:v>29</c:v>
                </c:pt>
                <c:pt idx="9" formatCode="0">
                  <c:v>112</c:v>
                </c:pt>
                <c:pt idx="10">
                  <c:v>112</c:v>
                </c:pt>
                <c:pt idx="11" formatCode="0">
                  <c:v>59</c:v>
                </c:pt>
                <c:pt idx="12" formatCode="0">
                  <c:v>52</c:v>
                </c:pt>
                <c:pt idx="13">
                  <c:v>66</c:v>
                </c:pt>
                <c:pt idx="14">
                  <c:v>72</c:v>
                </c:pt>
              </c:numCache>
            </c:numRef>
          </c:val>
          <c:smooth val="0"/>
          <c:extLst>
            <c:ext xmlns:c16="http://schemas.microsoft.com/office/drawing/2014/chart" uri="{C3380CC4-5D6E-409C-BE32-E72D297353CC}">
              <c16:uniqueId val="{00000002-4815-43CE-B9D6-A278DCA18FB4}"/>
            </c:ext>
          </c:extLst>
        </c:ser>
        <c:ser>
          <c:idx val="3"/>
          <c:order val="3"/>
          <c:tx>
            <c:strRef>
              <c:f>'Nitrate &amp; T Nitrogen'!$A$10</c:f>
              <c:strCache>
                <c:ptCount val="1"/>
                <c:pt idx="0">
                  <c:v>BCR Water Column Average NO3</c:v>
                </c:pt>
              </c:strCache>
            </c:strRef>
          </c:tx>
          <c:spPr>
            <a:ln w="38100"/>
          </c:spPr>
          <c:val>
            <c:numRef>
              <c:f>'Nitrate &amp; T Nitrogen'!$B$10:$P$10</c:f>
              <c:numCache>
                <c:formatCode>General</c:formatCode>
                <c:ptCount val="15"/>
                <c:pt idx="0">
                  <c:v>392.5</c:v>
                </c:pt>
                <c:pt idx="1">
                  <c:v>500.5</c:v>
                </c:pt>
                <c:pt idx="2">
                  <c:v>354.5</c:v>
                </c:pt>
                <c:pt idx="3">
                  <c:v>214.5</c:v>
                </c:pt>
                <c:pt idx="4">
                  <c:v>142</c:v>
                </c:pt>
                <c:pt idx="5">
                  <c:v>19.5</c:v>
                </c:pt>
                <c:pt idx="6">
                  <c:v>56.5</c:v>
                </c:pt>
                <c:pt idx="7">
                  <c:v>8.5</c:v>
                </c:pt>
                <c:pt idx="8">
                  <c:v>26</c:v>
                </c:pt>
                <c:pt idx="9">
                  <c:v>26</c:v>
                </c:pt>
                <c:pt idx="10">
                  <c:v>31</c:v>
                </c:pt>
                <c:pt idx="11">
                  <c:v>42.5</c:v>
                </c:pt>
                <c:pt idx="12">
                  <c:v>45</c:v>
                </c:pt>
                <c:pt idx="13">
                  <c:v>64.5</c:v>
                </c:pt>
                <c:pt idx="14">
                  <c:v>79</c:v>
                </c:pt>
              </c:numCache>
            </c:numRef>
          </c:val>
          <c:smooth val="0"/>
          <c:extLst>
            <c:ext xmlns:c16="http://schemas.microsoft.com/office/drawing/2014/chart" uri="{C3380CC4-5D6E-409C-BE32-E72D297353CC}">
              <c16:uniqueId val="{00000003-4815-43CE-B9D6-A278DCA18FB4}"/>
            </c:ext>
          </c:extLst>
        </c:ser>
        <c:dLbls>
          <c:showLegendKey val="0"/>
          <c:showVal val="0"/>
          <c:showCatName val="0"/>
          <c:showSerName val="0"/>
          <c:showPercent val="0"/>
          <c:showBubbleSize val="0"/>
        </c:dLbls>
        <c:marker val="1"/>
        <c:smooth val="0"/>
        <c:axId val="135921664"/>
        <c:axId val="135923200"/>
      </c:lineChart>
      <c:dateAx>
        <c:axId val="135921664"/>
        <c:scaling>
          <c:orientation val="minMax"/>
        </c:scaling>
        <c:delete val="0"/>
        <c:axPos val="b"/>
        <c:numFmt formatCode="[$-409]d\-mmm;@" sourceLinked="1"/>
        <c:majorTickMark val="out"/>
        <c:minorTickMark val="none"/>
        <c:tickLblPos val="nextTo"/>
        <c:spPr>
          <a:ln w="3175">
            <a:solidFill>
              <a:srgbClr val="000000"/>
            </a:solidFill>
            <a:prstDash val="solid"/>
          </a:ln>
        </c:spPr>
        <c:txPr>
          <a:bodyPr rot="0" vert="horz"/>
          <a:lstStyle/>
          <a:p>
            <a:pPr>
              <a:defRPr sz="1100" b="1" i="0" u="none" strike="noStrike" baseline="0">
                <a:solidFill>
                  <a:srgbClr val="000000"/>
                </a:solidFill>
                <a:latin typeface="Arial"/>
                <a:ea typeface="Arial"/>
                <a:cs typeface="Arial"/>
              </a:defRPr>
            </a:pPr>
            <a:endParaRPr lang="en-US"/>
          </a:p>
        </c:txPr>
        <c:crossAx val="135923200"/>
        <c:crosses val="autoZero"/>
        <c:auto val="1"/>
        <c:lblOffset val="100"/>
        <c:baseTimeUnit val="days"/>
        <c:majorUnit val="1"/>
        <c:minorUnit val="1"/>
      </c:dateAx>
      <c:valAx>
        <c:axId val="135923200"/>
        <c:scaling>
          <c:orientation val="minMax"/>
        </c:scaling>
        <c:delete val="0"/>
        <c:axPos val="l"/>
        <c:majorGridlines>
          <c:spPr>
            <a:ln w="3175">
              <a:solidFill>
                <a:srgbClr val="000000"/>
              </a:solidFill>
              <a:prstDash val="solid"/>
            </a:ln>
          </c:spPr>
        </c:majorGridlines>
        <c:minorGridlines/>
        <c:title>
          <c:tx>
            <c:rich>
              <a:bodyPr/>
              <a:lstStyle/>
              <a:p>
                <a:pPr>
                  <a:defRPr sz="1400" b="1" i="0" u="none" strike="noStrike" baseline="0">
                    <a:solidFill>
                      <a:srgbClr val="000000"/>
                    </a:solidFill>
                    <a:latin typeface="Arial"/>
                    <a:ea typeface="Arial"/>
                    <a:cs typeface="Arial"/>
                  </a:defRPr>
                </a:pPr>
                <a:r>
                  <a:rPr lang="en-US" sz="1400"/>
                  <a:t>Nitrate ug/l</a:t>
                </a:r>
              </a:p>
            </c:rich>
          </c:tx>
          <c:layout>
            <c:manualLayout>
              <c:xMode val="edge"/>
              <c:yMode val="edge"/>
              <c:x val="1.3901476478970765E-2"/>
              <c:y val="0.330338684217842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5921664"/>
        <c:crosses val="autoZero"/>
        <c:crossBetween val="between"/>
      </c:valAx>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14649351481014158"/>
          <c:y val="0.17029391596320731"/>
          <c:w val="0.22372397452351667"/>
          <c:h val="0.19599914875505542"/>
        </c:manualLayout>
      </c:layout>
      <c:overlay val="0"/>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portrait"/>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2012 Bear Creek Reservoir Total Nitrogen Trend</a:t>
            </a:r>
          </a:p>
        </c:rich>
      </c:tx>
      <c:layout>
        <c:manualLayout>
          <c:xMode val="edge"/>
          <c:yMode val="edge"/>
          <c:x val="0.26142624938380876"/>
          <c:y val="2.5706589307915473E-2"/>
        </c:manualLayout>
      </c:layout>
      <c:overlay val="0"/>
    </c:title>
    <c:autoTitleDeleted val="0"/>
    <c:plotArea>
      <c:layout>
        <c:manualLayout>
          <c:layoutTarget val="inner"/>
          <c:xMode val="edge"/>
          <c:yMode val="edge"/>
          <c:x val="0.11265507436570428"/>
          <c:y val="0.10884310729815502"/>
          <c:w val="0.8498532074072459"/>
          <c:h val="0.74144482312846205"/>
        </c:manualLayout>
      </c:layout>
      <c:lineChart>
        <c:grouping val="standard"/>
        <c:varyColors val="0"/>
        <c:ser>
          <c:idx val="0"/>
          <c:order val="0"/>
          <c:tx>
            <c:strRef>
              <c:f>'Nitrate &amp; T Nitrogen'!$A$20</c:f>
              <c:strCache>
                <c:ptCount val="1"/>
                <c:pt idx="0">
                  <c:v>Site 16a-Turkey Creek Inflow</c:v>
                </c:pt>
              </c:strCache>
            </c:strRef>
          </c:tx>
          <c:cat>
            <c:numRef>
              <c:f>'Nitrate &amp; T Nitrogen'!$B$4:$P$4</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'Nitrate &amp; T Nitrogen'!$B$20:$P$20</c:f>
              <c:numCache>
                <c:formatCode>General</c:formatCode>
                <c:ptCount val="15"/>
                <c:pt idx="0">
                  <c:v>938</c:v>
                </c:pt>
                <c:pt idx="1">
                  <c:v>579</c:v>
                </c:pt>
                <c:pt idx="2">
                  <c:v>389</c:v>
                </c:pt>
                <c:pt idx="3">
                  <c:v>323</c:v>
                </c:pt>
                <c:pt idx="4">
                  <c:v>627</c:v>
                </c:pt>
                <c:pt idx="5">
                  <c:v>595</c:v>
                </c:pt>
                <c:pt idx="6">
                  <c:v>740</c:v>
                </c:pt>
                <c:pt idx="7">
                  <c:v>484</c:v>
                </c:pt>
                <c:pt idx="8" formatCode="0">
                  <c:v>891</c:v>
                </c:pt>
                <c:pt idx="9" formatCode="0">
                  <c:v>893</c:v>
                </c:pt>
                <c:pt idx="10">
                  <c:v>984</c:v>
                </c:pt>
                <c:pt idx="11" formatCode="0">
                  <c:v>489</c:v>
                </c:pt>
                <c:pt idx="12" formatCode="0">
                  <c:v>648</c:v>
                </c:pt>
                <c:pt idx="13">
                  <c:v>872</c:v>
                </c:pt>
                <c:pt idx="14">
                  <c:v>1016</c:v>
                </c:pt>
              </c:numCache>
            </c:numRef>
          </c:val>
          <c:smooth val="0"/>
          <c:extLst>
            <c:ext xmlns:c16="http://schemas.microsoft.com/office/drawing/2014/chart" uri="{C3380CC4-5D6E-409C-BE32-E72D297353CC}">
              <c16:uniqueId val="{00000000-20BD-4CC9-875A-03571E11621D}"/>
            </c:ext>
          </c:extLst>
        </c:ser>
        <c:ser>
          <c:idx val="1"/>
          <c:order val="1"/>
          <c:tx>
            <c:strRef>
              <c:f>'Nitrate &amp; T Nitrogen'!$A$21</c:f>
              <c:strCache>
                <c:ptCount val="1"/>
                <c:pt idx="0">
                  <c:v>Site 15a-Bear Creek Inflow</c:v>
                </c:pt>
              </c:strCache>
            </c:strRef>
          </c:tx>
          <c:val>
            <c:numRef>
              <c:f>'Nitrate &amp; T Nitrogen'!$B$21:$P$21</c:f>
              <c:numCache>
                <c:formatCode>General</c:formatCode>
                <c:ptCount val="15"/>
                <c:pt idx="0" formatCode="#,##0">
                  <c:v>623</c:v>
                </c:pt>
                <c:pt idx="1">
                  <c:v>1115</c:v>
                </c:pt>
                <c:pt idx="2">
                  <c:v>1015</c:v>
                </c:pt>
                <c:pt idx="3">
                  <c:v>1494</c:v>
                </c:pt>
                <c:pt idx="4">
                  <c:v>1487</c:v>
                </c:pt>
                <c:pt idx="5">
                  <c:v>1888</c:v>
                </c:pt>
                <c:pt idx="6">
                  <c:v>1113</c:v>
                </c:pt>
                <c:pt idx="7">
                  <c:v>1262</c:v>
                </c:pt>
                <c:pt idx="8" formatCode="0">
                  <c:v>1020</c:v>
                </c:pt>
                <c:pt idx="9" formatCode="0">
                  <c:v>998</c:v>
                </c:pt>
                <c:pt idx="10">
                  <c:v>2356</c:v>
                </c:pt>
                <c:pt idx="11" formatCode="0">
                  <c:v>3302</c:v>
                </c:pt>
                <c:pt idx="12" formatCode="0">
                  <c:v>640</c:v>
                </c:pt>
                <c:pt idx="13">
                  <c:v>2125</c:v>
                </c:pt>
                <c:pt idx="14">
                  <c:v>2318</c:v>
                </c:pt>
              </c:numCache>
            </c:numRef>
          </c:val>
          <c:smooth val="0"/>
          <c:extLst>
            <c:ext xmlns:c16="http://schemas.microsoft.com/office/drawing/2014/chart" uri="{C3380CC4-5D6E-409C-BE32-E72D297353CC}">
              <c16:uniqueId val="{00000001-20BD-4CC9-875A-03571E11621D}"/>
            </c:ext>
          </c:extLst>
        </c:ser>
        <c:ser>
          <c:idx val="2"/>
          <c:order val="2"/>
          <c:tx>
            <c:strRef>
              <c:f>'Nitrate &amp; T Nitrogen'!$A$22</c:f>
              <c:strCache>
                <c:ptCount val="1"/>
                <c:pt idx="0">
                  <c:v>Site 45-Reservoir Discharge</c:v>
                </c:pt>
              </c:strCache>
            </c:strRef>
          </c:tx>
          <c:val>
            <c:numRef>
              <c:f>'Nitrate &amp; T Nitrogen'!$B$22:$P$22</c:f>
              <c:numCache>
                <c:formatCode>General</c:formatCode>
                <c:ptCount val="15"/>
                <c:pt idx="0">
                  <c:v>767</c:v>
                </c:pt>
                <c:pt idx="1">
                  <c:v>884</c:v>
                </c:pt>
                <c:pt idx="2">
                  <c:v>689</c:v>
                </c:pt>
                <c:pt idx="3">
                  <c:v>612</c:v>
                </c:pt>
                <c:pt idx="4">
                  <c:v>504</c:v>
                </c:pt>
                <c:pt idx="5">
                  <c:v>435</c:v>
                </c:pt>
                <c:pt idx="6">
                  <c:v>499</c:v>
                </c:pt>
                <c:pt idx="7">
                  <c:v>342</c:v>
                </c:pt>
                <c:pt idx="8" formatCode="0">
                  <c:v>704</c:v>
                </c:pt>
                <c:pt idx="9" formatCode="0">
                  <c:v>848</c:v>
                </c:pt>
                <c:pt idx="10">
                  <c:v>848</c:v>
                </c:pt>
                <c:pt idx="11" formatCode="0">
                  <c:v>520</c:v>
                </c:pt>
                <c:pt idx="12" formatCode="0">
                  <c:v>474</c:v>
                </c:pt>
                <c:pt idx="13">
                  <c:v>593</c:v>
                </c:pt>
                <c:pt idx="14">
                  <c:v>435</c:v>
                </c:pt>
              </c:numCache>
            </c:numRef>
          </c:val>
          <c:smooth val="0"/>
          <c:extLst>
            <c:ext xmlns:c16="http://schemas.microsoft.com/office/drawing/2014/chart" uri="{C3380CC4-5D6E-409C-BE32-E72D297353CC}">
              <c16:uniqueId val="{00000002-20BD-4CC9-875A-03571E11621D}"/>
            </c:ext>
          </c:extLst>
        </c:ser>
        <c:ser>
          <c:idx val="3"/>
          <c:order val="3"/>
          <c:tx>
            <c:strRef>
              <c:f>'Nitrate &amp; T Nitrogen'!$A$23</c:f>
              <c:strCache>
                <c:ptCount val="1"/>
                <c:pt idx="0">
                  <c:v>Site 40a-Reservoir - Top</c:v>
                </c:pt>
              </c:strCache>
            </c:strRef>
          </c:tx>
          <c:val>
            <c:numRef>
              <c:f>'Nitrate &amp; T Nitrogen'!$B$23:$P$23</c:f>
              <c:numCache>
                <c:formatCode>General</c:formatCode>
                <c:ptCount val="15"/>
                <c:pt idx="0">
                  <c:v>908</c:v>
                </c:pt>
                <c:pt idx="1">
                  <c:v>884</c:v>
                </c:pt>
                <c:pt idx="2">
                  <c:v>680</c:v>
                </c:pt>
                <c:pt idx="3">
                  <c:v>550</c:v>
                </c:pt>
                <c:pt idx="4">
                  <c:v>600</c:v>
                </c:pt>
                <c:pt idx="5">
                  <c:v>583</c:v>
                </c:pt>
                <c:pt idx="6">
                  <c:v>577</c:v>
                </c:pt>
                <c:pt idx="7">
                  <c:v>335</c:v>
                </c:pt>
                <c:pt idx="8" formatCode="0">
                  <c:v>729</c:v>
                </c:pt>
                <c:pt idx="9" formatCode="0">
                  <c:v>944</c:v>
                </c:pt>
                <c:pt idx="10">
                  <c:v>944</c:v>
                </c:pt>
                <c:pt idx="11" formatCode="0">
                  <c:v>380</c:v>
                </c:pt>
                <c:pt idx="12" formatCode="0">
                  <c:v>943</c:v>
                </c:pt>
                <c:pt idx="13">
                  <c:v>593</c:v>
                </c:pt>
                <c:pt idx="14">
                  <c:v>491</c:v>
                </c:pt>
              </c:numCache>
            </c:numRef>
          </c:val>
          <c:smooth val="0"/>
          <c:extLst>
            <c:ext xmlns:c16="http://schemas.microsoft.com/office/drawing/2014/chart" uri="{C3380CC4-5D6E-409C-BE32-E72D297353CC}">
              <c16:uniqueId val="{00000003-20BD-4CC9-875A-03571E11621D}"/>
            </c:ext>
          </c:extLst>
        </c:ser>
        <c:ser>
          <c:idx val="4"/>
          <c:order val="4"/>
          <c:tx>
            <c:strRef>
              <c:f>'Nitrate &amp; T Nitrogen'!$A$24</c:f>
              <c:strCache>
                <c:ptCount val="1"/>
                <c:pt idx="0">
                  <c:v>Site 40c-Reservoir - Lower</c:v>
                </c:pt>
              </c:strCache>
            </c:strRef>
          </c:tx>
          <c:val>
            <c:numRef>
              <c:f>'Nitrate &amp; T Nitrogen'!$B$24:$P$24</c:f>
              <c:numCache>
                <c:formatCode>General</c:formatCode>
                <c:ptCount val="15"/>
                <c:pt idx="0">
                  <c:v>726</c:v>
                </c:pt>
                <c:pt idx="1">
                  <c:v>843</c:v>
                </c:pt>
                <c:pt idx="2">
                  <c:v>736</c:v>
                </c:pt>
                <c:pt idx="3">
                  <c:v>527</c:v>
                </c:pt>
                <c:pt idx="4">
                  <c:v>695</c:v>
                </c:pt>
                <c:pt idx="5">
                  <c:v>539</c:v>
                </c:pt>
                <c:pt idx="6">
                  <c:v>647</c:v>
                </c:pt>
                <c:pt idx="7">
                  <c:v>427</c:v>
                </c:pt>
                <c:pt idx="8" formatCode="0">
                  <c:v>567</c:v>
                </c:pt>
                <c:pt idx="9" formatCode="0">
                  <c:v>931</c:v>
                </c:pt>
                <c:pt idx="10">
                  <c:v>931</c:v>
                </c:pt>
                <c:pt idx="11" formatCode="0">
                  <c:v>347</c:v>
                </c:pt>
                <c:pt idx="12" formatCode="0">
                  <c:v>661</c:v>
                </c:pt>
                <c:pt idx="13">
                  <c:v>872</c:v>
                </c:pt>
                <c:pt idx="14">
                  <c:v>516</c:v>
                </c:pt>
              </c:numCache>
            </c:numRef>
          </c:val>
          <c:smooth val="0"/>
          <c:extLst>
            <c:ext xmlns:c16="http://schemas.microsoft.com/office/drawing/2014/chart" uri="{C3380CC4-5D6E-409C-BE32-E72D297353CC}">
              <c16:uniqueId val="{00000004-20BD-4CC9-875A-03571E11621D}"/>
            </c:ext>
          </c:extLst>
        </c:ser>
        <c:dLbls>
          <c:showLegendKey val="0"/>
          <c:showVal val="0"/>
          <c:showCatName val="0"/>
          <c:showSerName val="0"/>
          <c:showPercent val="0"/>
          <c:showBubbleSize val="0"/>
        </c:dLbls>
        <c:marker val="1"/>
        <c:smooth val="0"/>
        <c:axId val="135979776"/>
        <c:axId val="135981312"/>
      </c:lineChart>
      <c:dateAx>
        <c:axId val="135979776"/>
        <c:scaling>
          <c:orientation val="minMax"/>
        </c:scaling>
        <c:delete val="0"/>
        <c:axPos val="b"/>
        <c:numFmt formatCode="[$-409]d\-mmm;@" sourceLinked="1"/>
        <c:majorTickMark val="out"/>
        <c:minorTickMark val="none"/>
        <c:tickLblPos val="nextTo"/>
        <c:txPr>
          <a:bodyPr/>
          <a:lstStyle/>
          <a:p>
            <a:pPr>
              <a:defRPr sz="1400"/>
            </a:pPr>
            <a:endParaRPr lang="en-US"/>
          </a:p>
        </c:txPr>
        <c:crossAx val="135981312"/>
        <c:crosses val="autoZero"/>
        <c:auto val="1"/>
        <c:lblOffset val="100"/>
        <c:baseTimeUnit val="days"/>
      </c:dateAx>
      <c:valAx>
        <c:axId val="135981312"/>
        <c:scaling>
          <c:orientation val="minMax"/>
        </c:scaling>
        <c:delete val="0"/>
        <c:axPos val="l"/>
        <c:majorGridlines/>
        <c:numFmt formatCode="General" sourceLinked="1"/>
        <c:majorTickMark val="out"/>
        <c:minorTickMark val="none"/>
        <c:tickLblPos val="nextTo"/>
        <c:spPr>
          <a:noFill/>
        </c:spPr>
        <c:crossAx val="135979776"/>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17513468711148064"/>
          <c:y val="0.13890377908889523"/>
          <c:w val="0.20290858725761773"/>
          <c:h val="0.2518511613624931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solidFill>
            <a:srgbClr val="000000"/>
          </a:solidFill>
        </a:ln>
      </c:spPr>
    </c:legend>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Creek Site 15a Inflow Nitrate vs Total Nitrogen</a:t>
            </a:r>
          </a:p>
        </c:rich>
      </c:tx>
      <c:overlay val="0"/>
    </c:title>
    <c:autoTitleDeleted val="0"/>
    <c:plotArea>
      <c:layout>
        <c:manualLayout>
          <c:layoutTarget val="inner"/>
          <c:xMode val="edge"/>
          <c:yMode val="edge"/>
          <c:x val="0.15538479507119779"/>
          <c:y val="0.15088570296637449"/>
          <c:w val="0.82854595336076864"/>
          <c:h val="0.51585734772844116"/>
        </c:manualLayout>
      </c:layout>
      <c:lineChart>
        <c:grouping val="standard"/>
        <c:varyColors val="0"/>
        <c:ser>
          <c:idx val="0"/>
          <c:order val="0"/>
          <c:tx>
            <c:strRef>
              <c:f>'Nitrate &amp; T Nitrogen'!$B$3:$N$3</c:f>
              <c:strCache>
                <c:ptCount val="13"/>
                <c:pt idx="0">
                  <c:v>Nitrate-Nitrogen (ug/l)</c:v>
                </c:pt>
              </c:strCache>
            </c:strRef>
          </c:tx>
          <c:marker>
            <c:symbol val="none"/>
          </c:marker>
          <c:cat>
            <c:numRef>
              <c:f>'Nitrate &amp; T Nitrogen'!$B$4:$P$4</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'Nitrate &amp; T Nitrogen'!$B$6:$P$6</c:f>
              <c:numCache>
                <c:formatCode>General</c:formatCode>
                <c:ptCount val="15"/>
                <c:pt idx="0" formatCode="#,##0">
                  <c:v>526</c:v>
                </c:pt>
                <c:pt idx="1">
                  <c:v>904</c:v>
                </c:pt>
                <c:pt idx="2">
                  <c:v>726</c:v>
                </c:pt>
                <c:pt idx="3">
                  <c:v>1219</c:v>
                </c:pt>
                <c:pt idx="4">
                  <c:v>1133</c:v>
                </c:pt>
                <c:pt idx="5">
                  <c:v>233</c:v>
                </c:pt>
                <c:pt idx="6">
                  <c:v>331</c:v>
                </c:pt>
                <c:pt idx="7">
                  <c:v>1041</c:v>
                </c:pt>
                <c:pt idx="8" formatCode="0">
                  <c:v>585</c:v>
                </c:pt>
                <c:pt idx="9" formatCode="0">
                  <c:v>668</c:v>
                </c:pt>
                <c:pt idx="10">
                  <c:v>2063</c:v>
                </c:pt>
                <c:pt idx="11" formatCode="0">
                  <c:v>2448</c:v>
                </c:pt>
                <c:pt idx="12" formatCode="0">
                  <c:v>417</c:v>
                </c:pt>
                <c:pt idx="13">
                  <c:v>1884</c:v>
                </c:pt>
                <c:pt idx="14">
                  <c:v>1195</c:v>
                </c:pt>
              </c:numCache>
            </c:numRef>
          </c:val>
          <c:smooth val="0"/>
          <c:extLst>
            <c:ext xmlns:c16="http://schemas.microsoft.com/office/drawing/2014/chart" uri="{C3380CC4-5D6E-409C-BE32-E72D297353CC}">
              <c16:uniqueId val="{00000000-FBDB-439F-AAF7-1D0ECDF8F83A}"/>
            </c:ext>
          </c:extLst>
        </c:ser>
        <c:ser>
          <c:idx val="1"/>
          <c:order val="1"/>
          <c:tx>
            <c:strRef>
              <c:f>'Nitrate &amp; T Nitrogen'!$G$19</c:f>
              <c:strCache>
                <c:ptCount val="1"/>
                <c:pt idx="0">
                  <c:v>Total Nitrogen</c:v>
                </c:pt>
              </c:strCache>
            </c:strRef>
          </c:tx>
          <c:marker>
            <c:symbol val="none"/>
          </c:marker>
          <c:val>
            <c:numRef>
              <c:f>'Nitrate &amp; T Nitrogen'!$B$21:$P$21</c:f>
              <c:numCache>
                <c:formatCode>General</c:formatCode>
                <c:ptCount val="15"/>
                <c:pt idx="0" formatCode="#,##0">
                  <c:v>623</c:v>
                </c:pt>
                <c:pt idx="1">
                  <c:v>1115</c:v>
                </c:pt>
                <c:pt idx="2">
                  <c:v>1015</c:v>
                </c:pt>
                <c:pt idx="3">
                  <c:v>1494</c:v>
                </c:pt>
                <c:pt idx="4">
                  <c:v>1487</c:v>
                </c:pt>
                <c:pt idx="5">
                  <c:v>1888</c:v>
                </c:pt>
                <c:pt idx="6">
                  <c:v>1113</c:v>
                </c:pt>
                <c:pt idx="7">
                  <c:v>1262</c:v>
                </c:pt>
                <c:pt idx="8" formatCode="0">
                  <c:v>1020</c:v>
                </c:pt>
                <c:pt idx="9" formatCode="0">
                  <c:v>998</c:v>
                </c:pt>
                <c:pt idx="10">
                  <c:v>2356</c:v>
                </c:pt>
                <c:pt idx="11" formatCode="0">
                  <c:v>3302</c:v>
                </c:pt>
                <c:pt idx="12" formatCode="0">
                  <c:v>640</c:v>
                </c:pt>
                <c:pt idx="13">
                  <c:v>2125</c:v>
                </c:pt>
                <c:pt idx="14">
                  <c:v>2318</c:v>
                </c:pt>
              </c:numCache>
            </c:numRef>
          </c:val>
          <c:smooth val="0"/>
          <c:extLst>
            <c:ext xmlns:c16="http://schemas.microsoft.com/office/drawing/2014/chart" uri="{C3380CC4-5D6E-409C-BE32-E72D297353CC}">
              <c16:uniqueId val="{00000001-FBDB-439F-AAF7-1D0ECDF8F83A}"/>
            </c:ext>
          </c:extLst>
        </c:ser>
        <c:dLbls>
          <c:showLegendKey val="0"/>
          <c:showVal val="0"/>
          <c:showCatName val="0"/>
          <c:showSerName val="0"/>
          <c:showPercent val="0"/>
          <c:showBubbleSize val="0"/>
        </c:dLbls>
        <c:smooth val="0"/>
        <c:axId val="136006272"/>
        <c:axId val="136028544"/>
      </c:lineChart>
      <c:dateAx>
        <c:axId val="136006272"/>
        <c:scaling>
          <c:orientation val="minMax"/>
        </c:scaling>
        <c:delete val="0"/>
        <c:axPos val="b"/>
        <c:numFmt formatCode="[$-409]d\-mmm;@" sourceLinked="1"/>
        <c:majorTickMark val="none"/>
        <c:minorTickMark val="none"/>
        <c:tickLblPos val="nextTo"/>
        <c:txPr>
          <a:bodyPr/>
          <a:lstStyle/>
          <a:p>
            <a:pPr>
              <a:defRPr sz="1050"/>
            </a:pPr>
            <a:endParaRPr lang="en-US"/>
          </a:p>
        </c:txPr>
        <c:crossAx val="136028544"/>
        <c:crosses val="autoZero"/>
        <c:auto val="1"/>
        <c:lblOffset val="100"/>
        <c:baseTimeUnit val="days"/>
        <c:majorUnit val="30"/>
        <c:majorTimeUnit val="days"/>
      </c:dateAx>
      <c:valAx>
        <c:axId val="136028544"/>
        <c:scaling>
          <c:orientation val="minMax"/>
        </c:scaling>
        <c:delete val="0"/>
        <c:axPos val="l"/>
        <c:majorGridlines/>
        <c:title>
          <c:tx>
            <c:rich>
              <a:bodyPr/>
              <a:lstStyle/>
              <a:p>
                <a:pPr>
                  <a:defRPr sz="1050">
                    <a:latin typeface="Arial" pitchFamily="34" charset="0"/>
                    <a:cs typeface="Arial" pitchFamily="34" charset="0"/>
                  </a:defRPr>
                </a:pPr>
                <a:r>
                  <a:rPr lang="en-US" sz="1050">
                    <a:latin typeface="Arial" pitchFamily="34" charset="0"/>
                    <a:cs typeface="Arial" pitchFamily="34" charset="0"/>
                  </a:rPr>
                  <a:t>Nitrogen, ug/l</a:t>
                </a:r>
              </a:p>
            </c:rich>
          </c:tx>
          <c:layout>
            <c:manualLayout>
              <c:xMode val="edge"/>
              <c:yMode val="edge"/>
              <c:x val="8.8365825409030874E-2"/>
              <c:y val="0.29929381468825833"/>
            </c:manualLayout>
          </c:layout>
          <c:overlay val="0"/>
        </c:title>
        <c:numFmt formatCode="#,##0" sourceLinked="1"/>
        <c:majorTickMark val="none"/>
        <c:minorTickMark val="none"/>
        <c:tickLblPos val="nextTo"/>
        <c:txPr>
          <a:bodyPr/>
          <a:lstStyle/>
          <a:p>
            <a:pPr>
              <a:defRPr sz="1050"/>
            </a:pPr>
            <a:endParaRPr lang="en-US"/>
          </a:p>
        </c:txPr>
        <c:crossAx val="136006272"/>
        <c:crosses val="autoZero"/>
        <c:crossBetween val="between"/>
      </c:valAx>
      <c:dTable>
        <c:showHorzBorder val="1"/>
        <c:showVertBorder val="1"/>
        <c:showOutline val="1"/>
        <c:showKeys val="1"/>
      </c:dTable>
      <c:spPr>
        <a:gradFill>
          <a:gsLst>
            <a:gs pos="0">
              <a:srgbClr val="9BBB59">
                <a:lumMod val="75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Reservoir Nitrate vs Total Nitrogen, water column Average</a:t>
            </a:r>
          </a:p>
        </c:rich>
      </c:tx>
      <c:overlay val="0"/>
    </c:title>
    <c:autoTitleDeleted val="0"/>
    <c:plotArea>
      <c:layout>
        <c:manualLayout>
          <c:layoutTarget val="inner"/>
          <c:xMode val="edge"/>
          <c:yMode val="edge"/>
          <c:x val="0.22716234652114714"/>
          <c:y val="0.13573406146812411"/>
          <c:w val="0.75273036245804636"/>
          <c:h val="0.54553035306070607"/>
        </c:manualLayout>
      </c:layout>
      <c:lineChart>
        <c:grouping val="standard"/>
        <c:varyColors val="0"/>
        <c:ser>
          <c:idx val="0"/>
          <c:order val="0"/>
          <c:tx>
            <c:strRef>
              <c:f>'Nitrate &amp; T Nitrogen'!$A$10</c:f>
              <c:strCache>
                <c:ptCount val="1"/>
                <c:pt idx="0">
                  <c:v>BCR Water Column Average NO3</c:v>
                </c:pt>
              </c:strCache>
            </c:strRef>
          </c:tx>
          <c:marker>
            <c:symbol val="none"/>
          </c:marker>
          <c:cat>
            <c:numRef>
              <c:f>'Nitrate &amp; T Nitrogen'!$B$4:$P$4</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'Nitrate &amp; T Nitrogen'!$B$10:$P$10</c:f>
              <c:numCache>
                <c:formatCode>General</c:formatCode>
                <c:ptCount val="15"/>
                <c:pt idx="0">
                  <c:v>392.5</c:v>
                </c:pt>
                <c:pt idx="1">
                  <c:v>500.5</c:v>
                </c:pt>
                <c:pt idx="2">
                  <c:v>354.5</c:v>
                </c:pt>
                <c:pt idx="3">
                  <c:v>214.5</c:v>
                </c:pt>
                <c:pt idx="4">
                  <c:v>142</c:v>
                </c:pt>
                <c:pt idx="5">
                  <c:v>19.5</c:v>
                </c:pt>
                <c:pt idx="6">
                  <c:v>56.5</c:v>
                </c:pt>
                <c:pt idx="7">
                  <c:v>8.5</c:v>
                </c:pt>
                <c:pt idx="8">
                  <c:v>26</c:v>
                </c:pt>
                <c:pt idx="9">
                  <c:v>26</c:v>
                </c:pt>
                <c:pt idx="10">
                  <c:v>31</c:v>
                </c:pt>
                <c:pt idx="11">
                  <c:v>42.5</c:v>
                </c:pt>
                <c:pt idx="12">
                  <c:v>45</c:v>
                </c:pt>
                <c:pt idx="13">
                  <c:v>64.5</c:v>
                </c:pt>
                <c:pt idx="14">
                  <c:v>79</c:v>
                </c:pt>
              </c:numCache>
            </c:numRef>
          </c:val>
          <c:smooth val="0"/>
          <c:extLst>
            <c:ext xmlns:c16="http://schemas.microsoft.com/office/drawing/2014/chart" uri="{C3380CC4-5D6E-409C-BE32-E72D297353CC}">
              <c16:uniqueId val="{00000000-1769-4D74-8716-D03F94D9CB0F}"/>
            </c:ext>
          </c:extLst>
        </c:ser>
        <c:ser>
          <c:idx val="1"/>
          <c:order val="1"/>
          <c:tx>
            <c:strRef>
              <c:f>'Nitrate &amp; T Nitrogen'!$A$25</c:f>
              <c:strCache>
                <c:ptCount val="1"/>
                <c:pt idx="0">
                  <c:v>BCR Water Column Average TN</c:v>
                </c:pt>
              </c:strCache>
            </c:strRef>
          </c:tx>
          <c:marker>
            <c:symbol val="none"/>
          </c:marker>
          <c:val>
            <c:numRef>
              <c:f>'Nitrate &amp; T Nitrogen'!$B$25:$P$25</c:f>
              <c:numCache>
                <c:formatCode>General</c:formatCode>
                <c:ptCount val="15"/>
                <c:pt idx="0">
                  <c:v>817</c:v>
                </c:pt>
                <c:pt idx="1">
                  <c:v>863.5</c:v>
                </c:pt>
                <c:pt idx="2">
                  <c:v>708</c:v>
                </c:pt>
                <c:pt idx="3">
                  <c:v>538.5</c:v>
                </c:pt>
                <c:pt idx="4">
                  <c:v>647.5</c:v>
                </c:pt>
                <c:pt idx="5">
                  <c:v>561</c:v>
                </c:pt>
                <c:pt idx="6">
                  <c:v>612</c:v>
                </c:pt>
                <c:pt idx="7">
                  <c:v>381</c:v>
                </c:pt>
                <c:pt idx="8">
                  <c:v>648</c:v>
                </c:pt>
                <c:pt idx="9">
                  <c:v>937.5</c:v>
                </c:pt>
                <c:pt idx="10">
                  <c:v>937.5</c:v>
                </c:pt>
                <c:pt idx="11">
                  <c:v>363.5</c:v>
                </c:pt>
                <c:pt idx="12">
                  <c:v>802</c:v>
                </c:pt>
                <c:pt idx="13">
                  <c:v>732.5</c:v>
                </c:pt>
                <c:pt idx="14">
                  <c:v>503.5</c:v>
                </c:pt>
              </c:numCache>
            </c:numRef>
          </c:val>
          <c:smooth val="0"/>
          <c:extLst>
            <c:ext xmlns:c16="http://schemas.microsoft.com/office/drawing/2014/chart" uri="{C3380CC4-5D6E-409C-BE32-E72D297353CC}">
              <c16:uniqueId val="{00000001-1769-4D74-8716-D03F94D9CB0F}"/>
            </c:ext>
          </c:extLst>
        </c:ser>
        <c:dLbls>
          <c:showLegendKey val="0"/>
          <c:showVal val="0"/>
          <c:showCatName val="0"/>
          <c:showSerName val="0"/>
          <c:showPercent val="0"/>
          <c:showBubbleSize val="0"/>
        </c:dLbls>
        <c:smooth val="0"/>
        <c:axId val="136062080"/>
        <c:axId val="136063616"/>
      </c:lineChart>
      <c:dateAx>
        <c:axId val="136062080"/>
        <c:scaling>
          <c:orientation val="minMax"/>
        </c:scaling>
        <c:delete val="0"/>
        <c:axPos val="b"/>
        <c:numFmt formatCode="[$-409]d\-mmm;@" sourceLinked="1"/>
        <c:majorTickMark val="none"/>
        <c:minorTickMark val="none"/>
        <c:tickLblPos val="nextTo"/>
        <c:crossAx val="136063616"/>
        <c:crosses val="autoZero"/>
        <c:auto val="1"/>
        <c:lblOffset val="100"/>
        <c:baseTimeUnit val="days"/>
      </c:dateAx>
      <c:valAx>
        <c:axId val="136063616"/>
        <c:scaling>
          <c:orientation val="minMax"/>
        </c:scaling>
        <c:delete val="0"/>
        <c:axPos val="l"/>
        <c:majorGridlines/>
        <c:title>
          <c:tx>
            <c:rich>
              <a:bodyPr/>
              <a:lstStyle/>
              <a:p>
                <a:pPr>
                  <a:defRPr sz="1100">
                    <a:latin typeface="Arial" pitchFamily="34" charset="0"/>
                    <a:cs typeface="Arial" pitchFamily="34" charset="0"/>
                  </a:defRPr>
                </a:pPr>
                <a:r>
                  <a:rPr lang="en-US" sz="1100">
                    <a:latin typeface="Arial" pitchFamily="34" charset="0"/>
                    <a:cs typeface="Arial" pitchFamily="34" charset="0"/>
                  </a:rPr>
                  <a:t>Nitrogen, ug/l</a:t>
                </a:r>
              </a:p>
            </c:rich>
          </c:tx>
          <c:overlay val="0"/>
        </c:title>
        <c:numFmt formatCode="General" sourceLinked="1"/>
        <c:majorTickMark val="none"/>
        <c:minorTickMark val="none"/>
        <c:tickLblPos val="nextTo"/>
        <c:crossAx val="136062080"/>
        <c:crosses val="autoZero"/>
        <c:crossBetween val="between"/>
      </c:valAx>
      <c:dTable>
        <c:showHorzBorder val="1"/>
        <c:showVertBorder val="1"/>
        <c:showOutline val="1"/>
        <c:showKeys val="1"/>
      </c:dTable>
      <c:spPr>
        <a:gradFill>
          <a:gsLst>
            <a:gs pos="0">
              <a:srgbClr val="9BBB59">
                <a:lumMod val="75000"/>
              </a:srgbClr>
            </a:gs>
            <a:gs pos="50000">
              <a:srgbClr val="4F81BD">
                <a:tint val="44500"/>
                <a:satMod val="160000"/>
              </a:srgbClr>
            </a:gs>
            <a:gs pos="100000">
              <a:srgbClr val="4F81BD">
                <a:tint val="23500"/>
                <a:satMod val="160000"/>
              </a:srgbClr>
            </a:gs>
          </a:gsLst>
          <a:lin ang="5400000" scaled="0"/>
        </a:gradFill>
      </c:spPr>
    </c:plotArea>
    <c:plotVisOnly val="1"/>
    <c:dispBlanksAs val="gap"/>
    <c:showDLblsOverMax val="0"/>
  </c:chart>
  <c:printSettings>
    <c:headerFooter/>
    <c:pageMargins b="0.75000000000000455" l="0.70000000000000062" r="0.70000000000000062" t="0.7500000000000045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sz="1200"/>
              <a:t>2012 Total Suspended Sediments</a:t>
            </a:r>
          </a:p>
        </c:rich>
      </c:tx>
      <c:overlay val="0"/>
      <c:spPr>
        <a:noFill/>
        <a:ln w="25400">
          <a:noFill/>
        </a:ln>
      </c:spPr>
    </c:title>
    <c:autoTitleDeleted val="0"/>
    <c:plotArea>
      <c:layout>
        <c:manualLayout>
          <c:layoutTarget val="inner"/>
          <c:xMode val="edge"/>
          <c:yMode val="edge"/>
          <c:x val="0.15063845231266704"/>
          <c:y val="9.5130041305650268E-2"/>
          <c:w val="0.81982516556291396"/>
          <c:h val="0.71600229834888462"/>
        </c:manualLayout>
      </c:layout>
      <c:lineChart>
        <c:grouping val="standard"/>
        <c:varyColors val="0"/>
        <c:ser>
          <c:idx val="0"/>
          <c:order val="0"/>
          <c:tx>
            <c:strRef>
              <c:f>TSS!$A$16</c:f>
              <c:strCache>
                <c:ptCount val="1"/>
                <c:pt idx="0">
                  <c:v>Site 16a-Turkey Creek Inflow</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TSS!$B$16:$M$16</c:f>
              <c:numCache>
                <c:formatCode>0.0</c:formatCode>
                <c:ptCount val="12"/>
                <c:pt idx="0">
                  <c:v>1</c:v>
                </c:pt>
                <c:pt idx="1">
                  <c:v>4.4000000000000004</c:v>
                </c:pt>
                <c:pt idx="2">
                  <c:v>12.6</c:v>
                </c:pt>
                <c:pt idx="3">
                  <c:v>4.8</c:v>
                </c:pt>
                <c:pt idx="4">
                  <c:v>26.5</c:v>
                </c:pt>
                <c:pt idx="5">
                  <c:v>12.5</c:v>
                </c:pt>
                <c:pt idx="6">
                  <c:v>103.55</c:v>
                </c:pt>
                <c:pt idx="7">
                  <c:v>34.9</c:v>
                </c:pt>
                <c:pt idx="8">
                  <c:v>11.05</c:v>
                </c:pt>
                <c:pt idx="9">
                  <c:v>18.100000000000001</c:v>
                </c:pt>
                <c:pt idx="10">
                  <c:v>18.399999999999999</c:v>
                </c:pt>
                <c:pt idx="11">
                  <c:v>16.2</c:v>
                </c:pt>
              </c:numCache>
            </c:numRef>
          </c:val>
          <c:smooth val="0"/>
          <c:extLst>
            <c:ext xmlns:c16="http://schemas.microsoft.com/office/drawing/2014/chart" uri="{C3380CC4-5D6E-409C-BE32-E72D297353CC}">
              <c16:uniqueId val="{00000000-4CDE-4743-B799-FAA2213F3DB2}"/>
            </c:ext>
          </c:extLst>
        </c:ser>
        <c:ser>
          <c:idx val="1"/>
          <c:order val="1"/>
          <c:tx>
            <c:strRef>
              <c:f>TSS!$A$17</c:f>
              <c:strCache>
                <c:ptCount val="1"/>
                <c:pt idx="0">
                  <c:v>Site 15a-Bear Creek Inflow</c:v>
                </c:pt>
              </c:strCache>
            </c:strRef>
          </c:tx>
          <c:spPr>
            <a:ln w="25400">
              <a:solidFill>
                <a:srgbClr val="FF00FF"/>
              </a:solidFill>
              <a:prstDash val="solid"/>
            </a:ln>
          </c:spPr>
          <c:marker>
            <c:symbol val="square"/>
            <c:size val="7"/>
            <c:spPr>
              <a:solidFill>
                <a:srgbClr val="FF00FF"/>
              </a:solidFill>
              <a:ln>
                <a:solidFill>
                  <a:srgbClr val="FF00FF"/>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TSS!$B$17:$M$17</c:f>
              <c:numCache>
                <c:formatCode>0.0</c:formatCode>
                <c:ptCount val="12"/>
                <c:pt idx="0">
                  <c:v>1</c:v>
                </c:pt>
                <c:pt idx="1">
                  <c:v>1</c:v>
                </c:pt>
                <c:pt idx="2">
                  <c:v>27.2</c:v>
                </c:pt>
                <c:pt idx="3">
                  <c:v>6.2</c:v>
                </c:pt>
                <c:pt idx="4">
                  <c:v>14.6</c:v>
                </c:pt>
                <c:pt idx="5">
                  <c:v>9.8000000000000007</c:v>
                </c:pt>
                <c:pt idx="6">
                  <c:v>35.5</c:v>
                </c:pt>
                <c:pt idx="7">
                  <c:v>14.9</c:v>
                </c:pt>
                <c:pt idx="8">
                  <c:v>30.8</c:v>
                </c:pt>
                <c:pt idx="9">
                  <c:v>6.2</c:v>
                </c:pt>
                <c:pt idx="10">
                  <c:v>4.4000000000000004</c:v>
                </c:pt>
                <c:pt idx="11">
                  <c:v>4</c:v>
                </c:pt>
              </c:numCache>
            </c:numRef>
          </c:val>
          <c:smooth val="0"/>
          <c:extLst>
            <c:ext xmlns:c16="http://schemas.microsoft.com/office/drawing/2014/chart" uri="{C3380CC4-5D6E-409C-BE32-E72D297353CC}">
              <c16:uniqueId val="{00000001-4CDE-4743-B799-FAA2213F3DB2}"/>
            </c:ext>
          </c:extLst>
        </c:ser>
        <c:ser>
          <c:idx val="2"/>
          <c:order val="2"/>
          <c:tx>
            <c:strRef>
              <c:f>TSS!$A$19</c:f>
              <c:strCache>
                <c:ptCount val="1"/>
                <c:pt idx="0">
                  <c:v>Reservoir - Top </c:v>
                </c:pt>
              </c:strCache>
            </c:strRef>
          </c:tx>
          <c:spPr>
            <a:ln w="25400">
              <a:solidFill>
                <a:srgbClr val="FFFF00"/>
              </a:solidFill>
              <a:prstDash val="solid"/>
            </a:ln>
          </c:spPr>
          <c:marker>
            <c:symbol val="triangle"/>
            <c:size val="7"/>
            <c:spPr>
              <a:solidFill>
                <a:srgbClr val="FFFF00"/>
              </a:solidFill>
              <a:ln>
                <a:solidFill>
                  <a:srgbClr val="FFFF00"/>
                </a:solidFill>
                <a:prstDash val="solid"/>
              </a:ln>
            </c:spPr>
          </c:marker>
          <c:cat>
            <c:strRef>
              <c:f>TSS!$B$15:$M$15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TSS!$B$19:$M$19</c:f>
              <c:numCache>
                <c:formatCode>0.0</c:formatCode>
                <c:ptCount val="12"/>
                <c:pt idx="0">
                  <c:v>1</c:v>
                </c:pt>
                <c:pt idx="1">
                  <c:v>1</c:v>
                </c:pt>
                <c:pt idx="2">
                  <c:v>4</c:v>
                </c:pt>
                <c:pt idx="3">
                  <c:v>5.6</c:v>
                </c:pt>
                <c:pt idx="4">
                  <c:v>1</c:v>
                </c:pt>
                <c:pt idx="5">
                  <c:v>4.9000000000000004</c:v>
                </c:pt>
                <c:pt idx="6">
                  <c:v>9.5</c:v>
                </c:pt>
                <c:pt idx="7">
                  <c:v>10.4</c:v>
                </c:pt>
                <c:pt idx="8">
                  <c:v>9.35</c:v>
                </c:pt>
                <c:pt idx="9">
                  <c:v>5.8</c:v>
                </c:pt>
                <c:pt idx="10">
                  <c:v>8</c:v>
                </c:pt>
                <c:pt idx="11">
                  <c:v>6</c:v>
                </c:pt>
              </c:numCache>
            </c:numRef>
          </c:val>
          <c:smooth val="0"/>
          <c:extLst>
            <c:ext xmlns:c16="http://schemas.microsoft.com/office/drawing/2014/chart" uri="{C3380CC4-5D6E-409C-BE32-E72D297353CC}">
              <c16:uniqueId val="{00000002-4CDE-4743-B799-FAA2213F3DB2}"/>
            </c:ext>
          </c:extLst>
        </c:ser>
        <c:ser>
          <c:idx val="3"/>
          <c:order val="3"/>
          <c:tx>
            <c:strRef>
              <c:f>TSS!$A$18</c:f>
              <c:strCache>
                <c:ptCount val="1"/>
                <c:pt idx="0">
                  <c:v>Site 45-Reservoir Discharge</c:v>
                </c:pt>
              </c:strCache>
            </c:strRef>
          </c:tx>
          <c:val>
            <c:numRef>
              <c:f>TSS!$B$18:$M$18</c:f>
              <c:numCache>
                <c:formatCode>0.0</c:formatCode>
                <c:ptCount val="12"/>
                <c:pt idx="0">
                  <c:v>1</c:v>
                </c:pt>
                <c:pt idx="1">
                  <c:v>1</c:v>
                </c:pt>
                <c:pt idx="2">
                  <c:v>4</c:v>
                </c:pt>
                <c:pt idx="3">
                  <c:v>8</c:v>
                </c:pt>
                <c:pt idx="4">
                  <c:v>4.2</c:v>
                </c:pt>
                <c:pt idx="5">
                  <c:v>8.3000000000000007</c:v>
                </c:pt>
                <c:pt idx="6">
                  <c:v>14.5</c:v>
                </c:pt>
                <c:pt idx="7">
                  <c:v>10.6</c:v>
                </c:pt>
                <c:pt idx="8">
                  <c:v>11.4</c:v>
                </c:pt>
                <c:pt idx="9">
                  <c:v>5</c:v>
                </c:pt>
                <c:pt idx="10">
                  <c:v>10.8</c:v>
                </c:pt>
                <c:pt idx="11">
                  <c:v>7.6</c:v>
                </c:pt>
              </c:numCache>
            </c:numRef>
          </c:val>
          <c:smooth val="0"/>
          <c:extLst>
            <c:ext xmlns:c16="http://schemas.microsoft.com/office/drawing/2014/chart" uri="{C3380CC4-5D6E-409C-BE32-E72D297353CC}">
              <c16:uniqueId val="{00000003-4CDE-4743-B799-FAA2213F3DB2}"/>
            </c:ext>
          </c:extLst>
        </c:ser>
        <c:dLbls>
          <c:showLegendKey val="0"/>
          <c:showVal val="0"/>
          <c:showCatName val="0"/>
          <c:showSerName val="0"/>
          <c:showPercent val="0"/>
          <c:showBubbleSize val="0"/>
        </c:dLbls>
        <c:marker val="1"/>
        <c:smooth val="0"/>
        <c:axId val="136171520"/>
        <c:axId val="136173056"/>
      </c:lineChart>
      <c:catAx>
        <c:axId val="1361715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Arial"/>
                <a:ea typeface="Arial"/>
                <a:cs typeface="Arial"/>
              </a:defRPr>
            </a:pPr>
            <a:endParaRPr lang="en-US"/>
          </a:p>
        </c:txPr>
        <c:crossAx val="136173056"/>
        <c:crosses val="autoZero"/>
        <c:auto val="1"/>
        <c:lblAlgn val="ctr"/>
        <c:lblOffset val="100"/>
        <c:tickLblSkip val="1"/>
        <c:tickMarkSkip val="1"/>
        <c:noMultiLvlLbl val="0"/>
      </c:catAx>
      <c:valAx>
        <c:axId val="136173056"/>
        <c:scaling>
          <c:orientation val="minMax"/>
        </c:scaling>
        <c:delete val="0"/>
        <c:axPos val="l"/>
        <c:majorGridlines>
          <c:spPr>
            <a:ln w="3175">
              <a:solidFill>
                <a:srgbClr val="000000"/>
              </a:solidFill>
              <a:prstDash val="solid"/>
            </a:ln>
          </c:spPr>
        </c:majorGridlines>
        <c:minorGridlines/>
        <c:title>
          <c:tx>
            <c:rich>
              <a:bodyPr/>
              <a:lstStyle/>
              <a:p>
                <a:pPr>
                  <a:defRPr sz="1200" b="1" i="0" u="none" strike="noStrike" baseline="0">
                    <a:solidFill>
                      <a:srgbClr val="000000"/>
                    </a:solidFill>
                    <a:latin typeface="Arial"/>
                    <a:ea typeface="Arial"/>
                    <a:cs typeface="Arial"/>
                  </a:defRPr>
                </a:pPr>
                <a:r>
                  <a:rPr lang="en-US" sz="1200"/>
                  <a:t>TSS mg/l</a:t>
                </a:r>
              </a:p>
            </c:rich>
          </c:tx>
          <c:layout>
            <c:manualLayout>
              <c:xMode val="edge"/>
              <c:yMode val="edge"/>
              <c:x val="7.6291390728476821E-2"/>
              <c:y val="0.3704257124682328"/>
            </c:manualLayout>
          </c:layout>
          <c:overlay val="0"/>
          <c:spPr>
            <a:noFill/>
            <a:ln w="25400">
              <a:noFill/>
            </a:ln>
          </c:spPr>
        </c:title>
        <c:numFmt formatCode="0.0" sourceLinked="1"/>
        <c:majorTickMark val="none"/>
        <c:minorTickMark val="none"/>
        <c:tickLblPos val="nextTo"/>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en-US"/>
          </a:p>
        </c:txPr>
        <c:crossAx val="136171520"/>
        <c:crosses val="autoZero"/>
        <c:crossBetween val="between"/>
      </c:valAx>
      <c:dTable>
        <c:showHorzBorder val="1"/>
        <c:showVertBorder val="1"/>
        <c:showOutline val="1"/>
        <c:showKeys val="1"/>
        <c:txPr>
          <a:bodyPr/>
          <a:lstStyle/>
          <a:p>
            <a:pPr rtl="0">
              <a:defRPr sz="900"/>
            </a:pPr>
            <a:endParaRPr lang="en-US"/>
          </a:p>
        </c:txPr>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a:t>Chlorophyll-a Bear Creek Reservoir </a:t>
            </a:r>
          </a:p>
        </c:rich>
      </c:tx>
      <c:layout>
        <c:manualLayout>
          <c:xMode val="edge"/>
          <c:yMode val="edge"/>
          <c:x val="0.26323595045297649"/>
          <c:y val="9.365566786766609E-2"/>
        </c:manualLayout>
      </c:layout>
      <c:overlay val="0"/>
      <c:spPr>
        <a:noFill/>
        <a:ln w="25400">
          <a:noFill/>
        </a:ln>
      </c:spPr>
    </c:title>
    <c:autoTitleDeleted val="0"/>
    <c:plotArea>
      <c:layout>
        <c:manualLayout>
          <c:layoutTarget val="inner"/>
          <c:xMode val="edge"/>
          <c:yMode val="edge"/>
          <c:x val="0.11184951188043998"/>
          <c:y val="0.23954372623574138"/>
          <c:w val="0.83167310319021581"/>
          <c:h val="0.56273764258560299"/>
        </c:manualLayout>
      </c:layout>
      <c:areaChart>
        <c:grouping val="stacked"/>
        <c:varyColors val="0"/>
        <c:ser>
          <c:idx val="0"/>
          <c:order val="0"/>
          <c:tx>
            <c:strRef>
              <c:f>Chlsecchi!$A$3</c:f>
              <c:strCache>
                <c:ptCount val="1"/>
                <c:pt idx="0">
                  <c:v>Chlorophyll, ug/L</c:v>
                </c:pt>
              </c:strCache>
            </c:strRef>
          </c:tx>
          <c:spPr>
            <a:gradFill>
              <a:gsLst>
                <a:gs pos="50000">
                  <a:srgbClr val="00B050">
                    <a:alpha val="83000"/>
                  </a:srgbClr>
                </a:gs>
                <a:gs pos="50000">
                  <a:srgbClr val="4F81BD">
                    <a:tint val="44500"/>
                    <a:satMod val="160000"/>
                  </a:srgbClr>
                </a:gs>
                <a:gs pos="100000">
                  <a:srgbClr val="4F81BD">
                    <a:tint val="23500"/>
                    <a:satMod val="160000"/>
                  </a:srgbClr>
                </a:gs>
              </a:gsLst>
              <a:lin ang="5400000" scaled="0"/>
            </a:gradFill>
            <a:ln w="12700">
              <a:solidFill>
                <a:srgbClr val="000000"/>
              </a:solidFill>
              <a:prstDash val="solid"/>
            </a:ln>
          </c:spPr>
          <c:cat>
            <c:strRef>
              <c:f>Chlsecchi!$B$19:$M$19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Chlsecchi!$B$20:$M$20</c:f>
              <c:numCache>
                <c:formatCode>General</c:formatCode>
                <c:ptCount val="12"/>
                <c:pt idx="0">
                  <c:v>3.9</c:v>
                </c:pt>
                <c:pt idx="1">
                  <c:v>3.3</c:v>
                </c:pt>
                <c:pt idx="2">
                  <c:v>4.5</c:v>
                </c:pt>
                <c:pt idx="3">
                  <c:v>5.9</c:v>
                </c:pt>
                <c:pt idx="4">
                  <c:v>2.6</c:v>
                </c:pt>
                <c:pt idx="5">
                  <c:v>8.5</c:v>
                </c:pt>
                <c:pt idx="6" formatCode="0.0">
                  <c:v>14.15</c:v>
                </c:pt>
                <c:pt idx="7" formatCode="0.0">
                  <c:v>24.25</c:v>
                </c:pt>
                <c:pt idx="8" formatCode="0.0">
                  <c:v>36.85</c:v>
                </c:pt>
                <c:pt idx="9" formatCode="0.0">
                  <c:v>18.3</c:v>
                </c:pt>
                <c:pt idx="10">
                  <c:v>15.3</c:v>
                </c:pt>
                <c:pt idx="11">
                  <c:v>10.3</c:v>
                </c:pt>
              </c:numCache>
            </c:numRef>
          </c:val>
          <c:extLst>
            <c:ext xmlns:c16="http://schemas.microsoft.com/office/drawing/2014/chart" uri="{C3380CC4-5D6E-409C-BE32-E72D297353CC}">
              <c16:uniqueId val="{00000000-F4F3-4ED0-8838-0E662DC7961A}"/>
            </c:ext>
          </c:extLst>
        </c:ser>
        <c:dLbls>
          <c:showLegendKey val="0"/>
          <c:showVal val="0"/>
          <c:showCatName val="0"/>
          <c:showSerName val="0"/>
          <c:showPercent val="0"/>
          <c:showBubbleSize val="0"/>
        </c:dLbls>
        <c:axId val="136686592"/>
        <c:axId val="136778496"/>
      </c:areaChart>
      <c:catAx>
        <c:axId val="136686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36778496"/>
        <c:crosses val="autoZero"/>
        <c:auto val="1"/>
        <c:lblAlgn val="ctr"/>
        <c:lblOffset val="100"/>
        <c:tickLblSkip val="1"/>
        <c:tickMarkSkip val="1"/>
        <c:noMultiLvlLbl val="0"/>
      </c:catAx>
      <c:valAx>
        <c:axId val="136778496"/>
        <c:scaling>
          <c:orientation val="minMax"/>
        </c:scaling>
        <c:delete val="0"/>
        <c:axPos val="l"/>
        <c:majorGridlines>
          <c:spPr>
            <a:ln w="3175">
              <a:solidFill>
                <a:srgbClr val="000000"/>
              </a:solidFill>
              <a:prstDash val="solid"/>
            </a:ln>
          </c:spPr>
        </c:majorGridlines>
        <c:minorGridlines/>
        <c:title>
          <c:tx>
            <c:rich>
              <a:bodyPr/>
              <a:lstStyle/>
              <a:p>
                <a:pPr>
                  <a:defRPr sz="1400" b="1" i="0" u="none" strike="noStrike" baseline="0">
                    <a:solidFill>
                      <a:srgbClr val="000000"/>
                    </a:solidFill>
                    <a:latin typeface="Arial"/>
                    <a:ea typeface="Arial"/>
                    <a:cs typeface="Arial"/>
                  </a:defRPr>
                </a:pPr>
                <a:r>
                  <a:rPr lang="en-US" sz="1400"/>
                  <a:t>Chlorophyll-a (ug/l)</a:t>
                </a:r>
              </a:p>
            </c:rich>
          </c:tx>
          <c:layout>
            <c:manualLayout>
              <c:xMode val="edge"/>
              <c:yMode val="edge"/>
              <c:x val="2.6827395491606582E-2"/>
              <c:y val="0.38592248639296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36686592"/>
        <c:crosses val="autoZero"/>
        <c:crossBetween val="midCat"/>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FFFFFF"/>
          </a:solidFill>
          <a:prstDash val="solid"/>
        </a:ln>
      </c:spPr>
    </c:plotArea>
    <c:plotVisOnly val="1"/>
    <c:dispBlanksAs val="zero"/>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3"/>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n-US" sz="900"/>
              <a:t>Bear Creek Reservoir Total </a:t>
            </a:r>
            <a:r>
              <a:rPr lang="en-US" sz="1000"/>
              <a:t>Suspended</a:t>
            </a:r>
            <a:r>
              <a:rPr lang="en-US" sz="900"/>
              <a:t> Sediments [mg/l] Trend</a:t>
            </a:r>
          </a:p>
        </c:rich>
      </c:tx>
      <c:layout>
        <c:manualLayout>
          <c:xMode val="edge"/>
          <c:yMode val="edge"/>
          <c:x val="0.22063492063492063"/>
          <c:y val="4.065040650406504E-2"/>
        </c:manualLayout>
      </c:layout>
      <c:overlay val="0"/>
      <c:spPr>
        <a:noFill/>
        <a:ln w="25400">
          <a:noFill/>
        </a:ln>
      </c:spPr>
    </c:title>
    <c:autoTitleDeleted val="0"/>
    <c:plotArea>
      <c:layout>
        <c:manualLayout>
          <c:layoutTarget val="inner"/>
          <c:xMode val="edge"/>
          <c:yMode val="edge"/>
          <c:x val="6.2184924981063934E-2"/>
          <c:y val="0.14769733051662406"/>
          <c:w val="0.92268983282716421"/>
          <c:h val="0.68157437637371165"/>
        </c:manualLayout>
      </c:layout>
      <c:barChart>
        <c:barDir val="col"/>
        <c:grouping val="clustered"/>
        <c:varyColors val="0"/>
        <c:ser>
          <c:idx val="0"/>
          <c:order val="0"/>
          <c:tx>
            <c:strRef>
              <c:f>'Annual Reservoir Trends'!$B$18</c:f>
              <c:strCache>
                <c:ptCount val="1"/>
                <c:pt idx="0">
                  <c:v>Top</c:v>
                </c:pt>
              </c:strCache>
            </c:strRef>
          </c:tx>
          <c:spPr>
            <a:solidFill>
              <a:srgbClr val="9999FF"/>
            </a:solidFill>
            <a:ln w="12700">
              <a:solidFill>
                <a:srgbClr val="000000"/>
              </a:solidFill>
              <a:prstDash val="solid"/>
            </a:ln>
          </c:spPr>
          <c:invertIfNegative val="0"/>
          <c:cat>
            <c:numRef>
              <c:f>'Annual Reservoir Trends'!$C$3:$X$3</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'Annual Reservoir Trends'!$C$18:$X$18</c:f>
              <c:numCache>
                <c:formatCode>General</c:formatCode>
                <c:ptCount val="22"/>
                <c:pt idx="0">
                  <c:v>6</c:v>
                </c:pt>
                <c:pt idx="1">
                  <c:v>7</c:v>
                </c:pt>
                <c:pt idx="2">
                  <c:v>4</c:v>
                </c:pt>
                <c:pt idx="3">
                  <c:v>9</c:v>
                </c:pt>
                <c:pt idx="4">
                  <c:v>6</c:v>
                </c:pt>
                <c:pt idx="5">
                  <c:v>4</c:v>
                </c:pt>
                <c:pt idx="6">
                  <c:v>12</c:v>
                </c:pt>
                <c:pt idx="7">
                  <c:v>6</c:v>
                </c:pt>
                <c:pt idx="8">
                  <c:v>7</c:v>
                </c:pt>
                <c:pt idx="9">
                  <c:v>6</c:v>
                </c:pt>
                <c:pt idx="10">
                  <c:v>7</c:v>
                </c:pt>
                <c:pt idx="11">
                  <c:v>5</c:v>
                </c:pt>
                <c:pt idx="12">
                  <c:v>7</c:v>
                </c:pt>
                <c:pt idx="13">
                  <c:v>3</c:v>
                </c:pt>
                <c:pt idx="14" formatCode="0.0">
                  <c:v>5.4026666666666667</c:v>
                </c:pt>
                <c:pt idx="15" formatCode="0.0">
                  <c:v>6.2935111111111111</c:v>
                </c:pt>
                <c:pt idx="16" formatCode="0.0">
                  <c:v>5.7373968253968224</c:v>
                </c:pt>
                <c:pt idx="17" formatCode="0.0">
                  <c:v>11.2</c:v>
                </c:pt>
                <c:pt idx="18" formatCode="0.0">
                  <c:v>6.9</c:v>
                </c:pt>
                <c:pt idx="19" formatCode="0.0">
                  <c:v>7.3</c:v>
                </c:pt>
                <c:pt idx="20" formatCode="0.0">
                  <c:v>6.2</c:v>
                </c:pt>
                <c:pt idx="21" formatCode="0.0">
                  <c:v>6.4</c:v>
                </c:pt>
              </c:numCache>
            </c:numRef>
          </c:val>
          <c:extLst>
            <c:ext xmlns:c16="http://schemas.microsoft.com/office/drawing/2014/chart" uri="{C3380CC4-5D6E-409C-BE32-E72D297353CC}">
              <c16:uniqueId val="{00000000-14F6-427F-A815-0283E93A5CDB}"/>
            </c:ext>
          </c:extLst>
        </c:ser>
        <c:ser>
          <c:idx val="3"/>
          <c:order val="1"/>
          <c:tx>
            <c:strRef>
              <c:f>'Annual Reservoir Trends'!$B$20</c:f>
              <c:strCache>
                <c:ptCount val="1"/>
                <c:pt idx="0">
                  <c:v>Bottom</c:v>
                </c:pt>
              </c:strCache>
            </c:strRef>
          </c:tx>
          <c:spPr>
            <a:solidFill>
              <a:srgbClr val="CCFFFF"/>
            </a:solidFill>
            <a:ln w="12700">
              <a:solidFill>
                <a:srgbClr val="000000"/>
              </a:solidFill>
              <a:prstDash val="solid"/>
            </a:ln>
          </c:spPr>
          <c:invertIfNegative val="0"/>
          <c:trendline>
            <c:spPr>
              <a:ln w="25400">
                <a:solidFill>
                  <a:srgbClr val="000000"/>
                </a:solidFill>
                <a:prstDash val="solid"/>
              </a:ln>
            </c:spPr>
            <c:trendlineType val="linear"/>
            <c:dispRSqr val="0"/>
            <c:dispEq val="0"/>
          </c:trendline>
          <c:cat>
            <c:numRef>
              <c:f>'Annual Reservoir Trends'!$C$3:$X$3</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'Annual Reservoir Trends'!$C$20:$X$20</c:f>
              <c:numCache>
                <c:formatCode>General</c:formatCode>
                <c:ptCount val="22"/>
                <c:pt idx="0">
                  <c:v>19</c:v>
                </c:pt>
                <c:pt idx="1">
                  <c:v>8</c:v>
                </c:pt>
                <c:pt idx="2">
                  <c:v>5</c:v>
                </c:pt>
                <c:pt idx="3">
                  <c:v>9</c:v>
                </c:pt>
                <c:pt idx="4">
                  <c:v>13</c:v>
                </c:pt>
                <c:pt idx="5">
                  <c:v>7</c:v>
                </c:pt>
                <c:pt idx="6">
                  <c:v>22</c:v>
                </c:pt>
                <c:pt idx="7">
                  <c:v>12</c:v>
                </c:pt>
                <c:pt idx="8">
                  <c:v>12</c:v>
                </c:pt>
                <c:pt idx="9">
                  <c:v>8</c:v>
                </c:pt>
                <c:pt idx="10">
                  <c:v>10</c:v>
                </c:pt>
                <c:pt idx="11">
                  <c:v>5</c:v>
                </c:pt>
                <c:pt idx="12">
                  <c:v>8</c:v>
                </c:pt>
                <c:pt idx="13">
                  <c:v>9</c:v>
                </c:pt>
                <c:pt idx="14" formatCode="0.0">
                  <c:v>7.4459215686274529</c:v>
                </c:pt>
                <c:pt idx="15" formatCode="0.0">
                  <c:v>10.296394771241831</c:v>
                </c:pt>
                <c:pt idx="16" formatCode="0.0">
                  <c:v>6.033309794757165</c:v>
                </c:pt>
                <c:pt idx="17" formatCode="0.0">
                  <c:v>20.9</c:v>
                </c:pt>
                <c:pt idx="18" formatCode="0.0">
                  <c:v>10</c:v>
                </c:pt>
                <c:pt idx="19" formatCode="0.0">
                  <c:v>8.9</c:v>
                </c:pt>
                <c:pt idx="20" formatCode="0.0">
                  <c:v>10.5</c:v>
                </c:pt>
                <c:pt idx="21" formatCode="0.0">
                  <c:v>13.4</c:v>
                </c:pt>
              </c:numCache>
            </c:numRef>
          </c:val>
          <c:extLst>
            <c:ext xmlns:c16="http://schemas.microsoft.com/office/drawing/2014/chart" uri="{C3380CC4-5D6E-409C-BE32-E72D297353CC}">
              <c16:uniqueId val="{00000002-14F6-427F-A815-0283E93A5CDB}"/>
            </c:ext>
          </c:extLst>
        </c:ser>
        <c:dLbls>
          <c:showLegendKey val="0"/>
          <c:showVal val="0"/>
          <c:showCatName val="0"/>
          <c:showSerName val="0"/>
          <c:showPercent val="0"/>
          <c:showBubbleSize val="0"/>
        </c:dLbls>
        <c:gapWidth val="150"/>
        <c:axId val="86212608"/>
        <c:axId val="86214144"/>
      </c:barChart>
      <c:catAx>
        <c:axId val="86212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214144"/>
        <c:crosses val="autoZero"/>
        <c:auto val="1"/>
        <c:lblAlgn val="ctr"/>
        <c:lblOffset val="100"/>
        <c:tickLblSkip val="1"/>
        <c:tickMarkSkip val="1"/>
        <c:noMultiLvlLbl val="0"/>
      </c:catAx>
      <c:valAx>
        <c:axId val="862141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621260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legend>
      <c:legendPos val="r"/>
      <c:layout>
        <c:manualLayout>
          <c:xMode val="edge"/>
          <c:yMode val="edge"/>
          <c:x val="0.6162765970043218"/>
          <c:y val="0.14092226276593744"/>
          <c:w val="0.22857159521726456"/>
          <c:h val="0.23577321127541984"/>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en-US" sz="1600"/>
              <a:t>Secchi Depth Bear Creek Reservoir</a:t>
            </a:r>
          </a:p>
        </c:rich>
      </c:tx>
      <c:layout>
        <c:manualLayout>
          <c:xMode val="edge"/>
          <c:yMode val="edge"/>
          <c:x val="0.27333133137562948"/>
          <c:y val="5.0935390888639014E-2"/>
        </c:manualLayout>
      </c:layout>
      <c:overlay val="0"/>
      <c:spPr>
        <a:noFill/>
        <a:ln w="25400">
          <a:noFill/>
        </a:ln>
      </c:spPr>
    </c:title>
    <c:autoTitleDeleted val="0"/>
    <c:plotArea>
      <c:layout>
        <c:manualLayout>
          <c:layoutTarget val="inner"/>
          <c:xMode val="edge"/>
          <c:yMode val="edge"/>
          <c:x val="0.11353717842584651"/>
          <c:y val="0.25547415268743578"/>
          <c:w val="0.85262054183255886"/>
          <c:h val="0.62165889798896079"/>
        </c:manualLayout>
      </c:layout>
      <c:barChart>
        <c:barDir val="col"/>
        <c:grouping val="clustered"/>
        <c:varyColors val="0"/>
        <c:ser>
          <c:idx val="0"/>
          <c:order val="0"/>
          <c:tx>
            <c:strRef>
              <c:f>Chlsecchi!$A$21</c:f>
              <c:strCache>
                <c:ptCount val="1"/>
                <c:pt idx="0">
                  <c:v>Secchi (ft)</c:v>
                </c:pt>
              </c:strCache>
            </c:strRef>
          </c:tx>
          <c:spPr>
            <a:solidFill>
              <a:srgbClr val="9999FF"/>
            </a:solidFill>
            <a:ln w="12700">
              <a:solidFill>
                <a:srgbClr val="000000"/>
              </a:solidFill>
              <a:prstDash val="solid"/>
            </a:ln>
          </c:spPr>
          <c:invertIfNegative val="0"/>
          <c:cat>
            <c:strRef>
              <c:f>Chlsecchi!$B$19:$M$19</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Chlsecchi!$B$21:$M$21</c:f>
              <c:numCache>
                <c:formatCode>0.0</c:formatCode>
                <c:ptCount val="12"/>
                <c:pt idx="0">
                  <c:v>8.514879999999998</c:v>
                </c:pt>
                <c:pt idx="1">
                  <c:v>7.8391999999999982</c:v>
                </c:pt>
                <c:pt idx="2">
                  <c:v>7.8063999999999991</c:v>
                </c:pt>
                <c:pt idx="3">
                  <c:v>10.673119999999999</c:v>
                </c:pt>
                <c:pt idx="4">
                  <c:v>13.70384</c:v>
                </c:pt>
                <c:pt idx="5">
                  <c:v>7.5439999999999987</c:v>
                </c:pt>
                <c:pt idx="6">
                  <c:v>4.2804000000000002</c:v>
                </c:pt>
                <c:pt idx="7">
                  <c:v>4.7805999999999997</c:v>
                </c:pt>
                <c:pt idx="8">
                  <c:v>4.9167199999999998</c:v>
                </c:pt>
                <c:pt idx="9">
                  <c:v>7.9441600000000001</c:v>
                </c:pt>
                <c:pt idx="10">
                  <c:v>7.1372799999999987</c:v>
                </c:pt>
                <c:pt idx="11">
                  <c:v>9.7579999999999991</c:v>
                </c:pt>
              </c:numCache>
            </c:numRef>
          </c:val>
          <c:extLst>
            <c:ext xmlns:c16="http://schemas.microsoft.com/office/drawing/2014/chart" uri="{C3380CC4-5D6E-409C-BE32-E72D297353CC}">
              <c16:uniqueId val="{00000000-15F0-4793-A90D-FFA2D6C15DBA}"/>
            </c:ext>
          </c:extLst>
        </c:ser>
        <c:dLbls>
          <c:showLegendKey val="0"/>
          <c:showVal val="0"/>
          <c:showCatName val="0"/>
          <c:showSerName val="0"/>
          <c:showPercent val="0"/>
          <c:showBubbleSize val="0"/>
        </c:dLbls>
        <c:gapWidth val="150"/>
        <c:axId val="136819072"/>
        <c:axId val="136820608"/>
      </c:barChart>
      <c:catAx>
        <c:axId val="136819072"/>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1400" b="1" i="0" u="none" strike="noStrike" baseline="0">
                <a:solidFill>
                  <a:srgbClr val="000000"/>
                </a:solidFill>
                <a:latin typeface="Arial"/>
                <a:ea typeface="Arial"/>
                <a:cs typeface="Arial"/>
              </a:defRPr>
            </a:pPr>
            <a:endParaRPr lang="en-US"/>
          </a:p>
        </c:txPr>
        <c:crossAx val="136820608"/>
        <c:crosses val="autoZero"/>
        <c:auto val="1"/>
        <c:lblAlgn val="ctr"/>
        <c:lblOffset val="100"/>
        <c:tickLblSkip val="1"/>
        <c:tickMarkSkip val="1"/>
        <c:noMultiLvlLbl val="0"/>
      </c:catAx>
      <c:valAx>
        <c:axId val="136820608"/>
        <c:scaling>
          <c:orientation val="maxMin"/>
        </c:scaling>
        <c:delete val="0"/>
        <c:axPos val="l"/>
        <c:majorGridlines>
          <c:spPr>
            <a:ln w="3175">
              <a:solidFill>
                <a:srgbClr val="000000"/>
              </a:solidFill>
              <a:prstDash val="solid"/>
            </a:ln>
          </c:spPr>
        </c:majorGridlines>
        <c:minorGridlines/>
        <c:title>
          <c:tx>
            <c:rich>
              <a:bodyPr/>
              <a:lstStyle/>
              <a:p>
                <a:pPr>
                  <a:defRPr sz="1400" b="1" i="0" u="none" strike="noStrike" baseline="0">
                    <a:solidFill>
                      <a:srgbClr val="000000"/>
                    </a:solidFill>
                    <a:latin typeface="Arial"/>
                    <a:ea typeface="Arial"/>
                    <a:cs typeface="Arial"/>
                  </a:defRPr>
                </a:pPr>
                <a:r>
                  <a:rPr lang="en-US" sz="1400"/>
                  <a:t>Secchi Depth (feet)</a:t>
                </a:r>
              </a:p>
            </c:rich>
          </c:tx>
          <c:layout>
            <c:manualLayout>
              <c:xMode val="edge"/>
              <c:yMode val="edge"/>
              <c:x val="2.0885649567777182E-2"/>
              <c:y val="0.37306038837833538"/>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350" b="1" i="0" u="none" strike="noStrike" baseline="0">
                <a:solidFill>
                  <a:srgbClr val="000000"/>
                </a:solidFill>
                <a:latin typeface="Arial"/>
                <a:ea typeface="Arial"/>
                <a:cs typeface="Arial"/>
              </a:defRPr>
            </a:pPr>
            <a:endParaRPr lang="en-US"/>
          </a:p>
        </c:txPr>
        <c:crossAx val="13681907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Phytoplankton Average Total Density (#/mL): </a:t>
            </a:r>
          </a:p>
        </c:rich>
      </c:tx>
      <c:layout>
        <c:manualLayout>
          <c:xMode val="edge"/>
          <c:yMode val="edge"/>
          <c:x val="0.20610407992194688"/>
          <c:y val="6.5040650406504072E-2"/>
        </c:manualLayout>
      </c:layout>
      <c:overlay val="0"/>
    </c:title>
    <c:autoTitleDeleted val="0"/>
    <c:plotArea>
      <c:layout/>
      <c:areaChart>
        <c:grouping val="stacked"/>
        <c:varyColors val="0"/>
        <c:ser>
          <c:idx val="0"/>
          <c:order val="0"/>
          <c:tx>
            <c:strRef>
              <c:f>Phytoplankton!$A$8</c:f>
              <c:strCache>
                <c:ptCount val="1"/>
                <c:pt idx="0">
                  <c:v>Total Density (#/mL): </c:v>
                </c:pt>
              </c:strCache>
            </c:strRef>
          </c:tx>
          <c:cat>
            <c:numRef>
              <c:f>Phytoplankton!$B$7:$F$7</c:f>
              <c:numCache>
                <c:formatCode>d\-mmm\-yy</c:formatCode>
                <c:ptCount val="5"/>
                <c:pt idx="0" formatCode="d\-mmm">
                  <c:v>41113</c:v>
                </c:pt>
                <c:pt idx="1">
                  <c:v>41127</c:v>
                </c:pt>
                <c:pt idx="2">
                  <c:v>41148</c:v>
                </c:pt>
                <c:pt idx="3" formatCode="[$-409]d\-mmm\-yy;@">
                  <c:v>41162</c:v>
                </c:pt>
                <c:pt idx="4" formatCode="[$-409]d\-mmm\-yy;@">
                  <c:v>41177</c:v>
                </c:pt>
              </c:numCache>
            </c:numRef>
          </c:cat>
          <c:val>
            <c:numRef>
              <c:f>Phytoplankton!$B$8:$F$8</c:f>
              <c:numCache>
                <c:formatCode>#,##0</c:formatCode>
                <c:ptCount val="5"/>
                <c:pt idx="0">
                  <c:v>1247.5254621555639</c:v>
                </c:pt>
                <c:pt idx="1">
                  <c:v>5185.4363207547103</c:v>
                </c:pt>
                <c:pt idx="2">
                  <c:v>2382.9456693505972</c:v>
                </c:pt>
                <c:pt idx="3">
                  <c:v>1583.1948601171052</c:v>
                </c:pt>
                <c:pt idx="4">
                  <c:v>1453.2375654895486</c:v>
                </c:pt>
              </c:numCache>
            </c:numRef>
          </c:val>
          <c:extLst>
            <c:ext xmlns:c16="http://schemas.microsoft.com/office/drawing/2014/chart" uri="{C3380CC4-5D6E-409C-BE32-E72D297353CC}">
              <c16:uniqueId val="{00000000-3580-4F55-BECB-E02EC73DFCF4}"/>
            </c:ext>
          </c:extLst>
        </c:ser>
        <c:dLbls>
          <c:showLegendKey val="0"/>
          <c:showVal val="0"/>
          <c:showCatName val="0"/>
          <c:showSerName val="0"/>
          <c:showPercent val="0"/>
          <c:showBubbleSize val="0"/>
        </c:dLbls>
        <c:axId val="137042944"/>
        <c:axId val="137041408"/>
      </c:areaChart>
      <c:valAx>
        <c:axId val="137041408"/>
        <c:scaling>
          <c:orientation val="minMax"/>
        </c:scaling>
        <c:delete val="0"/>
        <c:axPos val="l"/>
        <c:majorGridlines/>
        <c:numFmt formatCode="#,##0" sourceLinked="1"/>
        <c:majorTickMark val="out"/>
        <c:minorTickMark val="none"/>
        <c:tickLblPos val="nextTo"/>
        <c:crossAx val="137042944"/>
        <c:crosses val="autoZero"/>
        <c:crossBetween val="midCat"/>
      </c:valAx>
      <c:dateAx>
        <c:axId val="137042944"/>
        <c:scaling>
          <c:orientation val="minMax"/>
        </c:scaling>
        <c:delete val="0"/>
        <c:axPos val="b"/>
        <c:numFmt formatCode="d\-mmm" sourceLinked="1"/>
        <c:majorTickMark val="out"/>
        <c:minorTickMark val="none"/>
        <c:tickLblPos val="nextTo"/>
        <c:crossAx val="137041408"/>
        <c:crosses val="autoZero"/>
        <c:auto val="1"/>
        <c:lblOffset val="100"/>
        <c:baseTimeUnit val="days"/>
        <c:majorUnit val="15"/>
        <c:majorTimeUnit val="days"/>
        <c:minorUnit val="1"/>
        <c:minorTimeUnit val="days"/>
      </c:dateAx>
    </c:plotArea>
    <c:plotVisOnly val="1"/>
    <c:dispBlanksAs val="zero"/>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777" l="0.70000000000000062" r="0.70000000000000062" t="0.75000000000000777"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areaChart>
        <c:grouping val="standard"/>
        <c:varyColors val="0"/>
        <c:ser>
          <c:idx val="1"/>
          <c:order val="0"/>
          <c:tx>
            <c:strRef>
              <c:f>Phytoplankton!$A$9</c:f>
              <c:strCache>
                <c:ptCount val="1"/>
                <c:pt idx="0">
                  <c:v>Total Biovolume (um3/mL):              </c:v>
                </c:pt>
              </c:strCache>
            </c:strRef>
          </c:tx>
          <c:spPr>
            <a:gradFill>
              <a:gsLst>
                <a:gs pos="0">
                  <a:schemeClr val="accent3">
                    <a:lumMod val="75000"/>
                  </a:schemeClr>
                </a:gs>
                <a:gs pos="50000">
                  <a:srgbClr val="4F81BD">
                    <a:tint val="44500"/>
                    <a:satMod val="160000"/>
                  </a:srgbClr>
                </a:gs>
                <a:gs pos="100000">
                  <a:srgbClr val="4F81BD">
                    <a:tint val="23500"/>
                    <a:satMod val="160000"/>
                  </a:srgbClr>
                </a:gs>
              </a:gsLst>
              <a:lin ang="5400000" scaled="0"/>
            </a:gradFill>
          </c:spPr>
          <c:cat>
            <c:numRef>
              <c:f>Phytoplankton!$B$7:$F$7</c:f>
              <c:numCache>
                <c:formatCode>d\-mmm\-yy</c:formatCode>
                <c:ptCount val="5"/>
                <c:pt idx="0" formatCode="d\-mmm">
                  <c:v>41113</c:v>
                </c:pt>
                <c:pt idx="1">
                  <c:v>41127</c:v>
                </c:pt>
                <c:pt idx="2">
                  <c:v>41148</c:v>
                </c:pt>
                <c:pt idx="3" formatCode="[$-409]d\-mmm\-yy;@">
                  <c:v>41162</c:v>
                </c:pt>
                <c:pt idx="4" formatCode="[$-409]d\-mmm\-yy;@">
                  <c:v>41177</c:v>
                </c:pt>
              </c:numCache>
            </c:numRef>
          </c:cat>
          <c:val>
            <c:numRef>
              <c:f>Phytoplankton!$B$9:$F$9</c:f>
              <c:numCache>
                <c:formatCode>#,##0</c:formatCode>
                <c:ptCount val="5"/>
                <c:pt idx="0">
                  <c:v>928150.8294093716</c:v>
                </c:pt>
                <c:pt idx="1">
                  <c:v>4831475.7783018816</c:v>
                </c:pt>
                <c:pt idx="2">
                  <c:v>2935807.0729080485</c:v>
                </c:pt>
                <c:pt idx="3">
                  <c:v>1441568.0470613712</c:v>
                </c:pt>
                <c:pt idx="4">
                  <c:v>2605243.9087909032</c:v>
                </c:pt>
              </c:numCache>
            </c:numRef>
          </c:val>
          <c:extLst>
            <c:ext xmlns:c16="http://schemas.microsoft.com/office/drawing/2014/chart" uri="{C3380CC4-5D6E-409C-BE32-E72D297353CC}">
              <c16:uniqueId val="{00000000-09CA-48C1-8FEA-F049C084CBF7}"/>
            </c:ext>
          </c:extLst>
        </c:ser>
        <c:dLbls>
          <c:showLegendKey val="0"/>
          <c:showVal val="0"/>
          <c:showCatName val="0"/>
          <c:showSerName val="0"/>
          <c:showPercent val="0"/>
          <c:showBubbleSize val="0"/>
        </c:dLbls>
        <c:axId val="137058560"/>
        <c:axId val="137072640"/>
      </c:areaChart>
      <c:dateAx>
        <c:axId val="137058560"/>
        <c:scaling>
          <c:orientation val="minMax"/>
        </c:scaling>
        <c:delete val="0"/>
        <c:axPos val="b"/>
        <c:numFmt formatCode="d\-mmm" sourceLinked="1"/>
        <c:majorTickMark val="none"/>
        <c:minorTickMark val="none"/>
        <c:tickLblPos val="nextTo"/>
        <c:spPr>
          <a:noFill/>
        </c:spPr>
        <c:crossAx val="137072640"/>
        <c:crosses val="autoZero"/>
        <c:auto val="1"/>
        <c:lblOffset val="100"/>
        <c:baseTimeUnit val="days"/>
        <c:majorUnit val="15"/>
        <c:majorTimeUnit val="days"/>
        <c:minorUnit val="1"/>
        <c:minorTimeUnit val="days"/>
      </c:dateAx>
      <c:valAx>
        <c:axId val="137072640"/>
        <c:scaling>
          <c:orientation val="minMax"/>
        </c:scaling>
        <c:delete val="0"/>
        <c:axPos val="l"/>
        <c:majorGridlines/>
        <c:numFmt formatCode="#,##0" sourceLinked="1"/>
        <c:majorTickMark val="none"/>
        <c:minorTickMark val="none"/>
        <c:tickLblPos val="nextTo"/>
        <c:crossAx val="137058560"/>
        <c:crosses val="autoZero"/>
        <c:crossBetween val="midCat"/>
      </c:valAx>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167" l="0.70000000000000062" r="0.70000000000000062" t="0.75000000000000167"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Reservoir Phosphorus</a:t>
            </a:r>
          </a:p>
        </c:rich>
      </c:tx>
      <c:layout>
        <c:manualLayout>
          <c:xMode val="edge"/>
          <c:yMode val="edge"/>
          <c:x val="0.36699860401432982"/>
          <c:y val="0.87175758391156188"/>
        </c:manualLayout>
      </c:layout>
      <c:overlay val="1"/>
    </c:title>
    <c:autoTitleDeleted val="0"/>
    <c:plotArea>
      <c:layout>
        <c:manualLayout>
          <c:layoutTarget val="inner"/>
          <c:xMode val="edge"/>
          <c:yMode val="edge"/>
          <c:x val="9.8571741032371027E-2"/>
          <c:y val="5.1400554097404488E-2"/>
          <c:w val="0.84895100612426044"/>
          <c:h val="0.70651574803149608"/>
        </c:manualLayout>
      </c:layout>
      <c:lineChart>
        <c:grouping val="standard"/>
        <c:varyColors val="0"/>
        <c:ser>
          <c:idx val="0"/>
          <c:order val="0"/>
          <c:tx>
            <c:strRef>
              <c:f>'Monthly Chemistry'!$B$16</c:f>
              <c:strCache>
                <c:ptCount val="1"/>
                <c:pt idx="0">
                  <c:v>Phosphorus, total</c:v>
                </c:pt>
              </c:strCache>
            </c:strRef>
          </c:tx>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Chemistry'!$C$16:$Q$16</c:f>
              <c:numCache>
                <c:formatCode>General</c:formatCode>
                <c:ptCount val="15"/>
                <c:pt idx="0">
                  <c:v>22</c:v>
                </c:pt>
                <c:pt idx="1">
                  <c:v>14</c:v>
                </c:pt>
                <c:pt idx="2">
                  <c:v>13</c:v>
                </c:pt>
                <c:pt idx="3">
                  <c:v>21</c:v>
                </c:pt>
                <c:pt idx="4">
                  <c:v>14</c:v>
                </c:pt>
                <c:pt idx="5">
                  <c:v>24</c:v>
                </c:pt>
                <c:pt idx="6">
                  <c:v>61</c:v>
                </c:pt>
                <c:pt idx="7">
                  <c:v>66</c:v>
                </c:pt>
                <c:pt idx="8" formatCode="0">
                  <c:v>93</c:v>
                </c:pt>
                <c:pt idx="9" formatCode="0">
                  <c:v>74</c:v>
                </c:pt>
                <c:pt idx="10">
                  <c:v>113</c:v>
                </c:pt>
                <c:pt idx="11">
                  <c:v>117</c:v>
                </c:pt>
                <c:pt idx="12">
                  <c:v>78</c:v>
                </c:pt>
                <c:pt idx="13">
                  <c:v>37</c:v>
                </c:pt>
                <c:pt idx="14">
                  <c:v>28</c:v>
                </c:pt>
              </c:numCache>
            </c:numRef>
          </c:val>
          <c:smooth val="0"/>
          <c:extLst>
            <c:ext xmlns:c16="http://schemas.microsoft.com/office/drawing/2014/chart" uri="{C3380CC4-5D6E-409C-BE32-E72D297353CC}">
              <c16:uniqueId val="{00000000-A386-4F87-B57E-79C6223B78C7}"/>
            </c:ext>
          </c:extLst>
        </c:ser>
        <c:ser>
          <c:idx val="1"/>
          <c:order val="1"/>
          <c:tx>
            <c:strRef>
              <c:f>'Monthly Chemistry'!$B$17</c:f>
              <c:strCache>
                <c:ptCount val="1"/>
                <c:pt idx="0">
                  <c:v>Total Dissolved Phosphorus</c:v>
                </c:pt>
              </c:strCache>
            </c:strRef>
          </c:tx>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Chemistry'!$C$17:$Q$17</c:f>
              <c:numCache>
                <c:formatCode>General</c:formatCode>
                <c:ptCount val="15"/>
                <c:pt idx="0">
                  <c:v>15</c:v>
                </c:pt>
                <c:pt idx="1">
                  <c:v>8</c:v>
                </c:pt>
                <c:pt idx="2">
                  <c:v>4</c:v>
                </c:pt>
                <c:pt idx="3">
                  <c:v>5</c:v>
                </c:pt>
                <c:pt idx="4">
                  <c:v>10</c:v>
                </c:pt>
                <c:pt idx="5">
                  <c:v>10</c:v>
                </c:pt>
                <c:pt idx="6">
                  <c:v>26</c:v>
                </c:pt>
                <c:pt idx="7">
                  <c:v>35</c:v>
                </c:pt>
                <c:pt idx="8" formatCode="0">
                  <c:v>60</c:v>
                </c:pt>
                <c:pt idx="9" formatCode="0">
                  <c:v>35</c:v>
                </c:pt>
                <c:pt idx="10">
                  <c:v>72</c:v>
                </c:pt>
                <c:pt idx="11">
                  <c:v>53</c:v>
                </c:pt>
                <c:pt idx="12">
                  <c:v>46</c:v>
                </c:pt>
                <c:pt idx="13">
                  <c:v>7</c:v>
                </c:pt>
                <c:pt idx="14">
                  <c:v>6</c:v>
                </c:pt>
              </c:numCache>
            </c:numRef>
          </c:val>
          <c:smooth val="0"/>
          <c:extLst>
            <c:ext xmlns:c16="http://schemas.microsoft.com/office/drawing/2014/chart" uri="{C3380CC4-5D6E-409C-BE32-E72D297353CC}">
              <c16:uniqueId val="{00000001-A386-4F87-B57E-79C6223B78C7}"/>
            </c:ext>
          </c:extLst>
        </c:ser>
        <c:dLbls>
          <c:showLegendKey val="0"/>
          <c:showVal val="0"/>
          <c:showCatName val="0"/>
          <c:showSerName val="0"/>
          <c:showPercent val="0"/>
          <c:showBubbleSize val="0"/>
        </c:dLbls>
        <c:marker val="1"/>
        <c:smooth val="0"/>
        <c:axId val="137098752"/>
        <c:axId val="137100288"/>
      </c:lineChart>
      <c:dateAx>
        <c:axId val="137098752"/>
        <c:scaling>
          <c:orientation val="minMax"/>
        </c:scaling>
        <c:delete val="0"/>
        <c:axPos val="b"/>
        <c:numFmt formatCode="[$-409]mmm\-yy;@" sourceLinked="0"/>
        <c:majorTickMark val="out"/>
        <c:minorTickMark val="none"/>
        <c:tickLblPos val="nextTo"/>
        <c:crossAx val="137100288"/>
        <c:crosses val="autoZero"/>
        <c:auto val="1"/>
        <c:lblOffset val="100"/>
        <c:baseTimeUnit val="days"/>
        <c:majorUnit val="1"/>
        <c:majorTimeUnit val="months"/>
        <c:minorUnit val="15"/>
        <c:minorTimeUnit val="days"/>
      </c:dateAx>
      <c:valAx>
        <c:axId val="137100288"/>
        <c:scaling>
          <c:orientation val="minMax"/>
        </c:scaling>
        <c:delete val="0"/>
        <c:axPos val="l"/>
        <c:majorGridlines/>
        <c:minorGridlines/>
        <c:numFmt formatCode="General" sourceLinked="1"/>
        <c:majorTickMark val="out"/>
        <c:minorTickMark val="none"/>
        <c:tickLblPos val="nextTo"/>
        <c:crossAx val="137098752"/>
        <c:crossesAt val="40203"/>
        <c:crossBetween val="midCat"/>
      </c:valAx>
    </c:plotArea>
    <c:legend>
      <c:legendPos val="r"/>
      <c:layout>
        <c:manualLayout>
          <c:xMode val="edge"/>
          <c:yMode val="edge"/>
          <c:x val="0.14256312321446371"/>
          <c:y val="0.15534468447854274"/>
          <c:w val="0.27772996132800537"/>
          <c:h val="0.15686101872425021"/>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xPr>
        <a:bodyPr/>
        <a:lstStyle/>
        <a:p>
          <a:pPr>
            <a:defRPr sz="110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Reservoir Nitrate/Nitrite  </a:t>
            </a:r>
          </a:p>
        </c:rich>
      </c:tx>
      <c:layout>
        <c:manualLayout>
          <c:xMode val="edge"/>
          <c:yMode val="edge"/>
          <c:x val="0.3675702852643451"/>
          <c:y val="0.86236910640509579"/>
        </c:manualLayout>
      </c:layout>
      <c:overlay val="0"/>
    </c:title>
    <c:autoTitleDeleted val="0"/>
    <c:plotArea>
      <c:layout>
        <c:manualLayout>
          <c:layoutTarget val="inner"/>
          <c:xMode val="edge"/>
          <c:yMode val="edge"/>
          <c:x val="0.15747462817148244"/>
          <c:y val="0.19480351414406533"/>
          <c:w val="0.78925131698963169"/>
          <c:h val="0.57160776902889165"/>
        </c:manualLayout>
      </c:layout>
      <c:lineChart>
        <c:grouping val="standard"/>
        <c:varyColors val="0"/>
        <c:ser>
          <c:idx val="0"/>
          <c:order val="0"/>
          <c:tx>
            <c:strRef>
              <c:f>'Monthly Chemistry'!$A$13:$A$18</c:f>
              <c:strCache>
                <c:ptCount val="1"/>
                <c:pt idx="0">
                  <c:v>Bear Creek Reservoir Top, Site 40a</c:v>
                </c:pt>
              </c:strCache>
            </c:strRef>
          </c:tx>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Chemistry'!$C$14:$Q$14</c:f>
              <c:numCache>
                <c:formatCode>General</c:formatCode>
                <c:ptCount val="15"/>
                <c:pt idx="0">
                  <c:v>606</c:v>
                </c:pt>
                <c:pt idx="1">
                  <c:v>704</c:v>
                </c:pt>
                <c:pt idx="2">
                  <c:v>370</c:v>
                </c:pt>
                <c:pt idx="3">
                  <c:v>224</c:v>
                </c:pt>
                <c:pt idx="4">
                  <c:v>170</c:v>
                </c:pt>
                <c:pt idx="5">
                  <c:v>21</c:v>
                </c:pt>
                <c:pt idx="6">
                  <c:v>43</c:v>
                </c:pt>
                <c:pt idx="7">
                  <c:v>7</c:v>
                </c:pt>
                <c:pt idx="8" formatCode="0">
                  <c:v>26</c:v>
                </c:pt>
                <c:pt idx="9" formatCode="0">
                  <c:v>15</c:v>
                </c:pt>
                <c:pt idx="10">
                  <c:v>32</c:v>
                </c:pt>
                <c:pt idx="11">
                  <c:v>47</c:v>
                </c:pt>
                <c:pt idx="12">
                  <c:v>52</c:v>
                </c:pt>
                <c:pt idx="13">
                  <c:v>66</c:v>
                </c:pt>
                <c:pt idx="14">
                  <c:v>91</c:v>
                </c:pt>
              </c:numCache>
            </c:numRef>
          </c:val>
          <c:smooth val="0"/>
          <c:extLst>
            <c:ext xmlns:c16="http://schemas.microsoft.com/office/drawing/2014/chart" uri="{C3380CC4-5D6E-409C-BE32-E72D297353CC}">
              <c16:uniqueId val="{00000000-4155-444C-9ECE-368A3C55ABD5}"/>
            </c:ext>
          </c:extLst>
        </c:ser>
        <c:ser>
          <c:idx val="1"/>
          <c:order val="1"/>
          <c:tx>
            <c:strRef>
              <c:f>'Monthly Chemistry'!$A$19:$A$23</c:f>
              <c:strCache>
                <c:ptCount val="1"/>
                <c:pt idx="0">
                  <c:v>Bear Creek Reservoir Bottom, Site 40c</c:v>
                </c:pt>
              </c:strCache>
            </c:strRef>
          </c:tx>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Chemistry'!$C$19:$Q$19</c:f>
              <c:numCache>
                <c:formatCode>General</c:formatCode>
                <c:ptCount val="15"/>
                <c:pt idx="0">
                  <c:v>179</c:v>
                </c:pt>
                <c:pt idx="1">
                  <c:v>297</c:v>
                </c:pt>
                <c:pt idx="2">
                  <c:v>339</c:v>
                </c:pt>
                <c:pt idx="3">
                  <c:v>205</c:v>
                </c:pt>
                <c:pt idx="4">
                  <c:v>114</c:v>
                </c:pt>
                <c:pt idx="5">
                  <c:v>18</c:v>
                </c:pt>
                <c:pt idx="6">
                  <c:v>70</c:v>
                </c:pt>
                <c:pt idx="7">
                  <c:v>10</c:v>
                </c:pt>
                <c:pt idx="8" formatCode="0">
                  <c:v>26</c:v>
                </c:pt>
                <c:pt idx="9" formatCode="0">
                  <c:v>11</c:v>
                </c:pt>
                <c:pt idx="10">
                  <c:v>30</c:v>
                </c:pt>
                <c:pt idx="11">
                  <c:v>38</c:v>
                </c:pt>
                <c:pt idx="12">
                  <c:v>49</c:v>
                </c:pt>
                <c:pt idx="13">
                  <c:v>63</c:v>
                </c:pt>
                <c:pt idx="14">
                  <c:v>67</c:v>
                </c:pt>
              </c:numCache>
            </c:numRef>
          </c:val>
          <c:smooth val="0"/>
          <c:extLst>
            <c:ext xmlns:c16="http://schemas.microsoft.com/office/drawing/2014/chart" uri="{C3380CC4-5D6E-409C-BE32-E72D297353CC}">
              <c16:uniqueId val="{00000001-4155-444C-9ECE-368A3C55ABD5}"/>
            </c:ext>
          </c:extLst>
        </c:ser>
        <c:dLbls>
          <c:showLegendKey val="0"/>
          <c:showVal val="0"/>
          <c:showCatName val="0"/>
          <c:showSerName val="0"/>
          <c:showPercent val="0"/>
          <c:showBubbleSize val="0"/>
        </c:dLbls>
        <c:hiLowLines/>
        <c:marker val="1"/>
        <c:smooth val="0"/>
        <c:axId val="137216000"/>
        <c:axId val="137217536"/>
      </c:lineChart>
      <c:dateAx>
        <c:axId val="137216000"/>
        <c:scaling>
          <c:orientation val="minMax"/>
        </c:scaling>
        <c:delete val="0"/>
        <c:axPos val="b"/>
        <c:numFmt formatCode="[$-409]d\-mmm;@" sourceLinked="0"/>
        <c:majorTickMark val="in"/>
        <c:minorTickMark val="out"/>
        <c:tickLblPos val="low"/>
        <c:crossAx val="137217536"/>
        <c:crosses val="autoZero"/>
        <c:auto val="0"/>
        <c:lblOffset val="100"/>
        <c:baseTimeUnit val="days"/>
        <c:majorUnit val="1"/>
        <c:majorTimeUnit val="months"/>
        <c:minorUnit val="15"/>
        <c:minorTimeUnit val="months"/>
      </c:dateAx>
      <c:valAx>
        <c:axId val="137217536"/>
        <c:scaling>
          <c:orientation val="minMax"/>
        </c:scaling>
        <c:delete val="0"/>
        <c:axPos val="l"/>
        <c:majorGridlines/>
        <c:minorGridlines/>
        <c:title>
          <c:tx>
            <c:rich>
              <a:bodyPr/>
              <a:lstStyle/>
              <a:p>
                <a:pPr>
                  <a:defRPr/>
                </a:pPr>
                <a:r>
                  <a:rPr lang="en-US"/>
                  <a:t>ug/l</a:t>
                </a:r>
              </a:p>
            </c:rich>
          </c:tx>
          <c:overlay val="0"/>
        </c:title>
        <c:numFmt formatCode="General" sourceLinked="1"/>
        <c:majorTickMark val="out"/>
        <c:minorTickMark val="none"/>
        <c:tickLblPos val="nextTo"/>
        <c:crossAx val="137216000"/>
        <c:crossesAt val="40203"/>
        <c:crossBetween val="midCat"/>
      </c:valAx>
    </c:plotArea>
    <c:legend>
      <c:legendPos val="r"/>
      <c:layout>
        <c:manualLayout>
          <c:xMode val="edge"/>
          <c:yMode val="edge"/>
          <c:x val="0.35565312502355367"/>
          <c:y val="4.7444320341800413E-2"/>
          <c:w val="0.41374120423477057"/>
          <c:h val="0.13571462658076841"/>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xPr>
        <a:bodyPr/>
        <a:lstStyle/>
        <a:p>
          <a:pPr>
            <a:defRPr sz="105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orientation="landscape"/>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7.2469791943985853E-2"/>
          <c:y val="0.18707900550190529"/>
          <c:w val="0.88561418763856581"/>
          <c:h val="0.69728613399573536"/>
        </c:manualLayout>
      </c:layout>
      <c:areaChart>
        <c:grouping val="standard"/>
        <c:varyColors val="0"/>
        <c:ser>
          <c:idx val="0"/>
          <c:order val="0"/>
          <c:tx>
            <c:strRef>
              <c:f>'Monthly Chemistry'!$B$13</c:f>
              <c:strCache>
                <c:ptCount val="1"/>
                <c:pt idx="0">
                  <c:v>Chlorophyll a</c:v>
                </c:pt>
              </c:strCache>
            </c:strRef>
          </c:tx>
          <c:spPr>
            <a:solidFill>
              <a:schemeClr val="accent1"/>
            </a:solidFill>
          </c:spP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Chemistry'!$C$13:$Q$13</c:f>
              <c:numCache>
                <c:formatCode>General</c:formatCode>
                <c:ptCount val="15"/>
                <c:pt idx="0">
                  <c:v>3.9</c:v>
                </c:pt>
                <c:pt idx="1">
                  <c:v>3.3</c:v>
                </c:pt>
                <c:pt idx="2">
                  <c:v>4.5</c:v>
                </c:pt>
                <c:pt idx="3">
                  <c:v>5.9</c:v>
                </c:pt>
                <c:pt idx="4">
                  <c:v>2.6</c:v>
                </c:pt>
                <c:pt idx="5">
                  <c:v>8.5</c:v>
                </c:pt>
                <c:pt idx="6">
                  <c:v>9.6999999999999993</c:v>
                </c:pt>
                <c:pt idx="7">
                  <c:v>18.600000000000001</c:v>
                </c:pt>
                <c:pt idx="8" formatCode="0.0">
                  <c:v>23.9</c:v>
                </c:pt>
                <c:pt idx="9" formatCode="0.0">
                  <c:v>24.6</c:v>
                </c:pt>
                <c:pt idx="10">
                  <c:v>20.8</c:v>
                </c:pt>
                <c:pt idx="11">
                  <c:v>52.9</c:v>
                </c:pt>
                <c:pt idx="12">
                  <c:v>18.3</c:v>
                </c:pt>
                <c:pt idx="13">
                  <c:v>15.3</c:v>
                </c:pt>
                <c:pt idx="14">
                  <c:v>10.3</c:v>
                </c:pt>
              </c:numCache>
            </c:numRef>
          </c:val>
          <c:extLst>
            <c:ext xmlns:c16="http://schemas.microsoft.com/office/drawing/2014/chart" uri="{C3380CC4-5D6E-409C-BE32-E72D297353CC}">
              <c16:uniqueId val="{00000000-FF09-4A01-8D9F-634304B2D923}"/>
            </c:ext>
          </c:extLst>
        </c:ser>
        <c:dLbls>
          <c:showLegendKey val="0"/>
          <c:showVal val="0"/>
          <c:showCatName val="0"/>
          <c:showSerName val="0"/>
          <c:showPercent val="0"/>
          <c:showBubbleSize val="0"/>
        </c:dLbls>
        <c:axId val="137503104"/>
        <c:axId val="137504640"/>
      </c:areaChart>
      <c:dateAx>
        <c:axId val="137503104"/>
        <c:scaling>
          <c:orientation val="minMax"/>
        </c:scaling>
        <c:delete val="0"/>
        <c:axPos val="b"/>
        <c:numFmt formatCode="[$-409]d\-mmm;@" sourceLinked="0"/>
        <c:majorTickMark val="out"/>
        <c:minorTickMark val="none"/>
        <c:tickLblPos val="nextTo"/>
        <c:crossAx val="137504640"/>
        <c:crosses val="autoZero"/>
        <c:auto val="1"/>
        <c:lblOffset val="100"/>
        <c:baseTimeUnit val="days"/>
        <c:majorUnit val="30"/>
        <c:majorTimeUnit val="days"/>
        <c:minorUnit val="15"/>
        <c:minorTimeUnit val="days"/>
      </c:dateAx>
      <c:valAx>
        <c:axId val="137504640"/>
        <c:scaling>
          <c:orientation val="minMax"/>
        </c:scaling>
        <c:delete val="0"/>
        <c:axPos val="l"/>
        <c:majorGridlines/>
        <c:numFmt formatCode="General" sourceLinked="1"/>
        <c:majorTickMark val="out"/>
        <c:minorTickMark val="none"/>
        <c:tickLblPos val="nextTo"/>
        <c:crossAx val="137503104"/>
        <c:crossesAt val="40179"/>
        <c:crossBetween val="midCat"/>
      </c:valAx>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Supended Sediment 2012 </a:t>
            </a:r>
          </a:p>
        </c:rich>
      </c:tx>
      <c:layout>
        <c:manualLayout>
          <c:xMode val="edge"/>
          <c:yMode val="edge"/>
          <c:x val="0.36270134513416807"/>
          <c:y val="8.0654977090534763E-2"/>
        </c:manualLayout>
      </c:layout>
      <c:overlay val="1"/>
    </c:title>
    <c:autoTitleDeleted val="0"/>
    <c:plotArea>
      <c:layout>
        <c:manualLayout>
          <c:layoutTarget val="inner"/>
          <c:xMode val="edge"/>
          <c:yMode val="edge"/>
          <c:x val="0.10272511728622828"/>
          <c:y val="0.18753302543091174"/>
          <c:w val="0.85748594154147273"/>
          <c:h val="0.66631193265709177"/>
        </c:manualLayout>
      </c:layout>
      <c:lineChart>
        <c:grouping val="standard"/>
        <c:varyColors val="0"/>
        <c:ser>
          <c:idx val="0"/>
          <c:order val="0"/>
          <c:tx>
            <c:strRef>
              <c:f>'Monthly Chemistry'!$A$3:$A$7</c:f>
              <c:strCache>
                <c:ptCount val="1"/>
                <c:pt idx="0">
                  <c:v>Bear Creek Inflow, Site 15a</c:v>
                </c:pt>
              </c:strCache>
            </c:strRef>
          </c:tx>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Chemistry'!$C$7:$Q$7</c:f>
              <c:numCache>
                <c:formatCode>General</c:formatCode>
                <c:ptCount val="15"/>
                <c:pt idx="0">
                  <c:v>1</c:v>
                </c:pt>
                <c:pt idx="1">
                  <c:v>1</c:v>
                </c:pt>
                <c:pt idx="2">
                  <c:v>27.2</c:v>
                </c:pt>
                <c:pt idx="3">
                  <c:v>6.2</c:v>
                </c:pt>
                <c:pt idx="4">
                  <c:v>14.6</c:v>
                </c:pt>
                <c:pt idx="5">
                  <c:v>9.8000000000000007</c:v>
                </c:pt>
                <c:pt idx="6">
                  <c:v>46</c:v>
                </c:pt>
                <c:pt idx="7">
                  <c:v>25</c:v>
                </c:pt>
                <c:pt idx="8" formatCode="0.0">
                  <c:v>16.600000000000001</c:v>
                </c:pt>
                <c:pt idx="9" formatCode="0.0">
                  <c:v>13.2</c:v>
                </c:pt>
                <c:pt idx="10">
                  <c:v>56.6</c:v>
                </c:pt>
                <c:pt idx="11">
                  <c:v>5</c:v>
                </c:pt>
                <c:pt idx="12">
                  <c:v>6.2</c:v>
                </c:pt>
                <c:pt idx="13">
                  <c:v>4.4000000000000004</c:v>
                </c:pt>
                <c:pt idx="14">
                  <c:v>16.2</c:v>
                </c:pt>
              </c:numCache>
            </c:numRef>
          </c:val>
          <c:smooth val="0"/>
          <c:extLst>
            <c:ext xmlns:c16="http://schemas.microsoft.com/office/drawing/2014/chart" uri="{C3380CC4-5D6E-409C-BE32-E72D297353CC}">
              <c16:uniqueId val="{00000000-7874-4190-A6B7-BA1BFEDC5C40}"/>
            </c:ext>
          </c:extLst>
        </c:ser>
        <c:ser>
          <c:idx val="1"/>
          <c:order val="1"/>
          <c:tx>
            <c:strRef>
              <c:f>'Monthly Chemistry'!$A$8:$A$12</c:f>
              <c:strCache>
                <c:ptCount val="1"/>
                <c:pt idx="0">
                  <c:v>Turkey Creek Inflow, Site 16a</c:v>
                </c:pt>
              </c:strCache>
            </c:strRef>
          </c:tx>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Chemistry'!$C$12:$Q$12</c:f>
              <c:numCache>
                <c:formatCode>General</c:formatCode>
                <c:ptCount val="15"/>
                <c:pt idx="0">
                  <c:v>1</c:v>
                </c:pt>
                <c:pt idx="1">
                  <c:v>4.4000000000000004</c:v>
                </c:pt>
                <c:pt idx="2">
                  <c:v>12.6</c:v>
                </c:pt>
                <c:pt idx="3">
                  <c:v>4.8</c:v>
                </c:pt>
                <c:pt idx="4">
                  <c:v>26.5</c:v>
                </c:pt>
                <c:pt idx="5">
                  <c:v>12.5</c:v>
                </c:pt>
                <c:pt idx="6">
                  <c:v>190.5</c:v>
                </c:pt>
                <c:pt idx="7">
                  <c:v>16.600000000000001</c:v>
                </c:pt>
                <c:pt idx="8" formatCode="0.0">
                  <c:v>51.4</c:v>
                </c:pt>
                <c:pt idx="9" formatCode="0.0">
                  <c:v>18.399999999999999</c:v>
                </c:pt>
                <c:pt idx="10">
                  <c:v>11.1</c:v>
                </c:pt>
                <c:pt idx="11">
                  <c:v>11</c:v>
                </c:pt>
                <c:pt idx="12">
                  <c:v>18.100000000000001</c:v>
                </c:pt>
                <c:pt idx="13">
                  <c:v>18.399999999999999</c:v>
                </c:pt>
                <c:pt idx="14">
                  <c:v>1</c:v>
                </c:pt>
              </c:numCache>
            </c:numRef>
          </c:val>
          <c:smooth val="0"/>
          <c:extLst>
            <c:ext xmlns:c16="http://schemas.microsoft.com/office/drawing/2014/chart" uri="{C3380CC4-5D6E-409C-BE32-E72D297353CC}">
              <c16:uniqueId val="{00000001-7874-4190-A6B7-BA1BFEDC5C40}"/>
            </c:ext>
          </c:extLst>
        </c:ser>
        <c:ser>
          <c:idx val="2"/>
          <c:order val="2"/>
          <c:tx>
            <c:strRef>
              <c:f>'Monthly Chemistry'!$A$13:$A$18</c:f>
              <c:strCache>
                <c:ptCount val="1"/>
                <c:pt idx="0">
                  <c:v>Bear Creek Reservoir Top, Site 40a</c:v>
                </c:pt>
              </c:strCache>
            </c:strRef>
          </c:tx>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Chemistry'!$C$18:$Q$18</c:f>
              <c:numCache>
                <c:formatCode>0.0</c:formatCode>
                <c:ptCount val="15"/>
                <c:pt idx="0">
                  <c:v>1</c:v>
                </c:pt>
                <c:pt idx="1">
                  <c:v>1</c:v>
                </c:pt>
                <c:pt idx="2">
                  <c:v>4</c:v>
                </c:pt>
                <c:pt idx="3">
                  <c:v>5.6</c:v>
                </c:pt>
                <c:pt idx="4">
                  <c:v>1</c:v>
                </c:pt>
                <c:pt idx="5">
                  <c:v>4.9000000000000004</c:v>
                </c:pt>
                <c:pt idx="6">
                  <c:v>7.8</c:v>
                </c:pt>
                <c:pt idx="7">
                  <c:v>11.2</c:v>
                </c:pt>
                <c:pt idx="8">
                  <c:v>10.8</c:v>
                </c:pt>
                <c:pt idx="9">
                  <c:v>10</c:v>
                </c:pt>
                <c:pt idx="10">
                  <c:v>7.3</c:v>
                </c:pt>
                <c:pt idx="11">
                  <c:v>11.4</c:v>
                </c:pt>
                <c:pt idx="12" formatCode="General">
                  <c:v>5.8</c:v>
                </c:pt>
                <c:pt idx="13">
                  <c:v>8</c:v>
                </c:pt>
                <c:pt idx="14">
                  <c:v>6</c:v>
                </c:pt>
              </c:numCache>
            </c:numRef>
          </c:val>
          <c:smooth val="0"/>
          <c:extLst>
            <c:ext xmlns:c16="http://schemas.microsoft.com/office/drawing/2014/chart" uri="{C3380CC4-5D6E-409C-BE32-E72D297353CC}">
              <c16:uniqueId val="{00000002-7874-4190-A6B7-BA1BFEDC5C40}"/>
            </c:ext>
          </c:extLst>
        </c:ser>
        <c:ser>
          <c:idx val="3"/>
          <c:order val="3"/>
          <c:tx>
            <c:strRef>
              <c:f>'Monthly Chemistry'!$A$24:$A$29</c:f>
              <c:strCache>
                <c:ptCount val="1"/>
                <c:pt idx="0">
                  <c:v>Lower Bear Creek Outflow, Site 45</c:v>
                </c:pt>
              </c:strCache>
            </c:strRef>
          </c:tx>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Chemistry'!$C$28:$Q$28</c:f>
              <c:numCache>
                <c:formatCode>General</c:formatCode>
                <c:ptCount val="15"/>
                <c:pt idx="0">
                  <c:v>1</c:v>
                </c:pt>
                <c:pt idx="1">
                  <c:v>1</c:v>
                </c:pt>
                <c:pt idx="2">
                  <c:v>4</c:v>
                </c:pt>
                <c:pt idx="3">
                  <c:v>8</c:v>
                </c:pt>
                <c:pt idx="4">
                  <c:v>4.2</c:v>
                </c:pt>
                <c:pt idx="5">
                  <c:v>8.3000000000000007</c:v>
                </c:pt>
                <c:pt idx="6">
                  <c:v>8.6</c:v>
                </c:pt>
                <c:pt idx="7" formatCode="0.0">
                  <c:v>20.399999999999999</c:v>
                </c:pt>
                <c:pt idx="8" formatCode="0.0">
                  <c:v>11</c:v>
                </c:pt>
                <c:pt idx="9" formatCode="0.0">
                  <c:v>10.199999999999999</c:v>
                </c:pt>
                <c:pt idx="10">
                  <c:v>13</c:v>
                </c:pt>
                <c:pt idx="11">
                  <c:v>9.8000000000000007</c:v>
                </c:pt>
                <c:pt idx="12">
                  <c:v>5</c:v>
                </c:pt>
                <c:pt idx="13">
                  <c:v>10.8</c:v>
                </c:pt>
                <c:pt idx="14">
                  <c:v>7.6</c:v>
                </c:pt>
              </c:numCache>
            </c:numRef>
          </c:val>
          <c:smooth val="0"/>
          <c:extLst>
            <c:ext xmlns:c16="http://schemas.microsoft.com/office/drawing/2014/chart" uri="{C3380CC4-5D6E-409C-BE32-E72D297353CC}">
              <c16:uniqueId val="{00000003-7874-4190-A6B7-BA1BFEDC5C40}"/>
            </c:ext>
          </c:extLst>
        </c:ser>
        <c:dLbls>
          <c:showLegendKey val="0"/>
          <c:showVal val="0"/>
          <c:showCatName val="0"/>
          <c:showSerName val="0"/>
          <c:showPercent val="0"/>
          <c:showBubbleSize val="0"/>
        </c:dLbls>
        <c:marker val="1"/>
        <c:smooth val="0"/>
        <c:axId val="137540352"/>
        <c:axId val="137541888"/>
      </c:lineChart>
      <c:dateAx>
        <c:axId val="137540352"/>
        <c:scaling>
          <c:orientation val="minMax"/>
        </c:scaling>
        <c:delete val="0"/>
        <c:axPos val="b"/>
        <c:numFmt formatCode="[$-409]mmm\-yy;@" sourceLinked="0"/>
        <c:majorTickMark val="out"/>
        <c:minorTickMark val="none"/>
        <c:tickLblPos val="nextTo"/>
        <c:crossAx val="137541888"/>
        <c:crosses val="autoZero"/>
        <c:auto val="1"/>
        <c:lblOffset val="100"/>
        <c:baseTimeUnit val="days"/>
      </c:dateAx>
      <c:valAx>
        <c:axId val="137541888"/>
        <c:scaling>
          <c:orientation val="minMax"/>
          <c:max val="200"/>
        </c:scaling>
        <c:delete val="0"/>
        <c:axPos val="l"/>
        <c:majorGridlines/>
        <c:minorGridlines/>
        <c:title>
          <c:tx>
            <c:rich>
              <a:bodyPr rot="-5400000" vert="horz"/>
              <a:lstStyle/>
              <a:p>
                <a:pPr>
                  <a:defRPr/>
                </a:pPr>
                <a:r>
                  <a:rPr lang="en-US"/>
                  <a:t>Total Suspended Solids mg/l</a:t>
                </a:r>
              </a:p>
            </c:rich>
          </c:tx>
          <c:layout>
            <c:manualLayout>
              <c:xMode val="edge"/>
              <c:yMode val="edge"/>
              <c:x val="1.6497786391625031E-2"/>
              <c:y val="0.28881477009135265"/>
            </c:manualLayout>
          </c:layout>
          <c:overlay val="0"/>
        </c:title>
        <c:numFmt formatCode="General" sourceLinked="1"/>
        <c:majorTickMark val="out"/>
        <c:minorTickMark val="none"/>
        <c:tickLblPos val="nextTo"/>
        <c:crossAx val="137540352"/>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16133825021429771"/>
          <c:y val="0.23404991870324804"/>
          <c:w val="0.27441373763246341"/>
          <c:h val="0.32255133053328905"/>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txPr>
        <a:bodyPr/>
        <a:lstStyle/>
        <a:p>
          <a:pPr>
            <a:defRPr sz="1050"/>
          </a:pPr>
          <a:endParaRPr lang="en-US"/>
        </a:p>
      </c:tx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Creek Reservoir 2012</a:t>
            </a:r>
          </a:p>
        </c:rich>
      </c:tx>
      <c:layout>
        <c:manualLayout>
          <c:xMode val="edge"/>
          <c:yMode val="edge"/>
          <c:x val="0.32243051349350582"/>
          <c:y val="4.6413502109704664E-2"/>
        </c:manualLayout>
      </c:layout>
      <c:overlay val="1"/>
    </c:title>
    <c:autoTitleDeleted val="0"/>
    <c:plotArea>
      <c:layout>
        <c:manualLayout>
          <c:layoutTarget val="inner"/>
          <c:xMode val="edge"/>
          <c:yMode val="edge"/>
          <c:x val="8.3890765843411708E-2"/>
          <c:y val="0.14127731596469484"/>
          <c:w val="0.84541017479197456"/>
          <c:h val="0.70652297021584776"/>
        </c:manualLayout>
      </c:layout>
      <c:lineChart>
        <c:grouping val="standard"/>
        <c:varyColors val="0"/>
        <c:ser>
          <c:idx val="0"/>
          <c:order val="0"/>
          <c:tx>
            <c:strRef>
              <c:f>'Monthly Chemistry'!$B$13</c:f>
              <c:strCache>
                <c:ptCount val="1"/>
                <c:pt idx="0">
                  <c:v>Chlorophyll a</c:v>
                </c:pt>
              </c:strCache>
            </c:strRef>
          </c:tx>
          <c:marker>
            <c:symbol val="none"/>
          </c:marke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Chemistry'!$C$13:$Q$13</c:f>
              <c:numCache>
                <c:formatCode>General</c:formatCode>
                <c:ptCount val="15"/>
                <c:pt idx="0">
                  <c:v>3.9</c:v>
                </c:pt>
                <c:pt idx="1">
                  <c:v>3.3</c:v>
                </c:pt>
                <c:pt idx="2">
                  <c:v>4.5</c:v>
                </c:pt>
                <c:pt idx="3">
                  <c:v>5.9</c:v>
                </c:pt>
                <c:pt idx="4">
                  <c:v>2.6</c:v>
                </c:pt>
                <c:pt idx="5">
                  <c:v>8.5</c:v>
                </c:pt>
                <c:pt idx="6">
                  <c:v>9.6999999999999993</c:v>
                </c:pt>
                <c:pt idx="7">
                  <c:v>18.600000000000001</c:v>
                </c:pt>
                <c:pt idx="8" formatCode="0.0">
                  <c:v>23.9</c:v>
                </c:pt>
                <c:pt idx="9" formatCode="0.0">
                  <c:v>24.6</c:v>
                </c:pt>
                <c:pt idx="10">
                  <c:v>20.8</c:v>
                </c:pt>
                <c:pt idx="11">
                  <c:v>52.9</c:v>
                </c:pt>
                <c:pt idx="12">
                  <c:v>18.3</c:v>
                </c:pt>
                <c:pt idx="13">
                  <c:v>15.3</c:v>
                </c:pt>
                <c:pt idx="14">
                  <c:v>10.3</c:v>
                </c:pt>
              </c:numCache>
            </c:numRef>
          </c:val>
          <c:smooth val="0"/>
          <c:extLst>
            <c:ext xmlns:c16="http://schemas.microsoft.com/office/drawing/2014/chart" uri="{C3380CC4-5D6E-409C-BE32-E72D297353CC}">
              <c16:uniqueId val="{00000000-CF11-486D-AFDB-171EEE5E0C2A}"/>
            </c:ext>
          </c:extLst>
        </c:ser>
        <c:ser>
          <c:idx val="1"/>
          <c:order val="1"/>
          <c:tx>
            <c:strRef>
              <c:f>'Monthly Chemistry'!$B$16</c:f>
              <c:strCache>
                <c:ptCount val="1"/>
                <c:pt idx="0">
                  <c:v>Phosphorus, total</c:v>
                </c:pt>
              </c:strCache>
            </c:strRef>
          </c:tx>
          <c:spPr>
            <a:ln w="34925"/>
          </c:spPr>
          <c:marker>
            <c:symbol val="none"/>
          </c:marke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Chemistry'!$C$16:$Q$16</c:f>
              <c:numCache>
                <c:formatCode>General</c:formatCode>
                <c:ptCount val="15"/>
                <c:pt idx="0">
                  <c:v>22</c:v>
                </c:pt>
                <c:pt idx="1">
                  <c:v>14</c:v>
                </c:pt>
                <c:pt idx="2">
                  <c:v>13</c:v>
                </c:pt>
                <c:pt idx="3">
                  <c:v>21</c:v>
                </c:pt>
                <c:pt idx="4">
                  <c:v>14</c:v>
                </c:pt>
                <c:pt idx="5">
                  <c:v>24</c:v>
                </c:pt>
                <c:pt idx="6">
                  <c:v>61</c:v>
                </c:pt>
                <c:pt idx="7">
                  <c:v>66</c:v>
                </c:pt>
                <c:pt idx="8" formatCode="0">
                  <c:v>93</c:v>
                </c:pt>
                <c:pt idx="9" formatCode="0">
                  <c:v>74</c:v>
                </c:pt>
                <c:pt idx="10">
                  <c:v>113</c:v>
                </c:pt>
                <c:pt idx="11">
                  <c:v>117</c:v>
                </c:pt>
                <c:pt idx="12">
                  <c:v>78</c:v>
                </c:pt>
                <c:pt idx="13">
                  <c:v>37</c:v>
                </c:pt>
                <c:pt idx="14">
                  <c:v>28</c:v>
                </c:pt>
              </c:numCache>
            </c:numRef>
          </c:val>
          <c:smooth val="0"/>
          <c:extLst>
            <c:ext xmlns:c16="http://schemas.microsoft.com/office/drawing/2014/chart" uri="{C3380CC4-5D6E-409C-BE32-E72D297353CC}">
              <c16:uniqueId val="{00000001-CF11-486D-AFDB-171EEE5E0C2A}"/>
            </c:ext>
          </c:extLst>
        </c:ser>
        <c:ser>
          <c:idx val="2"/>
          <c:order val="2"/>
          <c:tx>
            <c:strRef>
              <c:f>'Monthly Chemistry'!$B$17</c:f>
              <c:strCache>
                <c:ptCount val="1"/>
                <c:pt idx="0">
                  <c:v>Total Dissolved Phosphorus</c:v>
                </c:pt>
              </c:strCache>
            </c:strRef>
          </c:tx>
          <c:marker>
            <c:symbol val="none"/>
          </c:marke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Chemistry'!$C$17:$Q$17</c:f>
              <c:numCache>
                <c:formatCode>General</c:formatCode>
                <c:ptCount val="15"/>
                <c:pt idx="0">
                  <c:v>15</c:v>
                </c:pt>
                <c:pt idx="1">
                  <c:v>8</c:v>
                </c:pt>
                <c:pt idx="2">
                  <c:v>4</c:v>
                </c:pt>
                <c:pt idx="3">
                  <c:v>5</c:v>
                </c:pt>
                <c:pt idx="4">
                  <c:v>10</c:v>
                </c:pt>
                <c:pt idx="5">
                  <c:v>10</c:v>
                </c:pt>
                <c:pt idx="6">
                  <c:v>26</c:v>
                </c:pt>
                <c:pt idx="7">
                  <c:v>35</c:v>
                </c:pt>
                <c:pt idx="8" formatCode="0">
                  <c:v>60</c:v>
                </c:pt>
                <c:pt idx="9" formatCode="0">
                  <c:v>35</c:v>
                </c:pt>
                <c:pt idx="10">
                  <c:v>72</c:v>
                </c:pt>
                <c:pt idx="11">
                  <c:v>53</c:v>
                </c:pt>
                <c:pt idx="12">
                  <c:v>46</c:v>
                </c:pt>
                <c:pt idx="13">
                  <c:v>7</c:v>
                </c:pt>
                <c:pt idx="14">
                  <c:v>6</c:v>
                </c:pt>
              </c:numCache>
            </c:numRef>
          </c:val>
          <c:smooth val="0"/>
          <c:extLst>
            <c:ext xmlns:c16="http://schemas.microsoft.com/office/drawing/2014/chart" uri="{C3380CC4-5D6E-409C-BE32-E72D297353CC}">
              <c16:uniqueId val="{00000002-CF11-486D-AFDB-171EEE5E0C2A}"/>
            </c:ext>
          </c:extLst>
        </c:ser>
        <c:dLbls>
          <c:showLegendKey val="0"/>
          <c:showVal val="0"/>
          <c:showCatName val="0"/>
          <c:showSerName val="0"/>
          <c:showPercent val="0"/>
          <c:showBubbleSize val="0"/>
        </c:dLbls>
        <c:smooth val="0"/>
        <c:axId val="137601024"/>
        <c:axId val="137602560"/>
      </c:lineChart>
      <c:dateAx>
        <c:axId val="137601024"/>
        <c:scaling>
          <c:orientation val="minMax"/>
        </c:scaling>
        <c:delete val="0"/>
        <c:axPos val="b"/>
        <c:numFmt formatCode="[$-409]d\-mmm;@" sourceLinked="0"/>
        <c:majorTickMark val="out"/>
        <c:minorTickMark val="none"/>
        <c:tickLblPos val="nextTo"/>
        <c:crossAx val="137602560"/>
        <c:crosses val="autoZero"/>
        <c:auto val="1"/>
        <c:lblOffset val="100"/>
        <c:baseTimeUnit val="days"/>
        <c:majorUnit val="30"/>
        <c:majorTimeUnit val="days"/>
        <c:minorUnit val="15"/>
        <c:minorTimeUnit val="days"/>
      </c:dateAx>
      <c:valAx>
        <c:axId val="137602560"/>
        <c:scaling>
          <c:orientation val="minMax"/>
        </c:scaling>
        <c:delete val="0"/>
        <c:axPos val="l"/>
        <c:majorGridlines/>
        <c:minorGridlines/>
        <c:numFmt formatCode="General" sourceLinked="1"/>
        <c:majorTickMark val="out"/>
        <c:minorTickMark val="none"/>
        <c:tickLblPos val="nextTo"/>
        <c:crossAx val="137601024"/>
        <c:crossesAt val="40544"/>
        <c:crossBetween val="between"/>
      </c:valAx>
    </c:plotArea>
    <c:legend>
      <c:legendPos val="r"/>
      <c:layout>
        <c:manualLayout>
          <c:xMode val="edge"/>
          <c:yMode val="edge"/>
          <c:x val="0.11846511320059602"/>
          <c:y val="0.22560699041970489"/>
          <c:w val="0.2908536431119943"/>
          <c:h val="0.21149603510736889"/>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xPr>
        <a:bodyPr/>
        <a:lstStyle/>
        <a:p>
          <a:pPr>
            <a:defRPr sz="1200"/>
          </a:pPr>
          <a:endParaRPr lang="en-US"/>
        </a:p>
      </c:tx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Total Nitrogen 2012</a:t>
            </a:r>
          </a:p>
        </c:rich>
      </c:tx>
      <c:overlay val="0"/>
    </c:title>
    <c:autoTitleDeleted val="0"/>
    <c:plotArea>
      <c:layout>
        <c:manualLayout>
          <c:layoutTarget val="inner"/>
          <c:xMode val="edge"/>
          <c:yMode val="edge"/>
          <c:x val="9.1978090089321424E-2"/>
          <c:y val="0.13490922025886434"/>
          <c:w val="0.88123154893333333"/>
          <c:h val="0.78477007859743064"/>
        </c:manualLayout>
      </c:layout>
      <c:lineChart>
        <c:grouping val="standard"/>
        <c:varyColors val="0"/>
        <c:ser>
          <c:idx val="0"/>
          <c:order val="0"/>
          <c:tx>
            <c:strRef>
              <c:f>'Monthly Chemistry'!$A$3:$A$7</c:f>
              <c:strCache>
                <c:ptCount val="1"/>
                <c:pt idx="0">
                  <c:v>Bear Creek Inflow, Site 15a</c:v>
                </c:pt>
              </c:strCache>
            </c:strRef>
          </c:tx>
          <c:marker>
            <c:symbol val="none"/>
          </c:marke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Chemistry'!$C$3:$Q$3</c:f>
              <c:numCache>
                <c:formatCode>General</c:formatCode>
                <c:ptCount val="15"/>
                <c:pt idx="0" formatCode="#,##0">
                  <c:v>623</c:v>
                </c:pt>
                <c:pt idx="1">
                  <c:v>1115</c:v>
                </c:pt>
                <c:pt idx="2">
                  <c:v>1015</c:v>
                </c:pt>
                <c:pt idx="3">
                  <c:v>1494</c:v>
                </c:pt>
                <c:pt idx="4">
                  <c:v>1487</c:v>
                </c:pt>
                <c:pt idx="5">
                  <c:v>1888</c:v>
                </c:pt>
                <c:pt idx="6">
                  <c:v>1113</c:v>
                </c:pt>
                <c:pt idx="7">
                  <c:v>1262</c:v>
                </c:pt>
                <c:pt idx="8" formatCode="0">
                  <c:v>1020</c:v>
                </c:pt>
                <c:pt idx="9" formatCode="0">
                  <c:v>998</c:v>
                </c:pt>
                <c:pt idx="10">
                  <c:v>2356</c:v>
                </c:pt>
                <c:pt idx="11">
                  <c:v>3302</c:v>
                </c:pt>
                <c:pt idx="12" formatCode="0.00">
                  <c:v>640</c:v>
                </c:pt>
                <c:pt idx="13">
                  <c:v>2125</c:v>
                </c:pt>
                <c:pt idx="14">
                  <c:v>1016</c:v>
                </c:pt>
              </c:numCache>
            </c:numRef>
          </c:val>
          <c:smooth val="0"/>
          <c:extLst>
            <c:ext xmlns:c16="http://schemas.microsoft.com/office/drawing/2014/chart" uri="{C3380CC4-5D6E-409C-BE32-E72D297353CC}">
              <c16:uniqueId val="{00000000-D7AD-4289-8394-A774DEEFC1EB}"/>
            </c:ext>
          </c:extLst>
        </c:ser>
        <c:ser>
          <c:idx val="1"/>
          <c:order val="1"/>
          <c:tx>
            <c:strRef>
              <c:f>'Monthly Chemistry'!$A$8:$A$12</c:f>
              <c:strCache>
                <c:ptCount val="1"/>
                <c:pt idx="0">
                  <c:v>Turkey Creek Inflow, Site 16a</c:v>
                </c:pt>
              </c:strCache>
            </c:strRef>
          </c:tx>
          <c:marker>
            <c:symbol val="none"/>
          </c:marke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Chemistry'!$C$8:$Q$8</c:f>
              <c:numCache>
                <c:formatCode>General</c:formatCode>
                <c:ptCount val="15"/>
                <c:pt idx="0">
                  <c:v>938</c:v>
                </c:pt>
                <c:pt idx="1">
                  <c:v>579</c:v>
                </c:pt>
                <c:pt idx="2">
                  <c:v>389</c:v>
                </c:pt>
                <c:pt idx="3">
                  <c:v>323</c:v>
                </c:pt>
                <c:pt idx="4">
                  <c:v>627</c:v>
                </c:pt>
                <c:pt idx="5">
                  <c:v>595</c:v>
                </c:pt>
                <c:pt idx="6">
                  <c:v>740</c:v>
                </c:pt>
                <c:pt idx="7">
                  <c:v>484</c:v>
                </c:pt>
                <c:pt idx="8" formatCode="0">
                  <c:v>891</c:v>
                </c:pt>
                <c:pt idx="9" formatCode="0">
                  <c:v>893</c:v>
                </c:pt>
                <c:pt idx="10">
                  <c:v>984</c:v>
                </c:pt>
                <c:pt idx="11">
                  <c:v>489</c:v>
                </c:pt>
                <c:pt idx="12">
                  <c:v>648</c:v>
                </c:pt>
                <c:pt idx="13">
                  <c:v>872</c:v>
                </c:pt>
                <c:pt idx="14">
                  <c:v>2318</c:v>
                </c:pt>
              </c:numCache>
            </c:numRef>
          </c:val>
          <c:smooth val="0"/>
          <c:extLst>
            <c:ext xmlns:c16="http://schemas.microsoft.com/office/drawing/2014/chart" uri="{C3380CC4-5D6E-409C-BE32-E72D297353CC}">
              <c16:uniqueId val="{00000001-D7AD-4289-8394-A774DEEFC1EB}"/>
            </c:ext>
          </c:extLst>
        </c:ser>
        <c:ser>
          <c:idx val="2"/>
          <c:order val="2"/>
          <c:tx>
            <c:strRef>
              <c:f>'Monthly Chemistry'!$A$13:$A$18</c:f>
              <c:strCache>
                <c:ptCount val="1"/>
                <c:pt idx="0">
                  <c:v>Bear Creek Reservoir Top, Site 40a</c:v>
                </c:pt>
              </c:strCache>
            </c:strRef>
          </c:tx>
          <c:marker>
            <c:symbol val="none"/>
          </c:marke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Chemistry'!$C$15:$Q$15</c:f>
              <c:numCache>
                <c:formatCode>General</c:formatCode>
                <c:ptCount val="15"/>
                <c:pt idx="0">
                  <c:v>908</c:v>
                </c:pt>
                <c:pt idx="1">
                  <c:v>884</c:v>
                </c:pt>
                <c:pt idx="2">
                  <c:v>680</c:v>
                </c:pt>
                <c:pt idx="3">
                  <c:v>550</c:v>
                </c:pt>
                <c:pt idx="4">
                  <c:v>600</c:v>
                </c:pt>
                <c:pt idx="5">
                  <c:v>583</c:v>
                </c:pt>
                <c:pt idx="6">
                  <c:v>577</c:v>
                </c:pt>
                <c:pt idx="7">
                  <c:v>335</c:v>
                </c:pt>
                <c:pt idx="8" formatCode="0">
                  <c:v>729</c:v>
                </c:pt>
                <c:pt idx="9" formatCode="0">
                  <c:v>898</c:v>
                </c:pt>
                <c:pt idx="10">
                  <c:v>944</c:v>
                </c:pt>
                <c:pt idx="11">
                  <c:v>380</c:v>
                </c:pt>
                <c:pt idx="12">
                  <c:v>943</c:v>
                </c:pt>
                <c:pt idx="13">
                  <c:v>583</c:v>
                </c:pt>
                <c:pt idx="14">
                  <c:v>491</c:v>
                </c:pt>
              </c:numCache>
            </c:numRef>
          </c:val>
          <c:smooth val="0"/>
          <c:extLst>
            <c:ext xmlns:c16="http://schemas.microsoft.com/office/drawing/2014/chart" uri="{C3380CC4-5D6E-409C-BE32-E72D297353CC}">
              <c16:uniqueId val="{00000002-D7AD-4289-8394-A774DEEFC1EB}"/>
            </c:ext>
          </c:extLst>
        </c:ser>
        <c:ser>
          <c:idx val="3"/>
          <c:order val="3"/>
          <c:tx>
            <c:strRef>
              <c:f>'Monthly Chemistry'!$A$19:$A$23</c:f>
              <c:strCache>
                <c:ptCount val="1"/>
                <c:pt idx="0">
                  <c:v>Bear Creek Reservoir Bottom, Site 40c</c:v>
                </c:pt>
              </c:strCache>
            </c:strRef>
          </c:tx>
          <c:marker>
            <c:symbol val="none"/>
          </c:marke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Chemistry'!$C$20:$Q$20</c:f>
              <c:numCache>
                <c:formatCode>General</c:formatCode>
                <c:ptCount val="15"/>
                <c:pt idx="0">
                  <c:v>726</c:v>
                </c:pt>
                <c:pt idx="1">
                  <c:v>843</c:v>
                </c:pt>
                <c:pt idx="2">
                  <c:v>736</c:v>
                </c:pt>
                <c:pt idx="3">
                  <c:v>527</c:v>
                </c:pt>
                <c:pt idx="4">
                  <c:v>695</c:v>
                </c:pt>
                <c:pt idx="5">
                  <c:v>539</c:v>
                </c:pt>
                <c:pt idx="6">
                  <c:v>647</c:v>
                </c:pt>
                <c:pt idx="7">
                  <c:v>427</c:v>
                </c:pt>
                <c:pt idx="8" formatCode="0">
                  <c:v>567</c:v>
                </c:pt>
                <c:pt idx="9" formatCode="0">
                  <c:v>640</c:v>
                </c:pt>
                <c:pt idx="10">
                  <c:v>931</c:v>
                </c:pt>
                <c:pt idx="11">
                  <c:v>347</c:v>
                </c:pt>
                <c:pt idx="12">
                  <c:v>661</c:v>
                </c:pt>
                <c:pt idx="13">
                  <c:v>872</c:v>
                </c:pt>
                <c:pt idx="14">
                  <c:v>516</c:v>
                </c:pt>
              </c:numCache>
            </c:numRef>
          </c:val>
          <c:smooth val="0"/>
          <c:extLst>
            <c:ext xmlns:c16="http://schemas.microsoft.com/office/drawing/2014/chart" uri="{C3380CC4-5D6E-409C-BE32-E72D297353CC}">
              <c16:uniqueId val="{00000003-D7AD-4289-8394-A774DEEFC1EB}"/>
            </c:ext>
          </c:extLst>
        </c:ser>
        <c:ser>
          <c:idx val="4"/>
          <c:order val="4"/>
          <c:tx>
            <c:strRef>
              <c:f>'Monthly Chemistry'!$A$24:$A$29</c:f>
              <c:strCache>
                <c:ptCount val="1"/>
                <c:pt idx="0">
                  <c:v>Lower Bear Creek Outflow, Site 45</c:v>
                </c:pt>
              </c:strCache>
            </c:strRef>
          </c:tx>
          <c:marker>
            <c:symbol val="none"/>
          </c:marker>
          <c:cat>
            <c:numRef>
              <c:f>'Monthly Chemistry'!$C$2:$Q$2</c:f>
              <c:numCache>
                <c:formatCode>[$-409]d\-mmm;@</c:formatCode>
                <c:ptCount val="15"/>
                <c:pt idx="0">
                  <c:v>40921</c:v>
                </c:pt>
                <c:pt idx="1">
                  <c:v>40949</c:v>
                </c:pt>
                <c:pt idx="2">
                  <c:v>40994</c:v>
                </c:pt>
                <c:pt idx="3">
                  <c:v>41022</c:v>
                </c:pt>
                <c:pt idx="4">
                  <c:v>41050</c:v>
                </c:pt>
                <c:pt idx="5">
                  <c:v>41086</c:v>
                </c:pt>
                <c:pt idx="6">
                  <c:v>41099</c:v>
                </c:pt>
                <c:pt idx="7">
                  <c:v>41113</c:v>
                </c:pt>
                <c:pt idx="8">
                  <c:v>41127</c:v>
                </c:pt>
                <c:pt idx="9">
                  <c:v>41148</c:v>
                </c:pt>
                <c:pt idx="10">
                  <c:v>41162</c:v>
                </c:pt>
                <c:pt idx="11">
                  <c:v>41177</c:v>
                </c:pt>
                <c:pt idx="12">
                  <c:v>41204</c:v>
                </c:pt>
                <c:pt idx="13">
                  <c:v>41239</c:v>
                </c:pt>
                <c:pt idx="14">
                  <c:v>41257</c:v>
                </c:pt>
              </c:numCache>
            </c:numRef>
          </c:cat>
          <c:val>
            <c:numRef>
              <c:f>'Monthly Chemistry'!$C$24:$Q$24</c:f>
              <c:numCache>
                <c:formatCode>General</c:formatCode>
                <c:ptCount val="15"/>
                <c:pt idx="0">
                  <c:v>767</c:v>
                </c:pt>
                <c:pt idx="1">
                  <c:v>884</c:v>
                </c:pt>
                <c:pt idx="2">
                  <c:v>689</c:v>
                </c:pt>
                <c:pt idx="3">
                  <c:v>612</c:v>
                </c:pt>
                <c:pt idx="4">
                  <c:v>504</c:v>
                </c:pt>
                <c:pt idx="5">
                  <c:v>435</c:v>
                </c:pt>
                <c:pt idx="6">
                  <c:v>499</c:v>
                </c:pt>
                <c:pt idx="7">
                  <c:v>342</c:v>
                </c:pt>
                <c:pt idx="8" formatCode="0">
                  <c:v>704</c:v>
                </c:pt>
                <c:pt idx="9" formatCode="0">
                  <c:v>1029</c:v>
                </c:pt>
                <c:pt idx="10">
                  <c:v>848</c:v>
                </c:pt>
                <c:pt idx="11">
                  <c:v>520</c:v>
                </c:pt>
                <c:pt idx="12">
                  <c:v>474</c:v>
                </c:pt>
                <c:pt idx="13">
                  <c:v>593</c:v>
                </c:pt>
                <c:pt idx="14">
                  <c:v>435</c:v>
                </c:pt>
              </c:numCache>
            </c:numRef>
          </c:val>
          <c:smooth val="0"/>
          <c:extLst>
            <c:ext xmlns:c16="http://schemas.microsoft.com/office/drawing/2014/chart" uri="{C3380CC4-5D6E-409C-BE32-E72D297353CC}">
              <c16:uniqueId val="{00000004-D7AD-4289-8394-A774DEEFC1EB}"/>
            </c:ext>
          </c:extLst>
        </c:ser>
        <c:dLbls>
          <c:showLegendKey val="0"/>
          <c:showVal val="0"/>
          <c:showCatName val="0"/>
          <c:showSerName val="0"/>
          <c:showPercent val="0"/>
          <c:showBubbleSize val="0"/>
        </c:dLbls>
        <c:smooth val="0"/>
        <c:axId val="137653248"/>
        <c:axId val="137667328"/>
      </c:lineChart>
      <c:dateAx>
        <c:axId val="137653248"/>
        <c:scaling>
          <c:orientation val="minMax"/>
        </c:scaling>
        <c:delete val="0"/>
        <c:axPos val="b"/>
        <c:numFmt formatCode="[$-409]d\-mmm;@" sourceLinked="0"/>
        <c:majorTickMark val="none"/>
        <c:minorTickMark val="none"/>
        <c:tickLblPos val="nextTo"/>
        <c:crossAx val="137667328"/>
        <c:crosses val="autoZero"/>
        <c:auto val="1"/>
        <c:lblOffset val="100"/>
        <c:baseTimeUnit val="days"/>
        <c:majorUnit val="30"/>
        <c:majorTimeUnit val="days"/>
        <c:minorUnit val="15"/>
        <c:minorTimeUnit val="days"/>
      </c:dateAx>
      <c:valAx>
        <c:axId val="137667328"/>
        <c:scaling>
          <c:orientation val="minMax"/>
        </c:scaling>
        <c:delete val="0"/>
        <c:axPos val="l"/>
        <c:majorGridlines/>
        <c:minorGridlines/>
        <c:title>
          <c:tx>
            <c:rich>
              <a:bodyPr/>
              <a:lstStyle/>
              <a:p>
                <a:pPr>
                  <a:defRPr/>
                </a:pPr>
                <a:r>
                  <a:rPr lang="en-US"/>
                  <a:t>TN ug/l</a:t>
                </a:r>
              </a:p>
            </c:rich>
          </c:tx>
          <c:layout>
            <c:manualLayout>
              <c:xMode val="edge"/>
              <c:yMode val="edge"/>
              <c:x val="9.7103055816211686E-3"/>
              <c:y val="0.42044739920087443"/>
            </c:manualLayout>
          </c:layout>
          <c:overlay val="0"/>
        </c:title>
        <c:numFmt formatCode="#,##0" sourceLinked="1"/>
        <c:majorTickMark val="none"/>
        <c:minorTickMark val="none"/>
        <c:tickLblPos val="nextTo"/>
        <c:crossAx val="137653248"/>
        <c:crosses val="autoZero"/>
        <c:crossBetween val="between"/>
      </c:valAx>
    </c:plotArea>
    <c:legend>
      <c:legendPos val="r"/>
      <c:layout>
        <c:manualLayout>
          <c:xMode val="edge"/>
          <c:yMode val="edge"/>
          <c:x val="0.11134614335917714"/>
          <c:y val="0.16424699279563626"/>
          <c:w val="0.28384179235228352"/>
          <c:h val="0.28988750769678456"/>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0788" l="0.70000000000000062" r="0.70000000000000062" t="0.75000000000000788"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2010-2012 Total Phosphorus in Sediments</a:t>
            </a:r>
          </a:p>
        </c:rich>
      </c:tx>
      <c:layout>
        <c:manualLayout>
          <c:xMode val="edge"/>
          <c:yMode val="edge"/>
          <c:x val="0.315501818900424"/>
          <c:y val="2.3165280517220992E-2"/>
        </c:manualLayout>
      </c:layout>
      <c:overlay val="0"/>
    </c:title>
    <c:autoTitleDeleted val="0"/>
    <c:plotArea>
      <c:layout>
        <c:manualLayout>
          <c:layoutTarget val="inner"/>
          <c:xMode val="edge"/>
          <c:yMode val="edge"/>
          <c:x val="0.11966885389326334"/>
          <c:y val="0.10221092155147279"/>
          <c:w val="0.8446125941574375"/>
          <c:h val="0.70028147954803288"/>
        </c:manualLayout>
      </c:layout>
      <c:barChart>
        <c:barDir val="col"/>
        <c:grouping val="clustered"/>
        <c:varyColors val="0"/>
        <c:ser>
          <c:idx val="1"/>
          <c:order val="0"/>
          <c:tx>
            <c:strRef>
              <c:f>Sediment!$T$2</c:f>
              <c:strCache>
                <c:ptCount val="1"/>
                <c:pt idx="0">
                  <c:v>2010</c:v>
                </c:pt>
              </c:strCache>
            </c:strRef>
          </c:tx>
          <c:invertIfNegative val="0"/>
          <c:cat>
            <c:multiLvlStrRef>
              <c:f>Sediment!$J$5:$K$21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Sediment!$T$5:$T$21</c:f>
              <c:numCache>
                <c:formatCode>0.00</c:formatCode>
                <c:ptCount val="17"/>
                <c:pt idx="0">
                  <c:v>2.6370406543767548</c:v>
                </c:pt>
                <c:pt idx="1">
                  <c:v>6.4286420729898124</c:v>
                </c:pt>
                <c:pt idx="2">
                  <c:v>4.1211823868514657</c:v>
                </c:pt>
                <c:pt idx="3">
                  <c:v>5.3199349785724852</c:v>
                </c:pt>
                <c:pt idx="4">
                  <c:v>3.5015041672831289</c:v>
                </c:pt>
                <c:pt idx="5">
                  <c:v>4.0864126778461616</c:v>
                </c:pt>
                <c:pt idx="6">
                  <c:v>5.3938754995464242</c:v>
                </c:pt>
                <c:pt idx="7">
                  <c:v>7.4663283232480975</c:v>
                </c:pt>
                <c:pt idx="8">
                  <c:v>6.2458504438488198</c:v>
                </c:pt>
                <c:pt idx="9">
                  <c:v>3.1283605435526449</c:v>
                </c:pt>
                <c:pt idx="10">
                  <c:v>7.7125842038465304</c:v>
                </c:pt>
                <c:pt idx="11">
                  <c:v>2.6890920647337797</c:v>
                </c:pt>
                <c:pt idx="12">
                  <c:v>1.7363694994294789</c:v>
                </c:pt>
                <c:pt idx="13">
                  <c:v>7.3158675234799802</c:v>
                </c:pt>
                <c:pt idx="14">
                  <c:v>6.9890765132816881</c:v>
                </c:pt>
                <c:pt idx="15">
                  <c:v>5.761255556383321</c:v>
                </c:pt>
                <c:pt idx="16">
                  <c:v>8.1622495956202545</c:v>
                </c:pt>
              </c:numCache>
            </c:numRef>
          </c:val>
          <c:extLst>
            <c:ext xmlns:c16="http://schemas.microsoft.com/office/drawing/2014/chart" uri="{C3380CC4-5D6E-409C-BE32-E72D297353CC}">
              <c16:uniqueId val="{00000000-71BB-4147-AEEB-1506E1E15B1F}"/>
            </c:ext>
          </c:extLst>
        </c:ser>
        <c:ser>
          <c:idx val="0"/>
          <c:order val="1"/>
          <c:tx>
            <c:strRef>
              <c:f>Sediment!$U$2</c:f>
              <c:strCache>
                <c:ptCount val="1"/>
                <c:pt idx="0">
                  <c:v>2011</c:v>
                </c:pt>
              </c:strCache>
            </c:strRef>
          </c:tx>
          <c:invertIfNegative val="0"/>
          <c:cat>
            <c:multiLvlStrRef>
              <c:f>Sediment!$J$5:$K$21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Sediment!$U$5:$U$21</c:f>
              <c:numCache>
                <c:formatCode>0.00</c:formatCode>
                <c:ptCount val="17"/>
                <c:pt idx="0">
                  <c:v>2.4166805029663672</c:v>
                </c:pt>
                <c:pt idx="1">
                  <c:v>4.3739860395091013</c:v>
                </c:pt>
                <c:pt idx="2">
                  <c:v>6.1080592218524057</c:v>
                </c:pt>
                <c:pt idx="3">
                  <c:v>2.7492439653545286</c:v>
                </c:pt>
                <c:pt idx="4">
                  <c:v>5.2067836979534228</c:v>
                </c:pt>
                <c:pt idx="5">
                  <c:v>1.0770068764942204</c:v>
                </c:pt>
                <c:pt idx="6">
                  <c:v>4.1364767922466621</c:v>
                </c:pt>
                <c:pt idx="7">
                  <c:v>3.3936332651670083</c:v>
                </c:pt>
                <c:pt idx="8">
                  <c:v>11.49762708547385</c:v>
                </c:pt>
                <c:pt idx="9">
                  <c:v>2.2027169018312818</c:v>
                </c:pt>
                <c:pt idx="10">
                  <c:v>6.8606966890027588</c:v>
                </c:pt>
                <c:pt idx="11">
                  <c:v>0.51812424813310021</c:v>
                </c:pt>
                <c:pt idx="12">
                  <c:v>3.224198541895535</c:v>
                </c:pt>
                <c:pt idx="13">
                  <c:v>8.1071638861629065</c:v>
                </c:pt>
                <c:pt idx="14">
                  <c:v>8.1487420849608192</c:v>
                </c:pt>
                <c:pt idx="15">
                  <c:v>1.9119371482176362</c:v>
                </c:pt>
                <c:pt idx="16">
                  <c:v>3.1827308037048101</c:v>
                </c:pt>
              </c:numCache>
            </c:numRef>
          </c:val>
          <c:extLst>
            <c:ext xmlns:c16="http://schemas.microsoft.com/office/drawing/2014/chart" uri="{C3380CC4-5D6E-409C-BE32-E72D297353CC}">
              <c16:uniqueId val="{00000001-71BB-4147-AEEB-1506E1E15B1F}"/>
            </c:ext>
          </c:extLst>
        </c:ser>
        <c:ser>
          <c:idx val="2"/>
          <c:order val="2"/>
          <c:tx>
            <c:strRef>
              <c:f>Sediment!$V$2</c:f>
              <c:strCache>
                <c:ptCount val="1"/>
                <c:pt idx="0">
                  <c:v>2012</c:v>
                </c:pt>
              </c:strCache>
            </c:strRef>
          </c:tx>
          <c:invertIfNegative val="0"/>
          <c:cat>
            <c:multiLvlStrRef>
              <c:f>Sediment!$J$5:$K$21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Sediment!$V$5:$V$21</c:f>
              <c:numCache>
                <c:formatCode>0.00</c:formatCode>
                <c:ptCount val="17"/>
                <c:pt idx="0">
                  <c:v>1.2993262752646777</c:v>
                </c:pt>
                <c:pt idx="1">
                  <c:v>4.9860062560267178</c:v>
                </c:pt>
                <c:pt idx="2">
                  <c:v>3.0610045268376802</c:v>
                </c:pt>
                <c:pt idx="3">
                  <c:v>4.6117707906816365</c:v>
                </c:pt>
                <c:pt idx="4">
                  <c:v>4.3813192103996146</c:v>
                </c:pt>
                <c:pt idx="5">
                  <c:v>4.5645645645645656</c:v>
                </c:pt>
                <c:pt idx="6">
                  <c:v>2.4698261801575097</c:v>
                </c:pt>
                <c:pt idx="7">
                  <c:v>4.8877805486284291</c:v>
                </c:pt>
                <c:pt idx="8">
                  <c:v>3.34</c:v>
                </c:pt>
                <c:pt idx="9">
                  <c:v>3.1931106219308645</c:v>
                </c:pt>
                <c:pt idx="10">
                  <c:v>4.6649897095815236</c:v>
                </c:pt>
                <c:pt idx="11">
                  <c:v>0.38</c:v>
                </c:pt>
                <c:pt idx="12">
                  <c:v>0.93</c:v>
                </c:pt>
                <c:pt idx="13">
                  <c:v>3.88</c:v>
                </c:pt>
                <c:pt idx="14">
                  <c:v>3.18</c:v>
                </c:pt>
                <c:pt idx="15">
                  <c:v>3.9</c:v>
                </c:pt>
                <c:pt idx="16">
                  <c:v>1.34</c:v>
                </c:pt>
              </c:numCache>
            </c:numRef>
          </c:val>
          <c:extLst>
            <c:ext xmlns:c16="http://schemas.microsoft.com/office/drawing/2014/chart" uri="{C3380CC4-5D6E-409C-BE32-E72D297353CC}">
              <c16:uniqueId val="{00000002-71BB-4147-AEEB-1506E1E15B1F}"/>
            </c:ext>
          </c:extLst>
        </c:ser>
        <c:dLbls>
          <c:showLegendKey val="0"/>
          <c:showVal val="0"/>
          <c:showCatName val="0"/>
          <c:showSerName val="0"/>
          <c:showPercent val="0"/>
          <c:showBubbleSize val="0"/>
        </c:dLbls>
        <c:gapWidth val="150"/>
        <c:axId val="137935872"/>
        <c:axId val="138027776"/>
      </c:barChart>
      <c:catAx>
        <c:axId val="137935872"/>
        <c:scaling>
          <c:orientation val="minMax"/>
        </c:scaling>
        <c:delete val="0"/>
        <c:axPos val="b"/>
        <c:numFmt formatCode="General" sourceLinked="0"/>
        <c:majorTickMark val="out"/>
        <c:minorTickMark val="none"/>
        <c:tickLblPos val="nextTo"/>
        <c:crossAx val="138027776"/>
        <c:crosses val="autoZero"/>
        <c:auto val="1"/>
        <c:lblAlgn val="ctr"/>
        <c:lblOffset val="100"/>
        <c:noMultiLvlLbl val="0"/>
      </c:catAx>
      <c:valAx>
        <c:axId val="138027776"/>
        <c:scaling>
          <c:orientation val="minMax"/>
        </c:scaling>
        <c:delete val="0"/>
        <c:axPos val="l"/>
        <c:majorGridlines/>
        <c:minorGridlines/>
        <c:title>
          <c:tx>
            <c:rich>
              <a:bodyPr rot="-5400000" vert="horz"/>
              <a:lstStyle/>
              <a:p>
                <a:pPr>
                  <a:defRPr/>
                </a:pPr>
                <a:r>
                  <a:rPr lang="en-US"/>
                  <a:t>mgTP/kg Mud</a:t>
                </a:r>
              </a:p>
            </c:rich>
          </c:tx>
          <c:overlay val="0"/>
        </c:title>
        <c:numFmt formatCode="0.00" sourceLinked="1"/>
        <c:majorTickMark val="out"/>
        <c:minorTickMark val="none"/>
        <c:tickLblPos val="nextTo"/>
        <c:crossAx val="137935872"/>
        <c:crosses val="autoZero"/>
        <c:crossBetween val="between"/>
      </c:valAx>
    </c:plotArea>
    <c:legend>
      <c:legendPos val="t"/>
      <c:layout>
        <c:manualLayout>
          <c:xMode val="edge"/>
          <c:yMode val="edge"/>
          <c:x val="0.18886883113826552"/>
          <c:y val="0.12267255727472372"/>
          <c:w val="0.1576360307902713"/>
          <c:h val="5.3200661982258812E-2"/>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Secchi Depth [meter] Trend</a:t>
            </a:r>
          </a:p>
        </c:rich>
      </c:tx>
      <c:layout>
        <c:manualLayout>
          <c:xMode val="edge"/>
          <c:yMode val="edge"/>
          <c:x val="0.35785126859142607"/>
          <c:y val="1.7827779631083226E-2"/>
        </c:manualLayout>
      </c:layout>
      <c:overlay val="0"/>
      <c:spPr>
        <a:noFill/>
        <a:ln w="25400">
          <a:noFill/>
        </a:ln>
      </c:spPr>
    </c:title>
    <c:autoTitleDeleted val="0"/>
    <c:plotArea>
      <c:layout>
        <c:manualLayout>
          <c:layoutTarget val="inner"/>
          <c:xMode val="edge"/>
          <c:yMode val="edge"/>
          <c:x val="7.968135240420389E-2"/>
          <c:y val="0.26157560376571282"/>
          <c:w val="0.89243114692708359"/>
          <c:h val="0.6936976940145082"/>
        </c:manualLayout>
      </c:layout>
      <c:barChart>
        <c:barDir val="col"/>
        <c:grouping val="clustered"/>
        <c:varyColors val="0"/>
        <c:ser>
          <c:idx val="0"/>
          <c:order val="0"/>
          <c:tx>
            <c:strRef>
              <c:f>'Annual Reservoir Trends'!$A$22</c:f>
              <c:strCache>
                <c:ptCount val="1"/>
                <c:pt idx="0">
                  <c:v>Secchi Depth (m)</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3"/>
            <c:dispRSqr val="0"/>
            <c:dispEq val="0"/>
          </c:trendline>
          <c:cat>
            <c:numRef>
              <c:f>'Annual Reservoir Trends'!$C$3:$X$3</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'Annual Reservoir Trends'!$C$22:$X$22</c:f>
              <c:numCache>
                <c:formatCode>General</c:formatCode>
                <c:ptCount val="22"/>
                <c:pt idx="0">
                  <c:v>2.17</c:v>
                </c:pt>
                <c:pt idx="1">
                  <c:v>2.1</c:v>
                </c:pt>
                <c:pt idx="2">
                  <c:v>2.84</c:v>
                </c:pt>
                <c:pt idx="3">
                  <c:v>1.79</c:v>
                </c:pt>
                <c:pt idx="4">
                  <c:v>2.14</c:v>
                </c:pt>
                <c:pt idx="5">
                  <c:v>2.5099999999999998</c:v>
                </c:pt>
                <c:pt idx="6">
                  <c:v>1.7</c:v>
                </c:pt>
                <c:pt idx="7">
                  <c:v>1.8</c:v>
                </c:pt>
                <c:pt idx="8">
                  <c:v>1.8</c:v>
                </c:pt>
                <c:pt idx="9">
                  <c:v>2.4</c:v>
                </c:pt>
                <c:pt idx="10">
                  <c:v>2.2999999999999998</c:v>
                </c:pt>
                <c:pt idx="11">
                  <c:v>3</c:v>
                </c:pt>
                <c:pt idx="12">
                  <c:v>1.7</c:v>
                </c:pt>
                <c:pt idx="13">
                  <c:v>2.6</c:v>
                </c:pt>
                <c:pt idx="14" formatCode="0.0">
                  <c:v>2.0656249999999998</c:v>
                </c:pt>
                <c:pt idx="15" formatCode="0.0">
                  <c:v>2.4</c:v>
                </c:pt>
                <c:pt idx="16" formatCode="0.0">
                  <c:v>1.7</c:v>
                </c:pt>
                <c:pt idx="17" formatCode="0.0">
                  <c:v>2.4</c:v>
                </c:pt>
                <c:pt idx="18" formatCode="0.0">
                  <c:v>2.7</c:v>
                </c:pt>
                <c:pt idx="19" formatCode="0.0">
                  <c:v>1.7</c:v>
                </c:pt>
                <c:pt idx="20" formatCode="0.0">
                  <c:v>2.2000000000000002</c:v>
                </c:pt>
                <c:pt idx="21" formatCode="0.0">
                  <c:v>2.1800000000000002</c:v>
                </c:pt>
              </c:numCache>
            </c:numRef>
          </c:val>
          <c:extLst>
            <c:ext xmlns:c16="http://schemas.microsoft.com/office/drawing/2014/chart" uri="{C3380CC4-5D6E-409C-BE32-E72D297353CC}">
              <c16:uniqueId val="{00000001-87C7-4815-A9DE-CD00A942DF97}"/>
            </c:ext>
          </c:extLst>
        </c:ser>
        <c:dLbls>
          <c:showLegendKey val="0"/>
          <c:showVal val="0"/>
          <c:showCatName val="0"/>
          <c:showSerName val="0"/>
          <c:showPercent val="0"/>
          <c:showBubbleSize val="0"/>
        </c:dLbls>
        <c:gapWidth val="150"/>
        <c:axId val="88081536"/>
        <c:axId val="88083072"/>
      </c:barChart>
      <c:catAx>
        <c:axId val="88081536"/>
        <c:scaling>
          <c:orientation val="minMax"/>
        </c:scaling>
        <c:delete val="0"/>
        <c:axPos val="t"/>
        <c:numFmt formatCode="General"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8083072"/>
        <c:crosses val="autoZero"/>
        <c:auto val="1"/>
        <c:lblAlgn val="ctr"/>
        <c:lblOffset val="100"/>
        <c:tickLblSkip val="1"/>
        <c:tickMarkSkip val="1"/>
        <c:noMultiLvlLbl val="0"/>
      </c:catAx>
      <c:valAx>
        <c:axId val="88083072"/>
        <c:scaling>
          <c:orientation val="maxMin"/>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8081536"/>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 </a:t>
            </a:r>
            <a:r>
              <a:rPr lang="en-US" sz="1600"/>
              <a:t>Sediment</a:t>
            </a:r>
            <a:r>
              <a:rPr lang="en-US"/>
              <a:t> Total Organic Carbon </a:t>
            </a:r>
          </a:p>
        </c:rich>
      </c:tx>
      <c:overlay val="0"/>
    </c:title>
    <c:autoTitleDeleted val="0"/>
    <c:plotArea>
      <c:layout>
        <c:manualLayout>
          <c:layoutTarget val="inner"/>
          <c:xMode val="edge"/>
          <c:yMode val="edge"/>
          <c:x val="0.12348235362089165"/>
          <c:y val="0.22371116249873971"/>
          <c:w val="0.84769165057200457"/>
          <c:h val="0.49211590186915405"/>
        </c:manualLayout>
      </c:layout>
      <c:barChart>
        <c:barDir val="col"/>
        <c:grouping val="clustered"/>
        <c:varyColors val="0"/>
        <c:ser>
          <c:idx val="1"/>
          <c:order val="0"/>
          <c:tx>
            <c:strRef>
              <c:f>Sediment!$AA$3</c:f>
              <c:strCache>
                <c:ptCount val="1"/>
                <c:pt idx="0">
                  <c:v>2010</c:v>
                </c:pt>
              </c:strCache>
            </c:strRef>
          </c:tx>
          <c:invertIfNegative val="0"/>
          <c:cat>
            <c:multiLvlStrRef>
              <c:f>Sediment!$Y$5:$Z$21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Sediment!$AA$5:$AA$21</c:f>
              <c:numCache>
                <c:formatCode>General</c:formatCode>
                <c:ptCount val="17"/>
                <c:pt idx="0">
                  <c:v>9.1999999999999993</c:v>
                </c:pt>
                <c:pt idx="1">
                  <c:v>12</c:v>
                </c:pt>
                <c:pt idx="2">
                  <c:v>10.7</c:v>
                </c:pt>
                <c:pt idx="3">
                  <c:v>9.5</c:v>
                </c:pt>
                <c:pt idx="4">
                  <c:v>10</c:v>
                </c:pt>
                <c:pt idx="5">
                  <c:v>10</c:v>
                </c:pt>
                <c:pt idx="6">
                  <c:v>9.4499999999999993</c:v>
                </c:pt>
                <c:pt idx="7">
                  <c:v>11</c:v>
                </c:pt>
                <c:pt idx="8">
                  <c:v>11.7</c:v>
                </c:pt>
                <c:pt idx="9">
                  <c:v>12.8</c:v>
                </c:pt>
                <c:pt idx="10">
                  <c:v>11.5</c:v>
                </c:pt>
                <c:pt idx="11">
                  <c:v>11.2</c:v>
                </c:pt>
                <c:pt idx="12">
                  <c:v>11.7</c:v>
                </c:pt>
                <c:pt idx="13">
                  <c:v>11.9</c:v>
                </c:pt>
                <c:pt idx="14">
                  <c:v>12.7</c:v>
                </c:pt>
                <c:pt idx="15">
                  <c:v>10.4</c:v>
                </c:pt>
                <c:pt idx="16">
                  <c:v>10.7</c:v>
                </c:pt>
              </c:numCache>
            </c:numRef>
          </c:val>
          <c:extLst>
            <c:ext xmlns:c16="http://schemas.microsoft.com/office/drawing/2014/chart" uri="{C3380CC4-5D6E-409C-BE32-E72D297353CC}">
              <c16:uniqueId val="{00000000-4E15-4FA1-90CB-E5E3D368B0D7}"/>
            </c:ext>
          </c:extLst>
        </c:ser>
        <c:ser>
          <c:idx val="0"/>
          <c:order val="1"/>
          <c:tx>
            <c:strRef>
              <c:f>Sediment!$AC$3</c:f>
              <c:strCache>
                <c:ptCount val="1"/>
                <c:pt idx="0">
                  <c:v>2011</c:v>
                </c:pt>
              </c:strCache>
            </c:strRef>
          </c:tx>
          <c:invertIfNegative val="0"/>
          <c:cat>
            <c:multiLvlStrRef>
              <c:f>Sediment!$Y$5:$Z$21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Sediment!$AC$5:$AC$21</c:f>
              <c:numCache>
                <c:formatCode>General</c:formatCode>
                <c:ptCount val="17"/>
                <c:pt idx="0" formatCode="0.00">
                  <c:v>0.47</c:v>
                </c:pt>
                <c:pt idx="1">
                  <c:v>12.11</c:v>
                </c:pt>
                <c:pt idx="2">
                  <c:v>10.72</c:v>
                </c:pt>
                <c:pt idx="3">
                  <c:v>10.78</c:v>
                </c:pt>
                <c:pt idx="4">
                  <c:v>3.55</c:v>
                </c:pt>
                <c:pt idx="5">
                  <c:v>9.59</c:v>
                </c:pt>
                <c:pt idx="6">
                  <c:v>2.89</c:v>
                </c:pt>
                <c:pt idx="7">
                  <c:v>11.87</c:v>
                </c:pt>
                <c:pt idx="8">
                  <c:v>10.7</c:v>
                </c:pt>
                <c:pt idx="9">
                  <c:v>10.44</c:v>
                </c:pt>
                <c:pt idx="10">
                  <c:v>9.5399999999999991</c:v>
                </c:pt>
                <c:pt idx="11">
                  <c:v>8.48</c:v>
                </c:pt>
                <c:pt idx="12">
                  <c:v>8.3699999999999992</c:v>
                </c:pt>
                <c:pt idx="13">
                  <c:v>10.94</c:v>
                </c:pt>
                <c:pt idx="14">
                  <c:v>10.95</c:v>
                </c:pt>
                <c:pt idx="15">
                  <c:v>10.66</c:v>
                </c:pt>
                <c:pt idx="16">
                  <c:v>10.75</c:v>
                </c:pt>
              </c:numCache>
            </c:numRef>
          </c:val>
          <c:extLst>
            <c:ext xmlns:c16="http://schemas.microsoft.com/office/drawing/2014/chart" uri="{C3380CC4-5D6E-409C-BE32-E72D297353CC}">
              <c16:uniqueId val="{00000001-4E15-4FA1-90CB-E5E3D368B0D7}"/>
            </c:ext>
          </c:extLst>
        </c:ser>
        <c:ser>
          <c:idx val="2"/>
          <c:order val="2"/>
          <c:tx>
            <c:strRef>
              <c:f>Sediment!$AE$3</c:f>
              <c:strCache>
                <c:ptCount val="1"/>
                <c:pt idx="0">
                  <c:v>2012</c:v>
                </c:pt>
              </c:strCache>
            </c:strRef>
          </c:tx>
          <c:invertIfNegative val="0"/>
          <c:cat>
            <c:multiLvlStrRef>
              <c:f>Sediment!$Y$5:$Z$21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Sediment!$AE$5:$AE$21</c:f>
              <c:numCache>
                <c:formatCode>General</c:formatCode>
                <c:ptCount val="17"/>
                <c:pt idx="0">
                  <c:v>0.04</c:v>
                </c:pt>
                <c:pt idx="1">
                  <c:v>9.7899999999999991</c:v>
                </c:pt>
                <c:pt idx="2">
                  <c:v>9.35</c:v>
                </c:pt>
                <c:pt idx="3">
                  <c:v>10.66</c:v>
                </c:pt>
                <c:pt idx="4">
                  <c:v>10.51</c:v>
                </c:pt>
                <c:pt idx="5">
                  <c:v>12.07</c:v>
                </c:pt>
                <c:pt idx="6">
                  <c:v>4.93</c:v>
                </c:pt>
                <c:pt idx="7">
                  <c:v>13.15</c:v>
                </c:pt>
                <c:pt idx="8">
                  <c:v>11.67</c:v>
                </c:pt>
                <c:pt idx="9">
                  <c:v>10.87</c:v>
                </c:pt>
                <c:pt idx="10">
                  <c:v>11.29</c:v>
                </c:pt>
                <c:pt idx="11">
                  <c:v>7.68</c:v>
                </c:pt>
                <c:pt idx="12">
                  <c:v>10.54</c:v>
                </c:pt>
                <c:pt idx="13">
                  <c:v>10.31</c:v>
                </c:pt>
                <c:pt idx="14">
                  <c:v>19.010000000000002</c:v>
                </c:pt>
                <c:pt idx="15">
                  <c:v>12.86</c:v>
                </c:pt>
                <c:pt idx="16">
                  <c:v>4.82</c:v>
                </c:pt>
              </c:numCache>
            </c:numRef>
          </c:val>
          <c:extLst>
            <c:ext xmlns:c16="http://schemas.microsoft.com/office/drawing/2014/chart" uri="{C3380CC4-5D6E-409C-BE32-E72D297353CC}">
              <c16:uniqueId val="{00000002-4E15-4FA1-90CB-E5E3D368B0D7}"/>
            </c:ext>
          </c:extLst>
        </c:ser>
        <c:dLbls>
          <c:showLegendKey val="0"/>
          <c:showVal val="0"/>
          <c:showCatName val="0"/>
          <c:showSerName val="0"/>
          <c:showPercent val="0"/>
          <c:showBubbleSize val="0"/>
        </c:dLbls>
        <c:gapWidth val="150"/>
        <c:axId val="138082560"/>
        <c:axId val="138100736"/>
      </c:barChart>
      <c:catAx>
        <c:axId val="138082560"/>
        <c:scaling>
          <c:orientation val="minMax"/>
        </c:scaling>
        <c:delete val="0"/>
        <c:axPos val="b"/>
        <c:numFmt formatCode="General" sourceLinked="0"/>
        <c:majorTickMark val="out"/>
        <c:minorTickMark val="none"/>
        <c:tickLblPos val="nextTo"/>
        <c:crossAx val="138100736"/>
        <c:crosses val="autoZero"/>
        <c:auto val="1"/>
        <c:lblAlgn val="ctr"/>
        <c:lblOffset val="100"/>
        <c:noMultiLvlLbl val="0"/>
      </c:catAx>
      <c:valAx>
        <c:axId val="138100736"/>
        <c:scaling>
          <c:orientation val="minMax"/>
        </c:scaling>
        <c:delete val="0"/>
        <c:axPos val="l"/>
        <c:majorGridlines/>
        <c:title>
          <c:tx>
            <c:rich>
              <a:bodyPr rot="-5400000" vert="horz"/>
              <a:lstStyle/>
              <a:p>
                <a:pPr>
                  <a:defRPr/>
                </a:pPr>
                <a:r>
                  <a:rPr lang="en-US"/>
                  <a:t>Percent Total Organic Carbon</a:t>
                </a:r>
              </a:p>
            </c:rich>
          </c:tx>
          <c:overlay val="0"/>
        </c:title>
        <c:numFmt formatCode="0" sourceLinked="0"/>
        <c:majorTickMark val="out"/>
        <c:minorTickMark val="none"/>
        <c:tickLblPos val="nextTo"/>
        <c:crossAx val="138082560"/>
        <c:crosses val="autoZero"/>
        <c:crossBetween val="between"/>
      </c:valAx>
    </c:plotArea>
    <c:legend>
      <c:legendPos val="t"/>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Percent  Total Solids (TS% at 105 degrees C) </a:t>
            </a:r>
          </a:p>
        </c:rich>
      </c:tx>
      <c:overlay val="0"/>
    </c:title>
    <c:autoTitleDeleted val="0"/>
    <c:plotArea>
      <c:layout/>
      <c:barChart>
        <c:barDir val="col"/>
        <c:grouping val="clustered"/>
        <c:varyColors val="0"/>
        <c:ser>
          <c:idx val="0"/>
          <c:order val="0"/>
          <c:tx>
            <c:strRef>
              <c:f>Sediment!$AC$3</c:f>
              <c:strCache>
                <c:ptCount val="1"/>
                <c:pt idx="0">
                  <c:v>2011</c:v>
                </c:pt>
              </c:strCache>
            </c:strRef>
          </c:tx>
          <c:invertIfNegative val="0"/>
          <c:cat>
            <c:multiLvlStrRef>
              <c:f>Sediment!$Y$5:$Z$21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Sediment!$AD$5:$AD$21</c:f>
              <c:numCache>
                <c:formatCode>General</c:formatCode>
                <c:ptCount val="17"/>
                <c:pt idx="0">
                  <c:v>99.86</c:v>
                </c:pt>
                <c:pt idx="1">
                  <c:v>60.71</c:v>
                </c:pt>
                <c:pt idx="2">
                  <c:v>45.92</c:v>
                </c:pt>
                <c:pt idx="3">
                  <c:v>31.17</c:v>
                </c:pt>
                <c:pt idx="4">
                  <c:v>88.11</c:v>
                </c:pt>
                <c:pt idx="5">
                  <c:v>40.130000000000003</c:v>
                </c:pt>
                <c:pt idx="6">
                  <c:v>80.349999999999994</c:v>
                </c:pt>
                <c:pt idx="7">
                  <c:v>31.66</c:v>
                </c:pt>
                <c:pt idx="8">
                  <c:v>38.56</c:v>
                </c:pt>
                <c:pt idx="9">
                  <c:v>56.14</c:v>
                </c:pt>
                <c:pt idx="10">
                  <c:v>37.53</c:v>
                </c:pt>
                <c:pt idx="11">
                  <c:v>61.08</c:v>
                </c:pt>
                <c:pt idx="12">
                  <c:v>96.98</c:v>
                </c:pt>
                <c:pt idx="13">
                  <c:v>93.25</c:v>
                </c:pt>
                <c:pt idx="14">
                  <c:v>94.5</c:v>
                </c:pt>
                <c:pt idx="15">
                  <c:v>60.57</c:v>
                </c:pt>
                <c:pt idx="16">
                  <c:v>96.31</c:v>
                </c:pt>
              </c:numCache>
            </c:numRef>
          </c:val>
          <c:extLst>
            <c:ext xmlns:c16="http://schemas.microsoft.com/office/drawing/2014/chart" uri="{C3380CC4-5D6E-409C-BE32-E72D297353CC}">
              <c16:uniqueId val="{00000000-02BC-4A59-BBD0-D4DDB16AEC5B}"/>
            </c:ext>
          </c:extLst>
        </c:ser>
        <c:ser>
          <c:idx val="1"/>
          <c:order val="1"/>
          <c:tx>
            <c:strRef>
              <c:f>Sediment!$AA$3</c:f>
              <c:strCache>
                <c:ptCount val="1"/>
                <c:pt idx="0">
                  <c:v>2010</c:v>
                </c:pt>
              </c:strCache>
            </c:strRef>
          </c:tx>
          <c:invertIfNegative val="0"/>
          <c:val>
            <c:numRef>
              <c:f>Sediment!$AB$5:$AB$21</c:f>
              <c:numCache>
                <c:formatCode>0.0</c:formatCode>
                <c:ptCount val="17"/>
                <c:pt idx="0">
                  <c:v>90.77</c:v>
                </c:pt>
                <c:pt idx="1">
                  <c:v>88.02</c:v>
                </c:pt>
                <c:pt idx="2">
                  <c:v>89.3</c:v>
                </c:pt>
                <c:pt idx="3">
                  <c:v>90.5</c:v>
                </c:pt>
                <c:pt idx="4">
                  <c:v>90</c:v>
                </c:pt>
                <c:pt idx="5">
                  <c:v>90</c:v>
                </c:pt>
                <c:pt idx="6">
                  <c:v>90.6</c:v>
                </c:pt>
                <c:pt idx="7">
                  <c:v>89</c:v>
                </c:pt>
                <c:pt idx="8">
                  <c:v>88.3</c:v>
                </c:pt>
                <c:pt idx="9">
                  <c:v>87.2</c:v>
                </c:pt>
                <c:pt idx="10">
                  <c:v>88.5</c:v>
                </c:pt>
                <c:pt idx="11">
                  <c:v>88.8</c:v>
                </c:pt>
                <c:pt idx="12">
                  <c:v>88.3</c:v>
                </c:pt>
                <c:pt idx="13">
                  <c:v>88.1</c:v>
                </c:pt>
                <c:pt idx="14">
                  <c:v>87.3</c:v>
                </c:pt>
                <c:pt idx="15">
                  <c:v>89.6</c:v>
                </c:pt>
                <c:pt idx="16">
                  <c:v>89.3</c:v>
                </c:pt>
              </c:numCache>
            </c:numRef>
          </c:val>
          <c:extLst>
            <c:ext xmlns:c16="http://schemas.microsoft.com/office/drawing/2014/chart" uri="{C3380CC4-5D6E-409C-BE32-E72D297353CC}">
              <c16:uniqueId val="{00000001-02BC-4A59-BBD0-D4DDB16AEC5B}"/>
            </c:ext>
          </c:extLst>
        </c:ser>
        <c:ser>
          <c:idx val="2"/>
          <c:order val="2"/>
          <c:tx>
            <c:strRef>
              <c:f>Sediment!$AE$3</c:f>
              <c:strCache>
                <c:ptCount val="1"/>
                <c:pt idx="0">
                  <c:v>2012</c:v>
                </c:pt>
              </c:strCache>
            </c:strRef>
          </c:tx>
          <c:invertIfNegative val="0"/>
          <c:val>
            <c:numRef>
              <c:f>Sediment!$AF$5:$AF$21</c:f>
              <c:numCache>
                <c:formatCode>General</c:formatCode>
                <c:ptCount val="17"/>
                <c:pt idx="0">
                  <c:v>83.62</c:v>
                </c:pt>
                <c:pt idx="1">
                  <c:v>26.63</c:v>
                </c:pt>
                <c:pt idx="2">
                  <c:v>22.62</c:v>
                </c:pt>
                <c:pt idx="3">
                  <c:v>22.6</c:v>
                </c:pt>
                <c:pt idx="4">
                  <c:v>19.510000000000002</c:v>
                </c:pt>
                <c:pt idx="5">
                  <c:v>25.5</c:v>
                </c:pt>
                <c:pt idx="6">
                  <c:v>73.02</c:v>
                </c:pt>
                <c:pt idx="7">
                  <c:v>27.18</c:v>
                </c:pt>
                <c:pt idx="8">
                  <c:v>19.98</c:v>
                </c:pt>
                <c:pt idx="9">
                  <c:v>21.96</c:v>
                </c:pt>
                <c:pt idx="10">
                  <c:v>22.24</c:v>
                </c:pt>
                <c:pt idx="11">
                  <c:v>48.06</c:v>
                </c:pt>
                <c:pt idx="12">
                  <c:v>42.81</c:v>
                </c:pt>
                <c:pt idx="13">
                  <c:v>42.05</c:v>
                </c:pt>
                <c:pt idx="14">
                  <c:v>36.15</c:v>
                </c:pt>
                <c:pt idx="15">
                  <c:v>39.340000000000003</c:v>
                </c:pt>
                <c:pt idx="16">
                  <c:v>85.74</c:v>
                </c:pt>
              </c:numCache>
            </c:numRef>
          </c:val>
          <c:extLst>
            <c:ext xmlns:c16="http://schemas.microsoft.com/office/drawing/2014/chart" uri="{C3380CC4-5D6E-409C-BE32-E72D297353CC}">
              <c16:uniqueId val="{00000002-02BC-4A59-BBD0-D4DDB16AEC5B}"/>
            </c:ext>
          </c:extLst>
        </c:ser>
        <c:dLbls>
          <c:showLegendKey val="0"/>
          <c:showVal val="0"/>
          <c:showCatName val="0"/>
          <c:showSerName val="0"/>
          <c:showPercent val="0"/>
          <c:showBubbleSize val="0"/>
        </c:dLbls>
        <c:gapWidth val="150"/>
        <c:axId val="138122752"/>
        <c:axId val="138124288"/>
      </c:barChart>
      <c:catAx>
        <c:axId val="138122752"/>
        <c:scaling>
          <c:orientation val="minMax"/>
        </c:scaling>
        <c:delete val="0"/>
        <c:axPos val="b"/>
        <c:numFmt formatCode="General" sourceLinked="0"/>
        <c:majorTickMark val="out"/>
        <c:minorTickMark val="none"/>
        <c:tickLblPos val="nextTo"/>
        <c:crossAx val="138124288"/>
        <c:crosses val="autoZero"/>
        <c:auto val="1"/>
        <c:lblAlgn val="ctr"/>
        <c:lblOffset val="100"/>
        <c:noMultiLvlLbl val="0"/>
      </c:catAx>
      <c:valAx>
        <c:axId val="138124288"/>
        <c:scaling>
          <c:orientation val="minMax"/>
        </c:scaling>
        <c:delete val="0"/>
        <c:axPos val="l"/>
        <c:majorGridlines/>
        <c:title>
          <c:tx>
            <c:rich>
              <a:bodyPr rot="-5400000" vert="horz"/>
              <a:lstStyle/>
              <a:p>
                <a:pPr>
                  <a:defRPr/>
                </a:pPr>
                <a:r>
                  <a:rPr lang="en-US"/>
                  <a:t>Percent Total Sediments</a:t>
                </a:r>
              </a:p>
            </c:rich>
          </c:tx>
          <c:overlay val="0"/>
        </c:title>
        <c:numFmt formatCode="0" sourceLinked="0"/>
        <c:majorTickMark val="out"/>
        <c:minorTickMark val="none"/>
        <c:tickLblPos val="nextTo"/>
        <c:crossAx val="138122752"/>
        <c:crosses val="autoZero"/>
        <c:crossBetween val="between"/>
      </c:valAx>
    </c:plotArea>
    <c:legend>
      <c:legendPos val="t"/>
      <c:overlay val="0"/>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1465" l="0.70000000000000062" r="0.70000000000000062" t="0.75000000000001465"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a:t>2012 TOC (%) versus Total Phosphorus (MgP/kg Mud) </a:t>
            </a:r>
          </a:p>
        </c:rich>
      </c:tx>
      <c:overlay val="1"/>
    </c:title>
    <c:autoTitleDeleted val="0"/>
    <c:plotArea>
      <c:layout>
        <c:manualLayout>
          <c:layoutTarget val="inner"/>
          <c:xMode val="edge"/>
          <c:yMode val="edge"/>
          <c:x val="9.0565228642194726E-2"/>
          <c:y val="0.16586973238514691"/>
          <c:w val="0.86415308121695456"/>
          <c:h val="0.50724072626514904"/>
        </c:manualLayout>
      </c:layout>
      <c:barChart>
        <c:barDir val="col"/>
        <c:grouping val="clustered"/>
        <c:varyColors val="0"/>
        <c:ser>
          <c:idx val="0"/>
          <c:order val="0"/>
          <c:tx>
            <c:strRef>
              <c:f>Sediment!$U$3</c:f>
              <c:strCache>
                <c:ptCount val="1"/>
                <c:pt idx="0">
                  <c:v>mgP/kg Mud</c:v>
                </c:pt>
              </c:strCache>
            </c:strRef>
          </c:tx>
          <c:invertIfNegative val="0"/>
          <c:cat>
            <c:multiLvlStrRef>
              <c:f>Sediment!$Y$5:$Z$21</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Sediment!$V$5:$V$21</c:f>
              <c:numCache>
                <c:formatCode>0.00</c:formatCode>
                <c:ptCount val="17"/>
                <c:pt idx="0">
                  <c:v>1.2993262752646777</c:v>
                </c:pt>
                <c:pt idx="1">
                  <c:v>4.9860062560267178</c:v>
                </c:pt>
                <c:pt idx="2">
                  <c:v>3.0610045268376802</c:v>
                </c:pt>
                <c:pt idx="3">
                  <c:v>4.6117707906816365</c:v>
                </c:pt>
                <c:pt idx="4">
                  <c:v>4.3813192103996146</c:v>
                </c:pt>
                <c:pt idx="5">
                  <c:v>4.5645645645645656</c:v>
                </c:pt>
                <c:pt idx="6">
                  <c:v>2.4698261801575097</c:v>
                </c:pt>
                <c:pt idx="7">
                  <c:v>4.8877805486284291</c:v>
                </c:pt>
                <c:pt idx="8">
                  <c:v>3.34</c:v>
                </c:pt>
                <c:pt idx="9">
                  <c:v>3.1931106219308645</c:v>
                </c:pt>
                <c:pt idx="10">
                  <c:v>4.6649897095815236</c:v>
                </c:pt>
                <c:pt idx="11">
                  <c:v>0.38</c:v>
                </c:pt>
                <c:pt idx="12">
                  <c:v>0.93</c:v>
                </c:pt>
                <c:pt idx="13">
                  <c:v>3.88</c:v>
                </c:pt>
                <c:pt idx="14">
                  <c:v>3.18</c:v>
                </c:pt>
                <c:pt idx="15">
                  <c:v>3.9</c:v>
                </c:pt>
                <c:pt idx="16">
                  <c:v>1.34</c:v>
                </c:pt>
              </c:numCache>
            </c:numRef>
          </c:val>
          <c:extLst>
            <c:ext xmlns:c16="http://schemas.microsoft.com/office/drawing/2014/chart" uri="{C3380CC4-5D6E-409C-BE32-E72D297353CC}">
              <c16:uniqueId val="{00000000-2C77-4DDD-ADDD-6AB1CC773C7B}"/>
            </c:ext>
          </c:extLst>
        </c:ser>
        <c:ser>
          <c:idx val="1"/>
          <c:order val="1"/>
          <c:tx>
            <c:strRef>
              <c:f>Sediment!$AA$4</c:f>
              <c:strCache>
                <c:ptCount val="1"/>
                <c:pt idx="0">
                  <c:v>% TOC</c:v>
                </c:pt>
              </c:strCache>
            </c:strRef>
          </c:tx>
          <c:invertIfNegative val="0"/>
          <c:val>
            <c:numRef>
              <c:f>Sediment!$AE$5:$AE$21</c:f>
              <c:numCache>
                <c:formatCode>General</c:formatCode>
                <c:ptCount val="17"/>
                <c:pt idx="0">
                  <c:v>0.04</c:v>
                </c:pt>
                <c:pt idx="1">
                  <c:v>9.7899999999999991</c:v>
                </c:pt>
                <c:pt idx="2">
                  <c:v>9.35</c:v>
                </c:pt>
                <c:pt idx="3">
                  <c:v>10.66</c:v>
                </c:pt>
                <c:pt idx="4">
                  <c:v>10.51</c:v>
                </c:pt>
                <c:pt idx="5">
                  <c:v>12.07</c:v>
                </c:pt>
                <c:pt idx="6">
                  <c:v>4.93</c:v>
                </c:pt>
                <c:pt idx="7">
                  <c:v>13.15</c:v>
                </c:pt>
                <c:pt idx="8">
                  <c:v>11.67</c:v>
                </c:pt>
                <c:pt idx="9">
                  <c:v>10.87</c:v>
                </c:pt>
                <c:pt idx="10">
                  <c:v>11.29</c:v>
                </c:pt>
                <c:pt idx="11">
                  <c:v>7.68</c:v>
                </c:pt>
                <c:pt idx="12">
                  <c:v>10.54</c:v>
                </c:pt>
                <c:pt idx="13">
                  <c:v>10.31</c:v>
                </c:pt>
                <c:pt idx="14">
                  <c:v>19.010000000000002</c:v>
                </c:pt>
                <c:pt idx="15">
                  <c:v>12.86</c:v>
                </c:pt>
                <c:pt idx="16">
                  <c:v>4.82</c:v>
                </c:pt>
              </c:numCache>
            </c:numRef>
          </c:val>
          <c:extLst>
            <c:ext xmlns:c16="http://schemas.microsoft.com/office/drawing/2014/chart" uri="{C3380CC4-5D6E-409C-BE32-E72D297353CC}">
              <c16:uniqueId val="{00000001-2C77-4DDD-ADDD-6AB1CC773C7B}"/>
            </c:ext>
          </c:extLst>
        </c:ser>
        <c:dLbls>
          <c:showLegendKey val="0"/>
          <c:showVal val="0"/>
          <c:showCatName val="0"/>
          <c:showSerName val="0"/>
          <c:showPercent val="0"/>
          <c:showBubbleSize val="0"/>
        </c:dLbls>
        <c:gapWidth val="150"/>
        <c:axId val="138166272"/>
        <c:axId val="138167808"/>
      </c:barChart>
      <c:catAx>
        <c:axId val="138166272"/>
        <c:scaling>
          <c:orientation val="minMax"/>
        </c:scaling>
        <c:delete val="0"/>
        <c:axPos val="b"/>
        <c:numFmt formatCode="General" sourceLinked="0"/>
        <c:majorTickMark val="out"/>
        <c:minorTickMark val="none"/>
        <c:tickLblPos val="nextTo"/>
        <c:crossAx val="138167808"/>
        <c:crosses val="autoZero"/>
        <c:auto val="1"/>
        <c:lblAlgn val="ctr"/>
        <c:lblOffset val="100"/>
        <c:noMultiLvlLbl val="0"/>
      </c:catAx>
      <c:valAx>
        <c:axId val="138167808"/>
        <c:scaling>
          <c:orientation val="minMax"/>
        </c:scaling>
        <c:delete val="0"/>
        <c:axPos val="l"/>
        <c:majorGridlines/>
        <c:numFmt formatCode="0.00" sourceLinked="1"/>
        <c:majorTickMark val="out"/>
        <c:minorTickMark val="none"/>
        <c:tickLblPos val="nextTo"/>
        <c:crossAx val="138166272"/>
        <c:crosses val="autoZero"/>
        <c:crossBetween val="between"/>
      </c:valAx>
    </c:plotArea>
    <c:legend>
      <c:legendPos val="r"/>
      <c:layout>
        <c:manualLayout>
          <c:xMode val="edge"/>
          <c:yMode val="edge"/>
          <c:x val="0.11233927356697609"/>
          <c:y val="0.13962106008185987"/>
          <c:w val="0.15438884363300623"/>
          <c:h val="0.17335872637446043"/>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printSettings>
    <c:headerFooter/>
    <c:pageMargins b="0.75000000000001088" l="0.70000000000000062" r="0.70000000000000062" t="0.75000000000001088"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'Grain Size'!$C$2</c:f>
              <c:strCache>
                <c:ptCount val="1"/>
                <c:pt idx="0">
                  <c:v>Coarse Sand</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Size'!$C$4:$C$20</c:f>
              <c:numCache>
                <c:formatCode>0</c:formatCode>
                <c:ptCount val="17"/>
                <c:pt idx="0" formatCode="General">
                  <c:v>22</c:v>
                </c:pt>
                <c:pt idx="1">
                  <c:v>18</c:v>
                </c:pt>
                <c:pt idx="2" formatCode="General">
                  <c:v>3</c:v>
                </c:pt>
                <c:pt idx="3">
                  <c:v>9</c:v>
                </c:pt>
                <c:pt idx="4" formatCode="General">
                  <c:v>12</c:v>
                </c:pt>
                <c:pt idx="5">
                  <c:v>7</c:v>
                </c:pt>
                <c:pt idx="6">
                  <c:v>13</c:v>
                </c:pt>
                <c:pt idx="7">
                  <c:v>6</c:v>
                </c:pt>
                <c:pt idx="8">
                  <c:v>10</c:v>
                </c:pt>
                <c:pt idx="9">
                  <c:v>12</c:v>
                </c:pt>
                <c:pt idx="10">
                  <c:v>3</c:v>
                </c:pt>
                <c:pt idx="11">
                  <c:v>18</c:v>
                </c:pt>
                <c:pt idx="12">
                  <c:v>4</c:v>
                </c:pt>
                <c:pt idx="13">
                  <c:v>9</c:v>
                </c:pt>
                <c:pt idx="14">
                  <c:v>5</c:v>
                </c:pt>
                <c:pt idx="15">
                  <c:v>8</c:v>
                </c:pt>
                <c:pt idx="16">
                  <c:v>2</c:v>
                </c:pt>
              </c:numCache>
            </c:numRef>
          </c:val>
          <c:extLst>
            <c:ext xmlns:c16="http://schemas.microsoft.com/office/drawing/2014/chart" uri="{C3380CC4-5D6E-409C-BE32-E72D297353CC}">
              <c16:uniqueId val="{00000000-0B33-4ED4-83BA-4F11DE30151D}"/>
            </c:ext>
          </c:extLst>
        </c:ser>
        <c:ser>
          <c:idx val="1"/>
          <c:order val="1"/>
          <c:tx>
            <c:strRef>
              <c:f>'Grain Size'!$D$2</c:f>
              <c:strCache>
                <c:ptCount val="1"/>
                <c:pt idx="0">
                  <c:v>Med Sand</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Size'!$D$4:$D$20</c:f>
              <c:numCache>
                <c:formatCode>0</c:formatCode>
                <c:ptCount val="17"/>
                <c:pt idx="0" formatCode="General">
                  <c:v>34</c:v>
                </c:pt>
                <c:pt idx="1">
                  <c:v>23</c:v>
                </c:pt>
                <c:pt idx="2" formatCode="General">
                  <c:v>15</c:v>
                </c:pt>
                <c:pt idx="3">
                  <c:v>16</c:v>
                </c:pt>
                <c:pt idx="4" formatCode="General">
                  <c:v>38</c:v>
                </c:pt>
                <c:pt idx="5">
                  <c:v>28</c:v>
                </c:pt>
                <c:pt idx="6">
                  <c:v>39</c:v>
                </c:pt>
                <c:pt idx="7">
                  <c:v>38</c:v>
                </c:pt>
                <c:pt idx="8">
                  <c:v>17</c:v>
                </c:pt>
                <c:pt idx="9">
                  <c:v>28</c:v>
                </c:pt>
                <c:pt idx="10">
                  <c:v>34</c:v>
                </c:pt>
                <c:pt idx="11">
                  <c:v>45</c:v>
                </c:pt>
                <c:pt idx="12">
                  <c:v>52</c:v>
                </c:pt>
                <c:pt idx="13">
                  <c:v>40</c:v>
                </c:pt>
                <c:pt idx="14">
                  <c:v>29</c:v>
                </c:pt>
                <c:pt idx="15">
                  <c:v>31</c:v>
                </c:pt>
                <c:pt idx="16">
                  <c:v>12</c:v>
                </c:pt>
              </c:numCache>
            </c:numRef>
          </c:val>
          <c:extLst>
            <c:ext xmlns:c16="http://schemas.microsoft.com/office/drawing/2014/chart" uri="{C3380CC4-5D6E-409C-BE32-E72D297353CC}">
              <c16:uniqueId val="{00000001-0B33-4ED4-83BA-4F11DE30151D}"/>
            </c:ext>
          </c:extLst>
        </c:ser>
        <c:ser>
          <c:idx val="2"/>
          <c:order val="2"/>
          <c:tx>
            <c:strRef>
              <c:f>'Grain Size'!$E$2</c:f>
              <c:strCache>
                <c:ptCount val="1"/>
                <c:pt idx="0">
                  <c:v>Fine Sand</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Size'!$E$4:$E$20</c:f>
              <c:numCache>
                <c:formatCode>0</c:formatCode>
                <c:ptCount val="17"/>
                <c:pt idx="0" formatCode="General">
                  <c:v>18</c:v>
                </c:pt>
                <c:pt idx="1">
                  <c:v>27</c:v>
                </c:pt>
                <c:pt idx="2" formatCode="General">
                  <c:v>23</c:v>
                </c:pt>
                <c:pt idx="3">
                  <c:v>40</c:v>
                </c:pt>
                <c:pt idx="4" formatCode="General">
                  <c:v>18</c:v>
                </c:pt>
                <c:pt idx="5">
                  <c:v>33</c:v>
                </c:pt>
                <c:pt idx="6">
                  <c:v>28</c:v>
                </c:pt>
                <c:pt idx="7">
                  <c:v>36</c:v>
                </c:pt>
                <c:pt idx="8">
                  <c:v>35</c:v>
                </c:pt>
                <c:pt idx="9">
                  <c:v>33</c:v>
                </c:pt>
                <c:pt idx="10">
                  <c:v>29</c:v>
                </c:pt>
                <c:pt idx="11">
                  <c:v>18</c:v>
                </c:pt>
                <c:pt idx="12">
                  <c:v>16</c:v>
                </c:pt>
                <c:pt idx="13">
                  <c:v>25</c:v>
                </c:pt>
                <c:pt idx="14">
                  <c:v>30</c:v>
                </c:pt>
                <c:pt idx="15">
                  <c:v>28</c:v>
                </c:pt>
                <c:pt idx="16">
                  <c:v>22</c:v>
                </c:pt>
              </c:numCache>
            </c:numRef>
          </c:val>
          <c:extLst>
            <c:ext xmlns:c16="http://schemas.microsoft.com/office/drawing/2014/chart" uri="{C3380CC4-5D6E-409C-BE32-E72D297353CC}">
              <c16:uniqueId val="{00000002-0B33-4ED4-83BA-4F11DE30151D}"/>
            </c:ext>
          </c:extLst>
        </c:ser>
        <c:ser>
          <c:idx val="3"/>
          <c:order val="3"/>
          <c:tx>
            <c:strRef>
              <c:f>'Grain Size'!$F$2</c:f>
              <c:strCache>
                <c:ptCount val="1"/>
                <c:pt idx="0">
                  <c:v>Very Fine Sand</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Size'!$F$4:$F$20</c:f>
              <c:numCache>
                <c:formatCode>0</c:formatCode>
                <c:ptCount val="17"/>
                <c:pt idx="0" formatCode="General">
                  <c:v>20</c:v>
                </c:pt>
                <c:pt idx="1">
                  <c:v>14</c:v>
                </c:pt>
                <c:pt idx="2" formatCode="General">
                  <c:v>35</c:v>
                </c:pt>
                <c:pt idx="3">
                  <c:v>18</c:v>
                </c:pt>
                <c:pt idx="4" formatCode="General">
                  <c:v>11</c:v>
                </c:pt>
                <c:pt idx="5">
                  <c:v>14</c:v>
                </c:pt>
                <c:pt idx="6">
                  <c:v>9</c:v>
                </c:pt>
                <c:pt idx="7">
                  <c:v>14</c:v>
                </c:pt>
                <c:pt idx="8">
                  <c:v>18</c:v>
                </c:pt>
                <c:pt idx="9">
                  <c:v>9</c:v>
                </c:pt>
                <c:pt idx="10">
                  <c:v>20</c:v>
                </c:pt>
                <c:pt idx="11">
                  <c:v>10</c:v>
                </c:pt>
                <c:pt idx="12">
                  <c:v>12</c:v>
                </c:pt>
                <c:pt idx="13">
                  <c:v>12</c:v>
                </c:pt>
                <c:pt idx="14">
                  <c:v>15</c:v>
                </c:pt>
                <c:pt idx="15">
                  <c:v>14</c:v>
                </c:pt>
                <c:pt idx="16">
                  <c:v>52</c:v>
                </c:pt>
              </c:numCache>
            </c:numRef>
          </c:val>
          <c:extLst>
            <c:ext xmlns:c16="http://schemas.microsoft.com/office/drawing/2014/chart" uri="{C3380CC4-5D6E-409C-BE32-E72D297353CC}">
              <c16:uniqueId val="{00000003-0B33-4ED4-83BA-4F11DE30151D}"/>
            </c:ext>
          </c:extLst>
        </c:ser>
        <c:ser>
          <c:idx val="4"/>
          <c:order val="4"/>
          <c:tx>
            <c:strRef>
              <c:f>'Grain Size'!$G$2</c:f>
              <c:strCache>
                <c:ptCount val="1"/>
                <c:pt idx="0">
                  <c:v>Silt/Clay</c:v>
                </c:pt>
              </c:strCache>
            </c:strRef>
          </c:tx>
          <c:invertIfNegative val="0"/>
          <c:cat>
            <c:multiLvlStrRef>
              <c:f>'Grain Size'!$A$4:$B$20</c:f>
              <c:multiLvlStrCache>
                <c:ptCount val="17"/>
                <c:lvl>
                  <c:pt idx="0">
                    <c:v>SedBC01</c:v>
                  </c:pt>
                  <c:pt idx="1">
                    <c:v>SedBC02</c:v>
                  </c:pt>
                  <c:pt idx="2">
                    <c:v>SedBC03</c:v>
                  </c:pt>
                  <c:pt idx="3">
                    <c:v>SedBC04</c:v>
                  </c:pt>
                  <c:pt idx="4">
                    <c:v>SedBC05</c:v>
                  </c:pt>
                  <c:pt idx="5">
                    <c:v>SedBC06</c:v>
                  </c:pt>
                  <c:pt idx="6">
                    <c:v>SedPel07</c:v>
                  </c:pt>
                  <c:pt idx="7">
                    <c:v>SedPel08</c:v>
                  </c:pt>
                  <c:pt idx="8">
                    <c:v>SedPel09</c:v>
                  </c:pt>
                  <c:pt idx="9">
                    <c:v>SedPel10</c:v>
                  </c:pt>
                  <c:pt idx="10">
                    <c:v>SedPel11</c:v>
                  </c:pt>
                  <c:pt idx="11">
                    <c:v>SedTC12</c:v>
                  </c:pt>
                  <c:pt idx="12">
                    <c:v>SedTC13</c:v>
                  </c:pt>
                  <c:pt idx="13">
                    <c:v>SedTC14</c:v>
                  </c:pt>
                  <c:pt idx="14">
                    <c:v>SedTC15</c:v>
                  </c:pt>
                  <c:pt idx="15">
                    <c:v>SedTC16</c:v>
                  </c:pt>
                  <c:pt idx="16">
                    <c:v>SedTC17</c:v>
                  </c:pt>
                </c:lvl>
                <c:lvl>
                  <c:pt idx="0">
                    <c:v>Bear Creek Transect</c:v>
                  </c:pt>
                  <c:pt idx="6">
                    <c:v>Pelican Point Transect</c:v>
                  </c:pt>
                  <c:pt idx="11">
                    <c:v>Turkey Creek Transect</c:v>
                  </c:pt>
                </c:lvl>
              </c:multiLvlStrCache>
            </c:multiLvlStrRef>
          </c:cat>
          <c:val>
            <c:numRef>
              <c:f>'Grain Size'!$G$4:$G$20</c:f>
              <c:numCache>
                <c:formatCode>0</c:formatCode>
                <c:ptCount val="17"/>
                <c:pt idx="0" formatCode="General">
                  <c:v>6</c:v>
                </c:pt>
                <c:pt idx="1">
                  <c:v>18</c:v>
                </c:pt>
                <c:pt idx="2" formatCode="General">
                  <c:v>24</c:v>
                </c:pt>
                <c:pt idx="3">
                  <c:v>17</c:v>
                </c:pt>
                <c:pt idx="4" formatCode="General">
                  <c:v>21</c:v>
                </c:pt>
                <c:pt idx="5">
                  <c:v>18</c:v>
                </c:pt>
                <c:pt idx="6">
                  <c:v>11</c:v>
                </c:pt>
                <c:pt idx="7">
                  <c:v>6</c:v>
                </c:pt>
                <c:pt idx="8">
                  <c:v>20</c:v>
                </c:pt>
                <c:pt idx="9">
                  <c:v>18</c:v>
                </c:pt>
                <c:pt idx="10">
                  <c:v>14</c:v>
                </c:pt>
                <c:pt idx="11">
                  <c:v>9</c:v>
                </c:pt>
                <c:pt idx="12">
                  <c:v>16</c:v>
                </c:pt>
                <c:pt idx="13">
                  <c:v>14</c:v>
                </c:pt>
                <c:pt idx="14">
                  <c:v>21</c:v>
                </c:pt>
                <c:pt idx="15">
                  <c:v>19</c:v>
                </c:pt>
                <c:pt idx="16">
                  <c:v>12</c:v>
                </c:pt>
              </c:numCache>
            </c:numRef>
          </c:val>
          <c:extLst>
            <c:ext xmlns:c16="http://schemas.microsoft.com/office/drawing/2014/chart" uri="{C3380CC4-5D6E-409C-BE32-E72D297353CC}">
              <c16:uniqueId val="{00000004-0B33-4ED4-83BA-4F11DE30151D}"/>
            </c:ext>
          </c:extLst>
        </c:ser>
        <c:dLbls>
          <c:showLegendKey val="0"/>
          <c:showVal val="0"/>
          <c:showCatName val="0"/>
          <c:showSerName val="0"/>
          <c:showPercent val="0"/>
          <c:showBubbleSize val="0"/>
        </c:dLbls>
        <c:gapWidth val="150"/>
        <c:overlap val="100"/>
        <c:axId val="138330880"/>
        <c:axId val="138332416"/>
      </c:barChart>
      <c:catAx>
        <c:axId val="138330880"/>
        <c:scaling>
          <c:orientation val="minMax"/>
        </c:scaling>
        <c:delete val="0"/>
        <c:axPos val="l"/>
        <c:numFmt formatCode="General" sourceLinked="0"/>
        <c:majorTickMark val="out"/>
        <c:minorTickMark val="none"/>
        <c:tickLblPos val="nextTo"/>
        <c:crossAx val="138332416"/>
        <c:crosses val="autoZero"/>
        <c:auto val="1"/>
        <c:lblAlgn val="ctr"/>
        <c:lblOffset val="100"/>
        <c:noMultiLvlLbl val="0"/>
      </c:catAx>
      <c:valAx>
        <c:axId val="138332416"/>
        <c:scaling>
          <c:orientation val="minMax"/>
          <c:max val="100"/>
        </c:scaling>
        <c:delete val="0"/>
        <c:axPos val="b"/>
        <c:majorGridlines/>
        <c:title>
          <c:tx>
            <c:rich>
              <a:bodyPr/>
              <a:lstStyle/>
              <a:p>
                <a:pPr>
                  <a:defRPr/>
                </a:pPr>
                <a:r>
                  <a:rPr lang="en-US"/>
                  <a:t>Percentage</a:t>
                </a:r>
              </a:p>
            </c:rich>
          </c:tx>
          <c:overlay val="0"/>
        </c:title>
        <c:numFmt formatCode="General" sourceLinked="1"/>
        <c:majorTickMark val="out"/>
        <c:minorTickMark val="none"/>
        <c:tickLblPos val="nextTo"/>
        <c:crossAx val="138330880"/>
        <c:crosses val="autoZero"/>
        <c:crossBetween val="between"/>
      </c:valAx>
    </c:plotArea>
    <c:legend>
      <c:legendPos val="t"/>
      <c:layout>
        <c:manualLayout>
          <c:xMode val="edge"/>
          <c:yMode val="edge"/>
          <c:x val="0.22373168835381127"/>
          <c:y val="3.7898373760979862E-2"/>
          <c:w val="0.70083647784934089"/>
          <c:h val="5.7134021752192114E-2"/>
        </c:manualLayout>
      </c:layout>
      <c:overlay val="0"/>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8571741032371027E-2"/>
          <c:y val="5.1400554097404488E-2"/>
          <c:w val="0.84973381452321728"/>
          <c:h val="0.71729512977544452"/>
        </c:manualLayout>
      </c:layout>
      <c:lineChart>
        <c:grouping val="standard"/>
        <c:varyColors val="0"/>
        <c:ser>
          <c:idx val="0"/>
          <c:order val="0"/>
          <c:tx>
            <c:strRef>
              <c:f>'Rec Use'!$A$4</c:f>
              <c:strCache>
                <c:ptCount val="1"/>
                <c:pt idx="0">
                  <c:v>Walking/ Running </c:v>
                </c:pt>
              </c:strCache>
            </c:strRef>
          </c:tx>
          <c:marker>
            <c:symbol val="none"/>
          </c:marker>
          <c:cat>
            <c:strRef>
              <c:f>'Rec Use'!$B$2:$P$2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'Rec Use'!$B$4:$P$4</c:f>
              <c:numCache>
                <c:formatCode>General</c:formatCode>
                <c:ptCount val="15"/>
                <c:pt idx="0">
                  <c:v>49</c:v>
                </c:pt>
                <c:pt idx="1">
                  <c:v>44</c:v>
                </c:pt>
                <c:pt idx="2">
                  <c:v>26</c:v>
                </c:pt>
                <c:pt idx="3">
                  <c:v>23</c:v>
                </c:pt>
                <c:pt idx="4">
                  <c:v>19</c:v>
                </c:pt>
                <c:pt idx="5">
                  <c:v>17</c:v>
                </c:pt>
                <c:pt idx="6">
                  <c:v>14</c:v>
                </c:pt>
                <c:pt idx="7">
                  <c:v>52</c:v>
                </c:pt>
                <c:pt idx="8">
                  <c:v>60</c:v>
                </c:pt>
                <c:pt idx="9">
                  <c:v>11</c:v>
                </c:pt>
                <c:pt idx="10">
                  <c:v>12</c:v>
                </c:pt>
                <c:pt idx="11">
                  <c:v>72</c:v>
                </c:pt>
                <c:pt idx="12">
                  <c:v>17</c:v>
                </c:pt>
                <c:pt idx="13">
                  <c:v>21</c:v>
                </c:pt>
                <c:pt idx="14">
                  <c:v>32</c:v>
                </c:pt>
              </c:numCache>
            </c:numRef>
          </c:val>
          <c:smooth val="0"/>
          <c:extLst>
            <c:ext xmlns:c16="http://schemas.microsoft.com/office/drawing/2014/chart" uri="{C3380CC4-5D6E-409C-BE32-E72D297353CC}">
              <c16:uniqueId val="{00000000-95C9-4487-B617-D9573A8A21D9}"/>
            </c:ext>
          </c:extLst>
        </c:ser>
        <c:ser>
          <c:idx val="1"/>
          <c:order val="1"/>
          <c:tx>
            <c:strRef>
              <c:f>'Rec Use'!$A$7</c:f>
              <c:strCache>
                <c:ptCount val="1"/>
                <c:pt idx="0">
                  <c:v>Bicycle</c:v>
                </c:pt>
              </c:strCache>
            </c:strRef>
          </c:tx>
          <c:marker>
            <c:symbol val="none"/>
          </c:marker>
          <c:cat>
            <c:strRef>
              <c:f>'Rec Use'!$B$2:$P$2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'Rec Use'!$B$7:$P$7</c:f>
              <c:numCache>
                <c:formatCode>General</c:formatCode>
                <c:ptCount val="15"/>
                <c:pt idx="0">
                  <c:v>4</c:v>
                </c:pt>
                <c:pt idx="1">
                  <c:v>12</c:v>
                </c:pt>
                <c:pt idx="2">
                  <c:v>29</c:v>
                </c:pt>
                <c:pt idx="3">
                  <c:v>43</c:v>
                </c:pt>
                <c:pt idx="4">
                  <c:v>92</c:v>
                </c:pt>
                <c:pt idx="5">
                  <c:v>63</c:v>
                </c:pt>
                <c:pt idx="6">
                  <c:v>23</c:v>
                </c:pt>
                <c:pt idx="7">
                  <c:v>44</c:v>
                </c:pt>
                <c:pt idx="8">
                  <c:v>47</c:v>
                </c:pt>
                <c:pt idx="9">
                  <c:v>43</c:v>
                </c:pt>
                <c:pt idx="10">
                  <c:v>41</c:v>
                </c:pt>
                <c:pt idx="11">
                  <c:v>30</c:v>
                </c:pt>
                <c:pt idx="12">
                  <c:v>24</c:v>
                </c:pt>
                <c:pt idx="13">
                  <c:v>3</c:v>
                </c:pt>
                <c:pt idx="14">
                  <c:v>12</c:v>
                </c:pt>
              </c:numCache>
            </c:numRef>
          </c:val>
          <c:smooth val="0"/>
          <c:extLst>
            <c:ext xmlns:c16="http://schemas.microsoft.com/office/drawing/2014/chart" uri="{C3380CC4-5D6E-409C-BE32-E72D297353CC}">
              <c16:uniqueId val="{00000001-95C9-4487-B617-D9573A8A21D9}"/>
            </c:ext>
          </c:extLst>
        </c:ser>
        <c:ser>
          <c:idx val="2"/>
          <c:order val="2"/>
          <c:tx>
            <c:strRef>
              <c:f>'Rec Use'!$A$11</c:f>
              <c:strCache>
                <c:ptCount val="1"/>
                <c:pt idx="0">
                  <c:v>Fishing</c:v>
                </c:pt>
              </c:strCache>
            </c:strRef>
          </c:tx>
          <c:marker>
            <c:symbol val="none"/>
          </c:marker>
          <c:cat>
            <c:strRef>
              <c:f>'Rec Use'!$B$2:$P$2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'Rec Use'!$B$11:$P$11</c:f>
              <c:numCache>
                <c:formatCode>General</c:formatCode>
                <c:ptCount val="15"/>
                <c:pt idx="0">
                  <c:v>17</c:v>
                </c:pt>
                <c:pt idx="1">
                  <c:v>17</c:v>
                </c:pt>
                <c:pt idx="2">
                  <c:v>38</c:v>
                </c:pt>
                <c:pt idx="3">
                  <c:v>43</c:v>
                </c:pt>
                <c:pt idx="4">
                  <c:v>77</c:v>
                </c:pt>
                <c:pt idx="5">
                  <c:v>34</c:v>
                </c:pt>
                <c:pt idx="6">
                  <c:v>25</c:v>
                </c:pt>
                <c:pt idx="7">
                  <c:v>31</c:v>
                </c:pt>
                <c:pt idx="8">
                  <c:v>33</c:v>
                </c:pt>
                <c:pt idx="9">
                  <c:v>13</c:v>
                </c:pt>
                <c:pt idx="10">
                  <c:v>28</c:v>
                </c:pt>
                <c:pt idx="11">
                  <c:v>19</c:v>
                </c:pt>
                <c:pt idx="12">
                  <c:v>20</c:v>
                </c:pt>
                <c:pt idx="13">
                  <c:v>18</c:v>
                </c:pt>
                <c:pt idx="14">
                  <c:v>13</c:v>
                </c:pt>
              </c:numCache>
            </c:numRef>
          </c:val>
          <c:smooth val="0"/>
          <c:extLst>
            <c:ext xmlns:c16="http://schemas.microsoft.com/office/drawing/2014/chart" uri="{C3380CC4-5D6E-409C-BE32-E72D297353CC}">
              <c16:uniqueId val="{00000002-95C9-4487-B617-D9573A8A21D9}"/>
            </c:ext>
          </c:extLst>
        </c:ser>
        <c:ser>
          <c:idx val="3"/>
          <c:order val="3"/>
          <c:tx>
            <c:strRef>
              <c:f>'Rec Use'!$A$13</c:f>
              <c:strCache>
                <c:ptCount val="1"/>
                <c:pt idx="0">
                  <c:v>Camping</c:v>
                </c:pt>
              </c:strCache>
            </c:strRef>
          </c:tx>
          <c:marker>
            <c:symbol val="none"/>
          </c:marker>
          <c:cat>
            <c:strRef>
              <c:f>'Rec Use'!$B$2:$P$2</c:f>
              <c:strCache>
                <c:ptCount val="15"/>
                <c:pt idx="0">
                  <c:v>Jan</c:v>
                </c:pt>
                <c:pt idx="1">
                  <c:v>Feb</c:v>
                </c:pt>
                <c:pt idx="2">
                  <c:v>Mar</c:v>
                </c:pt>
                <c:pt idx="3">
                  <c:v>Apr</c:v>
                </c:pt>
                <c:pt idx="4">
                  <c:v>May</c:v>
                </c:pt>
                <c:pt idx="5">
                  <c:v>Jun</c:v>
                </c:pt>
                <c:pt idx="6">
                  <c:v>Jul</c:v>
                </c:pt>
                <c:pt idx="7">
                  <c:v>Jul</c:v>
                </c:pt>
                <c:pt idx="8">
                  <c:v>Aug</c:v>
                </c:pt>
                <c:pt idx="9">
                  <c:v>Aug</c:v>
                </c:pt>
                <c:pt idx="10">
                  <c:v>Sep</c:v>
                </c:pt>
                <c:pt idx="11">
                  <c:v>Sep</c:v>
                </c:pt>
                <c:pt idx="12">
                  <c:v>Oct</c:v>
                </c:pt>
                <c:pt idx="13">
                  <c:v>Nov</c:v>
                </c:pt>
                <c:pt idx="14">
                  <c:v>Dec</c:v>
                </c:pt>
              </c:strCache>
            </c:strRef>
          </c:cat>
          <c:val>
            <c:numRef>
              <c:f>'Rec Use'!$B$13:$P$13</c:f>
              <c:numCache>
                <c:formatCode>General</c:formatCode>
                <c:ptCount val="15"/>
                <c:pt idx="0">
                  <c:v>0</c:v>
                </c:pt>
                <c:pt idx="1">
                  <c:v>0</c:v>
                </c:pt>
                <c:pt idx="2">
                  <c:v>0</c:v>
                </c:pt>
                <c:pt idx="3">
                  <c:v>11</c:v>
                </c:pt>
                <c:pt idx="4">
                  <c:v>11</c:v>
                </c:pt>
                <c:pt idx="5">
                  <c:v>14</c:v>
                </c:pt>
                <c:pt idx="6">
                  <c:v>14</c:v>
                </c:pt>
                <c:pt idx="7">
                  <c:v>26</c:v>
                </c:pt>
                <c:pt idx="8">
                  <c:v>25</c:v>
                </c:pt>
                <c:pt idx="9">
                  <c:v>11</c:v>
                </c:pt>
                <c:pt idx="10">
                  <c:v>17</c:v>
                </c:pt>
                <c:pt idx="11">
                  <c:v>25</c:v>
                </c:pt>
                <c:pt idx="12">
                  <c:v>9</c:v>
                </c:pt>
                <c:pt idx="13">
                  <c:v>0</c:v>
                </c:pt>
                <c:pt idx="14">
                  <c:v>0</c:v>
                </c:pt>
              </c:numCache>
            </c:numRef>
          </c:val>
          <c:smooth val="0"/>
          <c:extLst>
            <c:ext xmlns:c16="http://schemas.microsoft.com/office/drawing/2014/chart" uri="{C3380CC4-5D6E-409C-BE32-E72D297353CC}">
              <c16:uniqueId val="{00000003-95C9-4487-B617-D9573A8A21D9}"/>
            </c:ext>
          </c:extLst>
        </c:ser>
        <c:ser>
          <c:idx val="4"/>
          <c:order val="4"/>
          <c:tx>
            <c:strRef>
              <c:f>'Rec Use'!$A$14</c:f>
              <c:strCache>
                <c:ptCount val="1"/>
                <c:pt idx="0">
                  <c:v>Beach</c:v>
                </c:pt>
              </c:strCache>
            </c:strRef>
          </c:tx>
          <c:marker>
            <c:symbol val="none"/>
          </c:marker>
          <c:val>
            <c:numRef>
              <c:f>'Rec Use'!$B$14:$P$14</c:f>
              <c:numCache>
                <c:formatCode>General</c:formatCode>
                <c:ptCount val="15"/>
                <c:pt idx="0">
                  <c:v>0</c:v>
                </c:pt>
                <c:pt idx="1">
                  <c:v>0</c:v>
                </c:pt>
                <c:pt idx="2">
                  <c:v>3</c:v>
                </c:pt>
                <c:pt idx="3">
                  <c:v>3</c:v>
                </c:pt>
                <c:pt idx="4">
                  <c:v>16</c:v>
                </c:pt>
                <c:pt idx="5">
                  <c:v>17</c:v>
                </c:pt>
                <c:pt idx="6">
                  <c:v>50</c:v>
                </c:pt>
                <c:pt idx="7">
                  <c:v>100</c:v>
                </c:pt>
                <c:pt idx="8">
                  <c:v>100</c:v>
                </c:pt>
                <c:pt idx="9">
                  <c:v>35</c:v>
                </c:pt>
                <c:pt idx="10">
                  <c:v>25</c:v>
                </c:pt>
                <c:pt idx="11">
                  <c:v>9</c:v>
                </c:pt>
                <c:pt idx="12">
                  <c:v>1</c:v>
                </c:pt>
                <c:pt idx="13">
                  <c:v>0</c:v>
                </c:pt>
                <c:pt idx="14">
                  <c:v>0</c:v>
                </c:pt>
              </c:numCache>
            </c:numRef>
          </c:val>
          <c:smooth val="0"/>
          <c:extLst>
            <c:ext xmlns:c16="http://schemas.microsoft.com/office/drawing/2014/chart" uri="{C3380CC4-5D6E-409C-BE32-E72D297353CC}">
              <c16:uniqueId val="{00000004-95C9-4487-B617-D9573A8A21D9}"/>
            </c:ext>
          </c:extLst>
        </c:ser>
        <c:dLbls>
          <c:showLegendKey val="0"/>
          <c:showVal val="0"/>
          <c:showCatName val="0"/>
          <c:showSerName val="0"/>
          <c:showPercent val="0"/>
          <c:showBubbleSize val="0"/>
        </c:dLbls>
        <c:smooth val="0"/>
        <c:axId val="139335168"/>
        <c:axId val="139336704"/>
      </c:lineChart>
      <c:catAx>
        <c:axId val="139335168"/>
        <c:scaling>
          <c:orientation val="minMax"/>
        </c:scaling>
        <c:delete val="0"/>
        <c:axPos val="b"/>
        <c:numFmt formatCode="[$-409]mmm\-yy;@" sourceLinked="0"/>
        <c:majorTickMark val="out"/>
        <c:minorTickMark val="none"/>
        <c:tickLblPos val="nextTo"/>
        <c:crossAx val="139336704"/>
        <c:crosses val="autoZero"/>
        <c:auto val="1"/>
        <c:lblAlgn val="ctr"/>
        <c:lblOffset val="100"/>
        <c:noMultiLvlLbl val="0"/>
      </c:catAx>
      <c:valAx>
        <c:axId val="139336704"/>
        <c:scaling>
          <c:orientation val="minMax"/>
        </c:scaling>
        <c:delete val="0"/>
        <c:axPos val="l"/>
        <c:majorGridlines/>
        <c:numFmt formatCode="General" sourceLinked="1"/>
        <c:majorTickMark val="out"/>
        <c:minorTickMark val="none"/>
        <c:tickLblPos val="nextTo"/>
        <c:crossAx val="139335168"/>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plotArea>
    <c:legend>
      <c:legendPos val="r"/>
      <c:layout>
        <c:manualLayout>
          <c:xMode val="edge"/>
          <c:yMode val="edge"/>
          <c:x val="0.65354227442883683"/>
          <c:y val="5.2618847301621537E-2"/>
          <c:w val="0.29058333333333336"/>
          <c:h val="0.25616506270049577"/>
        </c:manualLayout>
      </c:layout>
      <c:overlay val="0"/>
      <c:spPr>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c:spPr>
    </c:legend>
    <c:plotVisOnly val="1"/>
    <c:dispBlanksAs val="gap"/>
    <c:showDLblsOverMax val="0"/>
  </c:chart>
  <c:printSettings>
    <c:headerFooter/>
    <c:pageMargins b="0.75000000000001465" l="0.70000000000000062" r="0.70000000000000062" t="0.75000000000001465"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Daily Use Estimates for Week-Days 2012</a:t>
            </a:r>
          </a:p>
        </c:rich>
      </c:tx>
      <c:overlay val="1"/>
    </c:title>
    <c:autoTitleDeleted val="0"/>
    <c:plotArea>
      <c:layout>
        <c:manualLayout>
          <c:layoutTarget val="inner"/>
          <c:xMode val="edge"/>
          <c:yMode val="edge"/>
          <c:x val="9.8571741032371027E-2"/>
          <c:y val="0.13399639204391744"/>
          <c:w val="0.86084492563431758"/>
          <c:h val="0.68942559171254036"/>
        </c:manualLayout>
      </c:layout>
      <c:lineChart>
        <c:grouping val="standard"/>
        <c:varyColors val="0"/>
        <c:ser>
          <c:idx val="0"/>
          <c:order val="0"/>
          <c:tx>
            <c:strRef>
              <c:f>'Rec Use'!$S$4</c:f>
              <c:strCache>
                <c:ptCount val="1"/>
                <c:pt idx="0">
                  <c:v>Walking/ Running </c:v>
                </c:pt>
              </c:strCache>
            </c:strRef>
          </c:tx>
          <c:marker>
            <c:symbol val="none"/>
          </c:marker>
          <c:cat>
            <c:strRef>
              <c:f>'Rec Use'!$T$2:$AE$2</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'Rec Use'!$T$4:$AE$4</c:f>
              <c:numCache>
                <c:formatCode>General</c:formatCode>
                <c:ptCount val="12"/>
                <c:pt idx="0">
                  <c:v>73.5</c:v>
                </c:pt>
                <c:pt idx="1">
                  <c:v>66</c:v>
                </c:pt>
                <c:pt idx="2" formatCode="0">
                  <c:v>39</c:v>
                </c:pt>
                <c:pt idx="3" formatCode="0">
                  <c:v>34.5</c:v>
                </c:pt>
                <c:pt idx="4" formatCode="0">
                  <c:v>28.5</c:v>
                </c:pt>
                <c:pt idx="5" formatCode="0">
                  <c:v>25.5</c:v>
                </c:pt>
                <c:pt idx="6" formatCode="0">
                  <c:v>49.5</c:v>
                </c:pt>
                <c:pt idx="7" formatCode="0">
                  <c:v>53.25</c:v>
                </c:pt>
                <c:pt idx="8" formatCode="0">
                  <c:v>63</c:v>
                </c:pt>
                <c:pt idx="9" formatCode="0">
                  <c:v>25.5</c:v>
                </c:pt>
                <c:pt idx="10" formatCode="0">
                  <c:v>31.5</c:v>
                </c:pt>
                <c:pt idx="11">
                  <c:v>48</c:v>
                </c:pt>
              </c:numCache>
            </c:numRef>
          </c:val>
          <c:smooth val="0"/>
          <c:extLst>
            <c:ext xmlns:c16="http://schemas.microsoft.com/office/drawing/2014/chart" uri="{C3380CC4-5D6E-409C-BE32-E72D297353CC}">
              <c16:uniqueId val="{00000000-A64F-4559-A34A-7A625D36BB0D}"/>
            </c:ext>
          </c:extLst>
        </c:ser>
        <c:ser>
          <c:idx val="1"/>
          <c:order val="1"/>
          <c:tx>
            <c:strRef>
              <c:f>'Rec Use'!$S$7</c:f>
              <c:strCache>
                <c:ptCount val="1"/>
                <c:pt idx="0">
                  <c:v>Bicycle</c:v>
                </c:pt>
              </c:strCache>
            </c:strRef>
          </c:tx>
          <c:marker>
            <c:symbol val="none"/>
          </c:marker>
          <c:val>
            <c:numRef>
              <c:f>'Rec Use'!$T$7:$AE$7</c:f>
              <c:numCache>
                <c:formatCode>General</c:formatCode>
                <c:ptCount val="12"/>
                <c:pt idx="0">
                  <c:v>6</c:v>
                </c:pt>
                <c:pt idx="1">
                  <c:v>18</c:v>
                </c:pt>
                <c:pt idx="2" formatCode="0">
                  <c:v>43.5</c:v>
                </c:pt>
                <c:pt idx="3" formatCode="0">
                  <c:v>64.5</c:v>
                </c:pt>
                <c:pt idx="4" formatCode="0">
                  <c:v>138</c:v>
                </c:pt>
                <c:pt idx="5" formatCode="0">
                  <c:v>94.5</c:v>
                </c:pt>
                <c:pt idx="6" formatCode="0">
                  <c:v>50.25</c:v>
                </c:pt>
                <c:pt idx="7" formatCode="0">
                  <c:v>67.5</c:v>
                </c:pt>
                <c:pt idx="8" formatCode="0">
                  <c:v>53.25</c:v>
                </c:pt>
                <c:pt idx="9" formatCode="0">
                  <c:v>36</c:v>
                </c:pt>
                <c:pt idx="10" formatCode="0">
                  <c:v>4.5</c:v>
                </c:pt>
                <c:pt idx="11">
                  <c:v>18</c:v>
                </c:pt>
              </c:numCache>
            </c:numRef>
          </c:val>
          <c:smooth val="0"/>
          <c:extLst>
            <c:ext xmlns:c16="http://schemas.microsoft.com/office/drawing/2014/chart" uri="{C3380CC4-5D6E-409C-BE32-E72D297353CC}">
              <c16:uniqueId val="{00000001-A64F-4559-A34A-7A625D36BB0D}"/>
            </c:ext>
          </c:extLst>
        </c:ser>
        <c:ser>
          <c:idx val="2"/>
          <c:order val="2"/>
          <c:tx>
            <c:strRef>
              <c:f>'Rec Use'!$S$11</c:f>
              <c:strCache>
                <c:ptCount val="1"/>
                <c:pt idx="0">
                  <c:v>Fishing</c:v>
                </c:pt>
              </c:strCache>
            </c:strRef>
          </c:tx>
          <c:marker>
            <c:symbol val="none"/>
          </c:marker>
          <c:val>
            <c:numRef>
              <c:f>'Rec Use'!$T$11:$AE$11</c:f>
              <c:numCache>
                <c:formatCode>General</c:formatCode>
                <c:ptCount val="12"/>
                <c:pt idx="0">
                  <c:v>25.5</c:v>
                </c:pt>
                <c:pt idx="1">
                  <c:v>25.5</c:v>
                </c:pt>
                <c:pt idx="2" formatCode="0">
                  <c:v>57</c:v>
                </c:pt>
                <c:pt idx="3" formatCode="0">
                  <c:v>64.5</c:v>
                </c:pt>
                <c:pt idx="4" formatCode="0">
                  <c:v>115.5</c:v>
                </c:pt>
                <c:pt idx="5" formatCode="0">
                  <c:v>51</c:v>
                </c:pt>
                <c:pt idx="6" formatCode="0">
                  <c:v>42</c:v>
                </c:pt>
                <c:pt idx="7" formatCode="0">
                  <c:v>34.5</c:v>
                </c:pt>
                <c:pt idx="8" formatCode="0">
                  <c:v>35.25</c:v>
                </c:pt>
                <c:pt idx="9" formatCode="0">
                  <c:v>30</c:v>
                </c:pt>
                <c:pt idx="10" formatCode="0">
                  <c:v>27</c:v>
                </c:pt>
                <c:pt idx="11">
                  <c:v>19.5</c:v>
                </c:pt>
              </c:numCache>
            </c:numRef>
          </c:val>
          <c:smooth val="0"/>
          <c:extLst>
            <c:ext xmlns:c16="http://schemas.microsoft.com/office/drawing/2014/chart" uri="{C3380CC4-5D6E-409C-BE32-E72D297353CC}">
              <c16:uniqueId val="{00000002-A64F-4559-A34A-7A625D36BB0D}"/>
            </c:ext>
          </c:extLst>
        </c:ser>
        <c:dLbls>
          <c:showLegendKey val="0"/>
          <c:showVal val="0"/>
          <c:showCatName val="0"/>
          <c:showSerName val="0"/>
          <c:showPercent val="0"/>
          <c:showBubbleSize val="0"/>
        </c:dLbls>
        <c:smooth val="0"/>
        <c:axId val="139386880"/>
        <c:axId val="139388416"/>
      </c:lineChart>
      <c:catAx>
        <c:axId val="139386880"/>
        <c:scaling>
          <c:orientation val="minMax"/>
        </c:scaling>
        <c:delete val="0"/>
        <c:axPos val="b"/>
        <c:numFmt formatCode="General" sourceLinked="0"/>
        <c:majorTickMark val="out"/>
        <c:minorTickMark val="none"/>
        <c:tickLblPos val="nextTo"/>
        <c:crossAx val="139388416"/>
        <c:crosses val="autoZero"/>
        <c:auto val="1"/>
        <c:lblAlgn val="ctr"/>
        <c:lblOffset val="100"/>
        <c:noMultiLvlLbl val="0"/>
      </c:catAx>
      <c:valAx>
        <c:axId val="139388416"/>
        <c:scaling>
          <c:orientation val="minMax"/>
        </c:scaling>
        <c:delete val="0"/>
        <c:axPos val="l"/>
        <c:majorGridlines/>
        <c:numFmt formatCode="General" sourceLinked="1"/>
        <c:majorTickMark val="out"/>
        <c:minorTickMark val="none"/>
        <c:tickLblPos val="nextTo"/>
        <c:crossAx val="139386880"/>
        <c:crosses val="autoZero"/>
        <c:crossBetween val="between"/>
      </c:valAx>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lotArea>
    <c:legend>
      <c:legendPos val="r"/>
      <c:layout>
        <c:manualLayout>
          <c:xMode val="edge"/>
          <c:yMode val="edge"/>
          <c:x val="0.70992172166162515"/>
          <c:y val="0.12787663219893475"/>
          <c:w val="0.24757260181187024"/>
          <c:h val="0.18238338423917441"/>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1465" l="0.70000000000000062" r="0.70000000000000062" t="0.75000000000001465" header="0.30000000000000032" footer="0.30000000000000032"/>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Transition Water Temperature July </a:t>
            </a:r>
          </a:p>
        </c:rich>
      </c:tx>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itle>
    <c:autoTitleDeleted val="0"/>
    <c:plotArea>
      <c:layout/>
      <c:lineChart>
        <c:grouping val="standard"/>
        <c:varyColors val="0"/>
        <c:ser>
          <c:idx val="0"/>
          <c:order val="0"/>
          <c:tx>
            <c:strRef>
              <c:f>Transition!$F$3</c:f>
              <c:strCache>
                <c:ptCount val="1"/>
                <c:pt idx="0">
                  <c:v>Temperature (c)</c:v>
                </c:pt>
              </c:strCache>
            </c:strRef>
          </c:tx>
          <c:spPr>
            <a:ln w="50800"/>
          </c:spPr>
          <c:marker>
            <c:symbol val="none"/>
          </c:marker>
          <c:cat>
            <c:strRef>
              <c:f>Transition!$B$4:$B$16</c:f>
              <c:strCache>
                <c:ptCount val="13"/>
                <c:pt idx="0">
                  <c:v>Summit Lake </c:v>
                </c:pt>
                <c:pt idx="1">
                  <c:v>Below Summit Lake </c:v>
                </c:pt>
                <c:pt idx="2">
                  <c:v>Bear Tracks</c:v>
                </c:pt>
                <c:pt idx="3">
                  <c:v>Singin' River Ranch </c:v>
                </c:pt>
                <c:pt idx="4">
                  <c:v>Above Evergreen Lake </c:v>
                </c:pt>
                <c:pt idx="5">
                  <c:v>Downtown Evergreen</c:v>
                </c:pt>
                <c:pt idx="6">
                  <c:v>Bear Creek Cabins </c:v>
                </c:pt>
                <c:pt idx="7">
                  <c:v>O'Fallon Park</c:v>
                </c:pt>
                <c:pt idx="8">
                  <c:v>Lair o' the Bear</c:v>
                </c:pt>
                <c:pt idx="9">
                  <c:v>Idledale</c:v>
                </c:pt>
                <c:pt idx="10">
                  <c:v>Morrison </c:v>
                </c:pt>
                <c:pt idx="11">
                  <c:v>Bear Creek Park</c:v>
                </c:pt>
                <c:pt idx="12">
                  <c:v>Below Reservoir</c:v>
                </c:pt>
              </c:strCache>
            </c:strRef>
          </c:cat>
          <c:val>
            <c:numRef>
              <c:f>Transition!$F$4:$F$16</c:f>
              <c:numCache>
                <c:formatCode>General</c:formatCode>
                <c:ptCount val="13"/>
                <c:pt idx="0">
                  <c:v>7.9</c:v>
                </c:pt>
                <c:pt idx="1">
                  <c:v>7.9</c:v>
                </c:pt>
                <c:pt idx="2">
                  <c:v>10.38</c:v>
                </c:pt>
                <c:pt idx="3">
                  <c:v>8.9</c:v>
                </c:pt>
                <c:pt idx="4">
                  <c:v>11.4</c:v>
                </c:pt>
                <c:pt idx="5">
                  <c:v>14.8</c:v>
                </c:pt>
                <c:pt idx="6">
                  <c:v>15.2</c:v>
                </c:pt>
                <c:pt idx="7">
                  <c:v>15.3</c:v>
                </c:pt>
                <c:pt idx="8">
                  <c:v>15.2</c:v>
                </c:pt>
                <c:pt idx="9">
                  <c:v>15.2</c:v>
                </c:pt>
                <c:pt idx="10">
                  <c:v>15.2</c:v>
                </c:pt>
                <c:pt idx="11">
                  <c:v>16.87</c:v>
                </c:pt>
                <c:pt idx="12">
                  <c:v>22.48</c:v>
                </c:pt>
              </c:numCache>
            </c:numRef>
          </c:val>
          <c:smooth val="0"/>
          <c:extLst>
            <c:ext xmlns:c16="http://schemas.microsoft.com/office/drawing/2014/chart" uri="{C3380CC4-5D6E-409C-BE32-E72D297353CC}">
              <c16:uniqueId val="{00000000-7C59-49DA-89E4-91431396492D}"/>
            </c:ext>
          </c:extLst>
        </c:ser>
        <c:dLbls>
          <c:showLegendKey val="0"/>
          <c:showVal val="0"/>
          <c:showCatName val="0"/>
          <c:showSerName val="0"/>
          <c:showPercent val="0"/>
          <c:showBubbleSize val="0"/>
        </c:dLbls>
        <c:smooth val="0"/>
        <c:axId val="139446144"/>
        <c:axId val="139447680"/>
      </c:lineChart>
      <c:catAx>
        <c:axId val="139446144"/>
        <c:scaling>
          <c:orientation val="minMax"/>
        </c:scaling>
        <c:delete val="0"/>
        <c:axPos val="b"/>
        <c:numFmt formatCode="General" sourceLinked="0"/>
        <c:majorTickMark val="none"/>
        <c:minorTickMark val="none"/>
        <c:tickLblPos val="nextTo"/>
        <c:crossAx val="139447680"/>
        <c:crosses val="autoZero"/>
        <c:auto val="1"/>
        <c:lblAlgn val="ctr"/>
        <c:lblOffset val="100"/>
        <c:noMultiLvlLbl val="0"/>
      </c:catAx>
      <c:valAx>
        <c:axId val="139447680"/>
        <c:scaling>
          <c:orientation val="minMax"/>
        </c:scaling>
        <c:delete val="0"/>
        <c:axPos val="l"/>
        <c:majorGridlines/>
        <c:minorGridlines/>
        <c:numFmt formatCode="General" sourceLinked="1"/>
        <c:majorTickMark val="none"/>
        <c:minorTickMark val="none"/>
        <c:tickLblPos val="nextTo"/>
        <c:spPr>
          <a:ln w="9525">
            <a:noFill/>
          </a:ln>
        </c:spPr>
        <c:crossAx val="139446144"/>
        <c:crosses val="autoZero"/>
        <c:crossBetween val="between"/>
      </c:valAx>
    </c:plotArea>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332" l="0.70000000000000062" r="0.70000000000000062" t="0.75000000000001332"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Transition Water Quality July </a:t>
            </a:r>
          </a:p>
        </c:rich>
      </c:tx>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itle>
    <c:autoTitleDeleted val="0"/>
    <c:plotArea>
      <c:layout/>
      <c:lineChart>
        <c:grouping val="standard"/>
        <c:varyColors val="0"/>
        <c:ser>
          <c:idx val="0"/>
          <c:order val="0"/>
          <c:tx>
            <c:strRef>
              <c:f>Transition!$C$3</c:f>
              <c:strCache>
                <c:ptCount val="1"/>
                <c:pt idx="0">
                  <c:v>Flow (cfs)</c:v>
                </c:pt>
              </c:strCache>
            </c:strRef>
          </c:tx>
          <c:marker>
            <c:symbol val="none"/>
          </c:marker>
          <c:cat>
            <c:strRef>
              <c:f>Transition!$B$4:$B$16</c:f>
              <c:strCache>
                <c:ptCount val="13"/>
                <c:pt idx="0">
                  <c:v>Summit Lake </c:v>
                </c:pt>
                <c:pt idx="1">
                  <c:v>Below Summit Lake </c:v>
                </c:pt>
                <c:pt idx="2">
                  <c:v>Bear Tracks</c:v>
                </c:pt>
                <c:pt idx="3">
                  <c:v>Singin' River Ranch </c:v>
                </c:pt>
                <c:pt idx="4">
                  <c:v>Above Evergreen Lake </c:v>
                </c:pt>
                <c:pt idx="5">
                  <c:v>Downtown Evergreen</c:v>
                </c:pt>
                <c:pt idx="6">
                  <c:v>Bear Creek Cabins </c:v>
                </c:pt>
                <c:pt idx="7">
                  <c:v>O'Fallon Park</c:v>
                </c:pt>
                <c:pt idx="8">
                  <c:v>Lair o' the Bear</c:v>
                </c:pt>
                <c:pt idx="9">
                  <c:v>Idledale</c:v>
                </c:pt>
                <c:pt idx="10">
                  <c:v>Morrison </c:v>
                </c:pt>
                <c:pt idx="11">
                  <c:v>Bear Creek Park</c:v>
                </c:pt>
                <c:pt idx="12">
                  <c:v>Below Reservoir</c:v>
                </c:pt>
              </c:strCache>
            </c:strRef>
          </c:cat>
          <c:val>
            <c:numRef>
              <c:f>Transition!$C$4:$C$16</c:f>
              <c:numCache>
                <c:formatCode>General</c:formatCode>
                <c:ptCount val="13"/>
                <c:pt idx="0">
                  <c:v>3</c:v>
                </c:pt>
                <c:pt idx="1">
                  <c:v>3.1</c:v>
                </c:pt>
                <c:pt idx="2">
                  <c:v>17.600000000000001</c:v>
                </c:pt>
                <c:pt idx="3">
                  <c:v>39.299999999999997</c:v>
                </c:pt>
                <c:pt idx="4">
                  <c:v>49.5</c:v>
                </c:pt>
                <c:pt idx="5">
                  <c:v>62.2</c:v>
                </c:pt>
                <c:pt idx="6">
                  <c:v>63</c:v>
                </c:pt>
                <c:pt idx="7">
                  <c:v>52.4</c:v>
                </c:pt>
                <c:pt idx="8">
                  <c:v>63</c:v>
                </c:pt>
                <c:pt idx="9">
                  <c:v>74.099999999999994</c:v>
                </c:pt>
                <c:pt idx="10">
                  <c:v>67.8</c:v>
                </c:pt>
                <c:pt idx="11">
                  <c:v>22.2</c:v>
                </c:pt>
                <c:pt idx="12">
                  <c:v>24.2</c:v>
                </c:pt>
              </c:numCache>
            </c:numRef>
          </c:val>
          <c:smooth val="0"/>
          <c:extLst>
            <c:ext xmlns:c16="http://schemas.microsoft.com/office/drawing/2014/chart" uri="{C3380CC4-5D6E-409C-BE32-E72D297353CC}">
              <c16:uniqueId val="{00000000-9329-4500-87B6-A0494D242778}"/>
            </c:ext>
          </c:extLst>
        </c:ser>
        <c:ser>
          <c:idx val="1"/>
          <c:order val="1"/>
          <c:tx>
            <c:strRef>
              <c:f>Transition!$K$3</c:f>
              <c:strCache>
                <c:ptCount val="1"/>
                <c:pt idx="0">
                  <c:v>Total Phosphorus (ug/l)</c:v>
                </c:pt>
              </c:strCache>
            </c:strRef>
          </c:tx>
          <c:marker>
            <c:symbol val="none"/>
          </c:marker>
          <c:val>
            <c:numRef>
              <c:f>Transition!$L$4:$L$16</c:f>
              <c:numCache>
                <c:formatCode>General</c:formatCode>
                <c:ptCount val="13"/>
                <c:pt idx="0">
                  <c:v>5</c:v>
                </c:pt>
                <c:pt idx="1">
                  <c:v>13</c:v>
                </c:pt>
                <c:pt idx="2">
                  <c:v>5</c:v>
                </c:pt>
                <c:pt idx="3">
                  <c:v>8</c:v>
                </c:pt>
                <c:pt idx="4">
                  <c:v>14</c:v>
                </c:pt>
                <c:pt idx="5">
                  <c:v>19</c:v>
                </c:pt>
                <c:pt idx="6">
                  <c:v>19</c:v>
                </c:pt>
                <c:pt idx="7">
                  <c:v>23</c:v>
                </c:pt>
                <c:pt idx="8">
                  <c:v>30</c:v>
                </c:pt>
                <c:pt idx="9">
                  <c:v>31</c:v>
                </c:pt>
                <c:pt idx="10">
                  <c:v>43</c:v>
                </c:pt>
                <c:pt idx="11">
                  <c:v>32</c:v>
                </c:pt>
                <c:pt idx="12">
                  <c:v>42</c:v>
                </c:pt>
              </c:numCache>
            </c:numRef>
          </c:val>
          <c:smooth val="0"/>
          <c:extLst>
            <c:ext xmlns:c16="http://schemas.microsoft.com/office/drawing/2014/chart" uri="{C3380CC4-5D6E-409C-BE32-E72D297353CC}">
              <c16:uniqueId val="{00000001-9329-4500-87B6-A0494D242778}"/>
            </c:ext>
          </c:extLst>
        </c:ser>
        <c:dLbls>
          <c:showLegendKey val="0"/>
          <c:showVal val="0"/>
          <c:showCatName val="0"/>
          <c:showSerName val="0"/>
          <c:showPercent val="0"/>
          <c:showBubbleSize val="0"/>
        </c:dLbls>
        <c:smooth val="0"/>
        <c:axId val="139562368"/>
        <c:axId val="139580544"/>
      </c:lineChart>
      <c:catAx>
        <c:axId val="139562368"/>
        <c:scaling>
          <c:orientation val="minMax"/>
        </c:scaling>
        <c:delete val="0"/>
        <c:axPos val="b"/>
        <c:numFmt formatCode="General" sourceLinked="0"/>
        <c:majorTickMark val="none"/>
        <c:minorTickMark val="none"/>
        <c:tickLblPos val="nextTo"/>
        <c:crossAx val="139580544"/>
        <c:crosses val="autoZero"/>
        <c:auto val="1"/>
        <c:lblAlgn val="ctr"/>
        <c:lblOffset val="100"/>
        <c:noMultiLvlLbl val="0"/>
      </c:catAx>
      <c:valAx>
        <c:axId val="139580544"/>
        <c:scaling>
          <c:orientation val="minMax"/>
        </c:scaling>
        <c:delete val="0"/>
        <c:axPos val="l"/>
        <c:majorGridlines/>
        <c:minorGridlines/>
        <c:numFmt formatCode="General" sourceLinked="1"/>
        <c:majorTickMark val="none"/>
        <c:minorTickMark val="none"/>
        <c:tickLblPos val="nextTo"/>
        <c:spPr>
          <a:ln w="9525">
            <a:noFill/>
          </a:ln>
        </c:spPr>
        <c:crossAx val="139562368"/>
        <c:crosses val="autoZero"/>
        <c:crossBetween val="between"/>
      </c:valAx>
    </c:plotArea>
    <c:legend>
      <c:legendPos val="b"/>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spPr>
    <a:gradFill>
      <a:gsLst>
        <a:gs pos="0">
          <a:srgbClr val="92D050"/>
        </a:gs>
        <a:gs pos="50000">
          <a:srgbClr val="4F81BD">
            <a:tint val="44500"/>
            <a:satMod val="160000"/>
          </a:srgbClr>
        </a:gs>
        <a:gs pos="100000">
          <a:srgbClr val="4F81BD">
            <a:tint val="23500"/>
            <a:satMod val="160000"/>
          </a:srgbClr>
        </a:gs>
      </a:gsLst>
      <a:lin ang="5400000" scaled="0"/>
    </a:gradFill>
    <a:ln>
      <a:noFill/>
    </a:ln>
  </c:spPr>
  <c:printSettings>
    <c:headerFooter/>
    <c:pageMargins b="0.75000000000001332" l="0.70000000000000062" r="0.70000000000000062" t="0.75000000000001332"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Transition Water Quality July 2010</a:t>
            </a:r>
          </a:p>
        </c:rich>
      </c:tx>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itle>
    <c:autoTitleDeleted val="0"/>
    <c:plotArea>
      <c:layout/>
      <c:lineChart>
        <c:grouping val="standard"/>
        <c:varyColors val="0"/>
        <c:ser>
          <c:idx val="0"/>
          <c:order val="0"/>
          <c:tx>
            <c:strRef>
              <c:f>Transition!$I$3</c:f>
              <c:strCache>
                <c:ptCount val="1"/>
                <c:pt idx="0">
                  <c:v>Nitrate-Nitrogen (ug/l)</c:v>
                </c:pt>
              </c:strCache>
            </c:strRef>
          </c:tx>
          <c:marker>
            <c:symbol val="none"/>
          </c:marker>
          <c:cat>
            <c:strRef>
              <c:f>Transition!$B$4:$B$16</c:f>
              <c:strCache>
                <c:ptCount val="13"/>
                <c:pt idx="0">
                  <c:v>Summit Lake </c:v>
                </c:pt>
                <c:pt idx="1">
                  <c:v>Below Summit Lake </c:v>
                </c:pt>
                <c:pt idx="2">
                  <c:v>Bear Tracks</c:v>
                </c:pt>
                <c:pt idx="3">
                  <c:v>Singin' River Ranch </c:v>
                </c:pt>
                <c:pt idx="4">
                  <c:v>Above Evergreen Lake </c:v>
                </c:pt>
                <c:pt idx="5">
                  <c:v>Downtown Evergreen</c:v>
                </c:pt>
                <c:pt idx="6">
                  <c:v>Bear Creek Cabins </c:v>
                </c:pt>
                <c:pt idx="7">
                  <c:v>O'Fallon Park</c:v>
                </c:pt>
                <c:pt idx="8">
                  <c:v>Lair o' the Bear</c:v>
                </c:pt>
                <c:pt idx="9">
                  <c:v>Idledale</c:v>
                </c:pt>
                <c:pt idx="10">
                  <c:v>Morrison </c:v>
                </c:pt>
                <c:pt idx="11">
                  <c:v>Bear Creek Park</c:v>
                </c:pt>
                <c:pt idx="12">
                  <c:v>Below Reservoir</c:v>
                </c:pt>
              </c:strCache>
            </c:strRef>
          </c:cat>
          <c:val>
            <c:numRef>
              <c:f>Transition!$I$4:$I$16</c:f>
              <c:numCache>
                <c:formatCode>General</c:formatCode>
                <c:ptCount val="13"/>
                <c:pt idx="0">
                  <c:v>3</c:v>
                </c:pt>
                <c:pt idx="1">
                  <c:v>24</c:v>
                </c:pt>
                <c:pt idx="2">
                  <c:v>57</c:v>
                </c:pt>
                <c:pt idx="3">
                  <c:v>38</c:v>
                </c:pt>
                <c:pt idx="4">
                  <c:v>23</c:v>
                </c:pt>
                <c:pt idx="5">
                  <c:v>19</c:v>
                </c:pt>
                <c:pt idx="6">
                  <c:v>61</c:v>
                </c:pt>
                <c:pt idx="7">
                  <c:v>121</c:v>
                </c:pt>
                <c:pt idx="8">
                  <c:v>201</c:v>
                </c:pt>
                <c:pt idx="9">
                  <c:v>208</c:v>
                </c:pt>
                <c:pt idx="10">
                  <c:v>168</c:v>
                </c:pt>
                <c:pt idx="11">
                  <c:v>599</c:v>
                </c:pt>
                <c:pt idx="12">
                  <c:v>224</c:v>
                </c:pt>
              </c:numCache>
            </c:numRef>
          </c:val>
          <c:smooth val="0"/>
          <c:extLst>
            <c:ext xmlns:c16="http://schemas.microsoft.com/office/drawing/2014/chart" uri="{C3380CC4-5D6E-409C-BE32-E72D297353CC}">
              <c16:uniqueId val="{00000000-09CE-4CA1-A50F-181C35A128C3}"/>
            </c:ext>
          </c:extLst>
        </c:ser>
        <c:ser>
          <c:idx val="1"/>
          <c:order val="1"/>
          <c:tx>
            <c:strRef>
              <c:f>Transition!$H$3</c:f>
              <c:strCache>
                <c:ptCount val="1"/>
                <c:pt idx="0">
                  <c:v>Total Nitrogen (ug/l)</c:v>
                </c:pt>
              </c:strCache>
            </c:strRef>
          </c:tx>
          <c:marker>
            <c:symbol val="none"/>
          </c:marker>
          <c:cat>
            <c:strRef>
              <c:f>Transition!$B$4:$B$16</c:f>
              <c:strCache>
                <c:ptCount val="13"/>
                <c:pt idx="0">
                  <c:v>Summit Lake </c:v>
                </c:pt>
                <c:pt idx="1">
                  <c:v>Below Summit Lake </c:v>
                </c:pt>
                <c:pt idx="2">
                  <c:v>Bear Tracks</c:v>
                </c:pt>
                <c:pt idx="3">
                  <c:v>Singin' River Ranch </c:v>
                </c:pt>
                <c:pt idx="4">
                  <c:v>Above Evergreen Lake </c:v>
                </c:pt>
                <c:pt idx="5">
                  <c:v>Downtown Evergreen</c:v>
                </c:pt>
                <c:pt idx="6">
                  <c:v>Bear Creek Cabins </c:v>
                </c:pt>
                <c:pt idx="7">
                  <c:v>O'Fallon Park</c:v>
                </c:pt>
                <c:pt idx="8">
                  <c:v>Lair o' the Bear</c:v>
                </c:pt>
                <c:pt idx="9">
                  <c:v>Idledale</c:v>
                </c:pt>
                <c:pt idx="10">
                  <c:v>Morrison </c:v>
                </c:pt>
                <c:pt idx="11">
                  <c:v>Bear Creek Park</c:v>
                </c:pt>
                <c:pt idx="12">
                  <c:v>Below Reservoir</c:v>
                </c:pt>
              </c:strCache>
            </c:strRef>
          </c:cat>
          <c:val>
            <c:numRef>
              <c:f>Transition!$H$4:$H$16</c:f>
              <c:numCache>
                <c:formatCode>General</c:formatCode>
                <c:ptCount val="13"/>
                <c:pt idx="0">
                  <c:v>237</c:v>
                </c:pt>
                <c:pt idx="1">
                  <c:v>211</c:v>
                </c:pt>
                <c:pt idx="2">
                  <c:v>169</c:v>
                </c:pt>
                <c:pt idx="11">
                  <c:v>932</c:v>
                </c:pt>
                <c:pt idx="12">
                  <c:v>568</c:v>
                </c:pt>
              </c:numCache>
            </c:numRef>
          </c:val>
          <c:smooth val="0"/>
          <c:extLst>
            <c:ext xmlns:c16="http://schemas.microsoft.com/office/drawing/2014/chart" uri="{C3380CC4-5D6E-409C-BE32-E72D297353CC}">
              <c16:uniqueId val="{00000001-09CE-4CA1-A50F-181C35A128C3}"/>
            </c:ext>
          </c:extLst>
        </c:ser>
        <c:dLbls>
          <c:showLegendKey val="0"/>
          <c:showVal val="0"/>
          <c:showCatName val="0"/>
          <c:showSerName val="0"/>
          <c:showPercent val="0"/>
          <c:showBubbleSize val="0"/>
        </c:dLbls>
        <c:smooth val="0"/>
        <c:axId val="139802112"/>
        <c:axId val="139803648"/>
      </c:lineChart>
      <c:catAx>
        <c:axId val="139802112"/>
        <c:scaling>
          <c:orientation val="minMax"/>
        </c:scaling>
        <c:delete val="0"/>
        <c:axPos val="b"/>
        <c:numFmt formatCode="General" sourceLinked="0"/>
        <c:majorTickMark val="none"/>
        <c:minorTickMark val="none"/>
        <c:tickLblPos val="nextTo"/>
        <c:crossAx val="139803648"/>
        <c:crosses val="autoZero"/>
        <c:auto val="1"/>
        <c:lblAlgn val="ctr"/>
        <c:lblOffset val="100"/>
        <c:noMultiLvlLbl val="0"/>
      </c:catAx>
      <c:valAx>
        <c:axId val="139803648"/>
        <c:scaling>
          <c:orientation val="minMax"/>
        </c:scaling>
        <c:delete val="0"/>
        <c:axPos val="l"/>
        <c:majorGridlines/>
        <c:minorGridlines/>
        <c:numFmt formatCode="General" sourceLinked="1"/>
        <c:majorTickMark val="none"/>
        <c:minorTickMark val="none"/>
        <c:tickLblPos val="nextTo"/>
        <c:spPr>
          <a:ln w="9525">
            <a:noFill/>
          </a:ln>
        </c:spPr>
        <c:crossAx val="139802112"/>
        <c:crosses val="autoZero"/>
        <c:crossBetween val="between"/>
      </c:valAx>
    </c:plotArea>
    <c:legend>
      <c:legendPos val="b"/>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1332" l="0.70000000000000062" r="0.70000000000000062" t="0.75000000000001332"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Transition Water Quality July 2010</a:t>
            </a:r>
          </a:p>
        </c:rich>
      </c:tx>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itle>
    <c:autoTitleDeleted val="0"/>
    <c:plotArea>
      <c:layout/>
      <c:lineChart>
        <c:grouping val="standard"/>
        <c:varyColors val="0"/>
        <c:ser>
          <c:idx val="0"/>
          <c:order val="0"/>
          <c:tx>
            <c:strRef>
              <c:f>Transition!$E$3</c:f>
              <c:strCache>
                <c:ptCount val="1"/>
                <c:pt idx="0">
                  <c:v>Specific Conductance (ms)</c:v>
                </c:pt>
              </c:strCache>
            </c:strRef>
          </c:tx>
          <c:marker>
            <c:symbol val="none"/>
          </c:marker>
          <c:cat>
            <c:strRef>
              <c:f>Transition!$B$4:$B$16</c:f>
              <c:strCache>
                <c:ptCount val="13"/>
                <c:pt idx="0">
                  <c:v>Summit Lake </c:v>
                </c:pt>
                <c:pt idx="1">
                  <c:v>Below Summit Lake </c:v>
                </c:pt>
                <c:pt idx="2">
                  <c:v>Bear Tracks</c:v>
                </c:pt>
                <c:pt idx="3">
                  <c:v>Singin' River Ranch </c:v>
                </c:pt>
                <c:pt idx="4">
                  <c:v>Above Evergreen Lake </c:v>
                </c:pt>
                <c:pt idx="5">
                  <c:v>Downtown Evergreen</c:v>
                </c:pt>
                <c:pt idx="6">
                  <c:v>Bear Creek Cabins </c:v>
                </c:pt>
                <c:pt idx="7">
                  <c:v>O'Fallon Park</c:v>
                </c:pt>
                <c:pt idx="8">
                  <c:v>Lair o' the Bear</c:v>
                </c:pt>
                <c:pt idx="9">
                  <c:v>Idledale</c:v>
                </c:pt>
                <c:pt idx="10">
                  <c:v>Morrison </c:v>
                </c:pt>
                <c:pt idx="11">
                  <c:v>Bear Creek Park</c:v>
                </c:pt>
                <c:pt idx="12">
                  <c:v>Below Reservoir</c:v>
                </c:pt>
              </c:strCache>
            </c:strRef>
          </c:cat>
          <c:val>
            <c:numRef>
              <c:f>Transition!$E$4:$E$16</c:f>
              <c:numCache>
                <c:formatCode>General</c:formatCode>
                <c:ptCount val="13"/>
                <c:pt idx="0">
                  <c:v>0.02</c:v>
                </c:pt>
                <c:pt idx="1">
                  <c:v>0.02</c:v>
                </c:pt>
                <c:pt idx="2">
                  <c:v>3.6999999999999998E-2</c:v>
                </c:pt>
                <c:pt idx="3">
                  <c:v>4.3999999999999997E-2</c:v>
                </c:pt>
                <c:pt idx="4">
                  <c:v>6.8000000000000005E-2</c:v>
                </c:pt>
                <c:pt idx="5">
                  <c:v>8.1000000000000003E-2</c:v>
                </c:pt>
                <c:pt idx="6">
                  <c:v>9.0999999999999998E-2</c:v>
                </c:pt>
                <c:pt idx="7">
                  <c:v>0.121</c:v>
                </c:pt>
                <c:pt idx="8">
                  <c:v>0.14599999999999999</c:v>
                </c:pt>
                <c:pt idx="9">
                  <c:v>0.153</c:v>
                </c:pt>
                <c:pt idx="10">
                  <c:v>0.14499999999999999</c:v>
                </c:pt>
                <c:pt idx="11">
                  <c:v>0.247</c:v>
                </c:pt>
                <c:pt idx="12">
                  <c:v>0.29299999999999998</c:v>
                </c:pt>
              </c:numCache>
            </c:numRef>
          </c:val>
          <c:smooth val="0"/>
          <c:extLst>
            <c:ext xmlns:c16="http://schemas.microsoft.com/office/drawing/2014/chart" uri="{C3380CC4-5D6E-409C-BE32-E72D297353CC}">
              <c16:uniqueId val="{00000000-811B-4C2E-9966-7C1BADC84104}"/>
            </c:ext>
          </c:extLst>
        </c:ser>
        <c:dLbls>
          <c:showLegendKey val="0"/>
          <c:showVal val="0"/>
          <c:showCatName val="0"/>
          <c:showSerName val="0"/>
          <c:showPercent val="0"/>
          <c:showBubbleSize val="0"/>
        </c:dLbls>
        <c:smooth val="0"/>
        <c:axId val="139836032"/>
        <c:axId val="139960704"/>
      </c:lineChart>
      <c:catAx>
        <c:axId val="139836032"/>
        <c:scaling>
          <c:orientation val="minMax"/>
        </c:scaling>
        <c:delete val="0"/>
        <c:axPos val="b"/>
        <c:numFmt formatCode="General" sourceLinked="0"/>
        <c:majorTickMark val="none"/>
        <c:minorTickMark val="none"/>
        <c:tickLblPos val="nextTo"/>
        <c:crossAx val="139960704"/>
        <c:crosses val="autoZero"/>
        <c:auto val="1"/>
        <c:lblAlgn val="ctr"/>
        <c:lblOffset val="100"/>
        <c:noMultiLvlLbl val="0"/>
      </c:catAx>
      <c:valAx>
        <c:axId val="139960704"/>
        <c:scaling>
          <c:orientation val="minMax"/>
        </c:scaling>
        <c:delete val="0"/>
        <c:axPos val="l"/>
        <c:majorGridlines/>
        <c:numFmt formatCode="General" sourceLinked="1"/>
        <c:majorTickMark val="none"/>
        <c:minorTickMark val="none"/>
        <c:tickLblPos val="nextTo"/>
        <c:spPr>
          <a:ln w="9525">
            <a:noFill/>
          </a:ln>
        </c:spPr>
        <c:crossAx val="139836032"/>
        <c:crosses val="autoZero"/>
        <c:crossBetween val="between"/>
      </c:valAx>
    </c:plotArea>
    <c:legend>
      <c:legendPos val="b"/>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legend>
    <c:plotVisOnly val="1"/>
    <c:dispBlanksAs val="gap"/>
    <c:showDLblsOverMax val="0"/>
  </c:chart>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en-US" b="1"/>
              <a:t>Bear Creek Reservoir - Nitrate Trend</a:t>
            </a:r>
          </a:p>
        </c:rich>
      </c:tx>
      <c:layout>
        <c:manualLayout>
          <c:xMode val="edge"/>
          <c:yMode val="edge"/>
          <c:x val="0.28640000000000032"/>
          <c:y val="3.313253012048193E-2"/>
        </c:manualLayout>
      </c:layout>
      <c:overlay val="0"/>
      <c:spPr>
        <a:noFill/>
        <a:ln w="25400">
          <a:noFill/>
        </a:ln>
      </c:spPr>
    </c:title>
    <c:autoTitleDeleted val="0"/>
    <c:plotArea>
      <c:layout>
        <c:manualLayout>
          <c:layoutTarget val="inner"/>
          <c:xMode val="edge"/>
          <c:yMode val="edge"/>
          <c:x val="0.11752547235943372"/>
          <c:y val="0.11286681715575585"/>
          <c:w val="0.8539555925074932"/>
          <c:h val="0.68540893688598525"/>
        </c:manualLayout>
      </c:layout>
      <c:barChart>
        <c:barDir val="col"/>
        <c:grouping val="clustered"/>
        <c:varyColors val="0"/>
        <c:ser>
          <c:idx val="0"/>
          <c:order val="0"/>
          <c:tx>
            <c:strRef>
              <c:f>'Nitrate Trends'!$A$74</c:f>
              <c:strCache>
                <c:ptCount val="1"/>
                <c:pt idx="0">
                  <c:v>Reservoir Average</c:v>
                </c:pt>
              </c:strCache>
            </c:strRef>
          </c:tx>
          <c:spPr>
            <a:solidFill>
              <a:srgbClr val="9999FF"/>
            </a:solidFill>
            <a:ln w="12700">
              <a:solidFill>
                <a:srgbClr val="000000"/>
              </a:solidFill>
              <a:prstDash val="solid"/>
            </a:ln>
          </c:spPr>
          <c:invertIfNegative val="0"/>
          <c:trendline>
            <c:spPr>
              <a:ln w="25400">
                <a:solidFill>
                  <a:srgbClr val="000000"/>
                </a:solidFill>
                <a:prstDash val="solid"/>
              </a:ln>
            </c:spPr>
            <c:trendlineType val="poly"/>
            <c:order val="2"/>
            <c:dispRSqr val="0"/>
            <c:dispEq val="0"/>
          </c:trendline>
          <c:cat>
            <c:numRef>
              <c:f>'Nitrate Trends'!$B$75:$B$96</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'Nitrate Trends'!$C$75:$C$96</c:f>
              <c:numCache>
                <c:formatCode>0</c:formatCode>
                <c:ptCount val="22"/>
                <c:pt idx="0">
                  <c:v>388</c:v>
                </c:pt>
                <c:pt idx="1">
                  <c:v>266</c:v>
                </c:pt>
                <c:pt idx="2">
                  <c:v>429</c:v>
                </c:pt>
                <c:pt idx="3">
                  <c:v>348.66666666666669</c:v>
                </c:pt>
                <c:pt idx="4">
                  <c:v>493</c:v>
                </c:pt>
                <c:pt idx="5">
                  <c:v>575.97916666666663</c:v>
                </c:pt>
                <c:pt idx="6">
                  <c:v>366.34357142857152</c:v>
                </c:pt>
                <c:pt idx="7">
                  <c:v>367.33333333333331</c:v>
                </c:pt>
                <c:pt idx="8">
                  <c:v>225</c:v>
                </c:pt>
                <c:pt idx="9">
                  <c:v>452.33333333333331</c:v>
                </c:pt>
                <c:pt idx="10">
                  <c:v>395.33333333333331</c:v>
                </c:pt>
                <c:pt idx="11">
                  <c:v>281.66666666666669</c:v>
                </c:pt>
                <c:pt idx="12" formatCode="General">
                  <c:v>268</c:v>
                </c:pt>
                <c:pt idx="13" formatCode="General">
                  <c:v>247</c:v>
                </c:pt>
                <c:pt idx="14" formatCode="General">
                  <c:v>207</c:v>
                </c:pt>
                <c:pt idx="15" formatCode="General">
                  <c:v>153</c:v>
                </c:pt>
                <c:pt idx="16" formatCode="General">
                  <c:v>229</c:v>
                </c:pt>
                <c:pt idx="17" formatCode="General">
                  <c:v>232</c:v>
                </c:pt>
                <c:pt idx="18" formatCode="General">
                  <c:v>267</c:v>
                </c:pt>
                <c:pt idx="19" formatCode="General">
                  <c:v>254</c:v>
                </c:pt>
                <c:pt idx="20" formatCode="General">
                  <c:v>172</c:v>
                </c:pt>
                <c:pt idx="21" formatCode="General">
                  <c:v>133.5</c:v>
                </c:pt>
              </c:numCache>
            </c:numRef>
          </c:val>
          <c:extLst>
            <c:ext xmlns:c16="http://schemas.microsoft.com/office/drawing/2014/chart" uri="{C3380CC4-5D6E-409C-BE32-E72D297353CC}">
              <c16:uniqueId val="{00000001-5A62-4BC7-A8C1-CE5DE41DE28B}"/>
            </c:ext>
          </c:extLst>
        </c:ser>
        <c:dLbls>
          <c:showLegendKey val="0"/>
          <c:showVal val="0"/>
          <c:showCatName val="0"/>
          <c:showSerName val="0"/>
          <c:showPercent val="0"/>
          <c:showBubbleSize val="0"/>
        </c:dLbls>
        <c:gapWidth val="74"/>
        <c:axId val="89459712"/>
        <c:axId val="89486080"/>
      </c:barChart>
      <c:catAx>
        <c:axId val="89459712"/>
        <c:scaling>
          <c:orientation val="minMax"/>
        </c:scaling>
        <c:delete val="0"/>
        <c:axPos val="b"/>
        <c:numFmt formatCode="0" sourceLinked="0"/>
        <c:majorTickMark val="out"/>
        <c:minorTickMark val="none"/>
        <c:tickLblPos val="nextTo"/>
        <c:spPr>
          <a:ln w="3175">
            <a:solidFill>
              <a:srgbClr val="000000"/>
            </a:solidFill>
            <a:prstDash val="solid"/>
          </a:ln>
        </c:spPr>
        <c:txPr>
          <a:bodyPr rot="-2700000" vert="horz"/>
          <a:lstStyle/>
          <a:p>
            <a:pPr>
              <a:defRPr sz="800"/>
            </a:pPr>
            <a:endParaRPr lang="en-US"/>
          </a:p>
        </c:txPr>
        <c:crossAx val="89486080"/>
        <c:crosses val="autoZero"/>
        <c:auto val="1"/>
        <c:lblAlgn val="ctr"/>
        <c:lblOffset val="100"/>
        <c:tickLblSkip val="1"/>
        <c:tickMarkSkip val="1"/>
        <c:noMultiLvlLbl val="0"/>
      </c:catAx>
      <c:valAx>
        <c:axId val="89486080"/>
        <c:scaling>
          <c:orientation val="minMax"/>
        </c:scaling>
        <c:delete val="0"/>
        <c:axPos val="l"/>
        <c:majorGridlines>
          <c:spPr>
            <a:ln w="3175">
              <a:solidFill>
                <a:srgbClr val="000000"/>
              </a:solidFill>
              <a:prstDash val="solid"/>
            </a:ln>
          </c:spPr>
        </c:majorGridlines>
        <c:minorGridlines/>
        <c:title>
          <c:tx>
            <c:rich>
              <a:bodyPr/>
              <a:lstStyle/>
              <a:p>
                <a:pPr>
                  <a:defRPr/>
                </a:pPr>
                <a:r>
                  <a:rPr lang="en-US"/>
                  <a:t>Nitrate (ug/l)</a:t>
                </a:r>
              </a:p>
            </c:rich>
          </c:tx>
          <c:layout>
            <c:manualLayout>
              <c:xMode val="edge"/>
              <c:yMode val="edge"/>
              <c:x val="1.5633263233400172E-2"/>
              <c:y val="0.3720456149877818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89459712"/>
        <c:crosses val="autoZero"/>
        <c:crossBetween val="between"/>
      </c:valAx>
      <c:spPr>
        <a:solidFill>
          <a:srgbClr val="FFFFFF"/>
        </a:solidFill>
        <a:ln w="12700">
          <a:solidFill>
            <a:srgbClr val="808080"/>
          </a:solidFill>
          <a:prstDash val="solid"/>
        </a:ln>
      </c:spPr>
    </c:plotArea>
    <c:plotVisOnly val="1"/>
    <c:dispBlanksAs val="gap"/>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600"/>
              <a:t>July 24-30 Temperature MWAT Segment 1e</a:t>
            </a:r>
          </a:p>
        </c:rich>
      </c:tx>
      <c:layout>
        <c:manualLayout>
          <c:xMode val="edge"/>
          <c:yMode val="edge"/>
          <c:x val="0.21804895161051729"/>
          <c:y val="4.1666666666666664E-2"/>
        </c:manualLayout>
      </c:layout>
      <c:overlay val="0"/>
    </c:title>
    <c:autoTitleDeleted val="0"/>
    <c:plotArea>
      <c:layout>
        <c:manualLayout>
          <c:layoutTarget val="inner"/>
          <c:xMode val="edge"/>
          <c:yMode val="edge"/>
          <c:x val="0.2490727004535061"/>
          <c:y val="0.19480351414406533"/>
          <c:w val="0.75092729954650861"/>
          <c:h val="0.6387230242053189"/>
        </c:manualLayout>
      </c:layout>
      <c:barChart>
        <c:barDir val="col"/>
        <c:grouping val="clustered"/>
        <c:varyColors val="0"/>
        <c:ser>
          <c:idx val="0"/>
          <c:order val="0"/>
          <c:tx>
            <c:strRef>
              <c:f>'Temp analysis'!$D$1:$E$1</c:f>
              <c:strCache>
                <c:ptCount val="1"/>
                <c:pt idx="0">
                  <c:v>19.3°C MWAT</c:v>
                </c:pt>
              </c:strCache>
            </c:strRef>
          </c:tx>
          <c:invertIfNegative val="0"/>
          <c:trendline>
            <c:trendlineType val="linear"/>
            <c:dispRSqr val="0"/>
            <c:dispEq val="0"/>
          </c:trendline>
          <c:cat>
            <c:strRef>
              <c:f>'Temp analysis'!$D$3:$D$8</c:f>
              <c:strCache>
                <c:ptCount val="6"/>
                <c:pt idx="0">
                  <c:v>5</c:v>
                </c:pt>
                <c:pt idx="1">
                  <c:v>8a</c:v>
                </c:pt>
                <c:pt idx="2">
                  <c:v>9</c:v>
                </c:pt>
                <c:pt idx="3">
                  <c:v>12</c:v>
                </c:pt>
                <c:pt idx="4">
                  <c:v>13a</c:v>
                </c:pt>
                <c:pt idx="5">
                  <c:v>14</c:v>
                </c:pt>
              </c:strCache>
            </c:strRef>
          </c:cat>
          <c:val>
            <c:numRef>
              <c:f>'Temp analysis'!$E$3:$E$8</c:f>
              <c:numCache>
                <c:formatCode>General</c:formatCode>
                <c:ptCount val="6"/>
                <c:pt idx="0">
                  <c:v>19.7</c:v>
                </c:pt>
                <c:pt idx="1">
                  <c:v>19.3</c:v>
                </c:pt>
                <c:pt idx="2">
                  <c:v>19.399999999999999</c:v>
                </c:pt>
                <c:pt idx="3">
                  <c:v>19.100000000000001</c:v>
                </c:pt>
                <c:pt idx="4">
                  <c:v>19.2</c:v>
                </c:pt>
                <c:pt idx="5">
                  <c:v>19.2</c:v>
                </c:pt>
              </c:numCache>
            </c:numRef>
          </c:val>
          <c:extLst>
            <c:ext xmlns:c16="http://schemas.microsoft.com/office/drawing/2014/chart" uri="{C3380CC4-5D6E-409C-BE32-E72D297353CC}">
              <c16:uniqueId val="{00000001-DAD2-4C53-803A-BEE89D46E0B3}"/>
            </c:ext>
          </c:extLst>
        </c:ser>
        <c:dLbls>
          <c:showLegendKey val="0"/>
          <c:showVal val="0"/>
          <c:showCatName val="0"/>
          <c:showSerName val="0"/>
          <c:showPercent val="0"/>
          <c:showBubbleSize val="0"/>
        </c:dLbls>
        <c:gapWidth val="150"/>
        <c:axId val="149857792"/>
        <c:axId val="149859328"/>
      </c:barChart>
      <c:catAx>
        <c:axId val="149857792"/>
        <c:scaling>
          <c:orientation val="minMax"/>
        </c:scaling>
        <c:delete val="0"/>
        <c:axPos val="b"/>
        <c:numFmt formatCode="General" sourceLinked="0"/>
        <c:majorTickMark val="none"/>
        <c:minorTickMark val="none"/>
        <c:tickLblPos val="nextTo"/>
        <c:crossAx val="149859328"/>
        <c:crosses val="autoZero"/>
        <c:auto val="1"/>
        <c:lblAlgn val="ctr"/>
        <c:lblOffset val="100"/>
        <c:noMultiLvlLbl val="0"/>
      </c:catAx>
      <c:valAx>
        <c:axId val="149859328"/>
        <c:scaling>
          <c:orientation val="minMax"/>
        </c:scaling>
        <c:delete val="0"/>
        <c:axPos val="l"/>
        <c:majorGridlines/>
        <c:title>
          <c:tx>
            <c:rich>
              <a:bodyPr/>
              <a:lstStyle/>
              <a:p>
                <a:pPr>
                  <a:defRPr/>
                </a:pPr>
                <a:r>
                  <a:rPr lang="en-US"/>
                  <a:t>Temperature C</a:t>
                </a:r>
              </a:p>
            </c:rich>
          </c:tx>
          <c:overlay val="0"/>
        </c:title>
        <c:numFmt formatCode="General" sourceLinked="1"/>
        <c:majorTickMark val="none"/>
        <c:minorTickMark val="none"/>
        <c:tickLblPos val="nextTo"/>
        <c:crossAx val="149857792"/>
        <c:crosses val="autoZero"/>
        <c:crossBetween val="between"/>
      </c:valAx>
      <c:dTable>
        <c:showHorzBorder val="1"/>
        <c:showVertBorder val="1"/>
        <c:showOutline val="1"/>
        <c:showKeys val="1"/>
      </c:dTable>
    </c:plotArea>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101" l="0.70000000000000062" r="0.70000000000000062" t="0.7500000000000101"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Air Temperature (F) Trend Evergreen Colorado</a:t>
            </a:r>
          </a:p>
        </c:rich>
      </c:tx>
      <c:overlay val="0"/>
    </c:title>
    <c:autoTitleDeleted val="0"/>
    <c:plotArea>
      <c:layout/>
      <c:lineChart>
        <c:grouping val="standard"/>
        <c:varyColors val="0"/>
        <c:ser>
          <c:idx val="0"/>
          <c:order val="0"/>
          <c:tx>
            <c:strRef>
              <c:f>'Temp analysis'!$AD$63:$AE$63</c:f>
              <c:strCache>
                <c:ptCount val="1"/>
                <c:pt idx="0">
                  <c:v>JUL</c:v>
                </c:pt>
              </c:strCache>
            </c:strRef>
          </c:tx>
          <c:marker>
            <c:symbol val="none"/>
          </c:marker>
          <c:trendline>
            <c:trendlineType val="linear"/>
            <c:dispRSqr val="0"/>
            <c:dispEq val="0"/>
          </c:trendline>
          <c:cat>
            <c:numRef>
              <c:f>'Temp analysis'!$Q$64:$Q$113</c:f>
              <c:numCache>
                <c:formatCode>General</c:formatCod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'Temp analysis'!$AD$64:$AD$114</c:f>
              <c:numCache>
                <c:formatCode>General</c:formatCode>
                <c:ptCount val="51"/>
                <c:pt idx="0">
                  <c:v>80.900000000000006</c:v>
                </c:pt>
                <c:pt idx="1">
                  <c:v>86.77</c:v>
                </c:pt>
                <c:pt idx="2">
                  <c:v>85.1</c:v>
                </c:pt>
                <c:pt idx="3">
                  <c:v>84.03</c:v>
                </c:pt>
                <c:pt idx="4">
                  <c:v>79.52</c:v>
                </c:pt>
                <c:pt idx="5">
                  <c:v>85.23</c:v>
                </c:pt>
                <c:pt idx="6">
                  <c:v>79.06</c:v>
                </c:pt>
                <c:pt idx="7">
                  <c:v>79.58</c:v>
                </c:pt>
                <c:pt idx="8">
                  <c:v>81.87</c:v>
                </c:pt>
                <c:pt idx="9">
                  <c:v>81.19</c:v>
                </c:pt>
                <c:pt idx="10">
                  <c:v>79.55</c:v>
                </c:pt>
                <c:pt idx="11">
                  <c:v>82.45</c:v>
                </c:pt>
                <c:pt idx="12">
                  <c:v>78</c:v>
                </c:pt>
                <c:pt idx="13">
                  <c:v>82.42</c:v>
                </c:pt>
                <c:pt idx="14">
                  <c:v>80.45</c:v>
                </c:pt>
                <c:pt idx="15">
                  <c:v>81.13</c:v>
                </c:pt>
                <c:pt idx="16">
                  <c:v>81</c:v>
                </c:pt>
                <c:pt idx="17">
                  <c:v>82.29</c:v>
                </c:pt>
                <c:pt idx="18">
                  <c:v>81.55</c:v>
                </c:pt>
                <c:pt idx="19">
                  <c:v>82.61</c:v>
                </c:pt>
                <c:pt idx="20">
                  <c:v>79.73</c:v>
                </c:pt>
                <c:pt idx="21">
                  <c:v>79.33</c:v>
                </c:pt>
                <c:pt idx="22">
                  <c:v>81</c:v>
                </c:pt>
                <c:pt idx="23">
                  <c:v>81.319999999999993</c:v>
                </c:pt>
                <c:pt idx="24">
                  <c:v>78.739999999999995</c:v>
                </c:pt>
                <c:pt idx="25">
                  <c:v>79.709999999999994</c:v>
                </c:pt>
                <c:pt idx="26">
                  <c:v>82.27</c:v>
                </c:pt>
                <c:pt idx="27">
                  <c:v>81.19</c:v>
                </c:pt>
                <c:pt idx="28">
                  <c:v>81.84</c:v>
                </c:pt>
                <c:pt idx="29">
                  <c:v>76.099999999999994</c:v>
                </c:pt>
                <c:pt idx="30">
                  <c:v>78.58</c:v>
                </c:pt>
                <c:pt idx="31">
                  <c:v>76.97</c:v>
                </c:pt>
                <c:pt idx="32">
                  <c:v>79.349999999999994</c:v>
                </c:pt>
                <c:pt idx="33">
                  <c:v>80.97</c:v>
                </c:pt>
                <c:pt idx="34">
                  <c:v>81.23</c:v>
                </c:pt>
                <c:pt idx="35">
                  <c:v>82.03</c:v>
                </c:pt>
                <c:pt idx="36">
                  <c:v>81.45</c:v>
                </c:pt>
                <c:pt idx="37">
                  <c:v>82.1</c:v>
                </c:pt>
                <c:pt idx="38">
                  <c:v>83.42</c:v>
                </c:pt>
                <c:pt idx="39">
                  <c:v>86.06</c:v>
                </c:pt>
                <c:pt idx="40">
                  <c:v>85.74</c:v>
                </c:pt>
                <c:pt idx="41">
                  <c:v>87.52</c:v>
                </c:pt>
                <c:pt idx="42">
                  <c:v>88.26</c:v>
                </c:pt>
                <c:pt idx="43">
                  <c:v>77.87</c:v>
                </c:pt>
                <c:pt idx="44">
                  <c:v>85.45</c:v>
                </c:pt>
                <c:pt idx="45">
                  <c:v>82</c:v>
                </c:pt>
                <c:pt idx="46">
                  <c:v>83</c:v>
                </c:pt>
                <c:pt idx="47">
                  <c:v>84</c:v>
                </c:pt>
                <c:pt idx="48">
                  <c:v>78</c:v>
                </c:pt>
                <c:pt idx="49">
                  <c:v>82</c:v>
                </c:pt>
                <c:pt idx="50" formatCode="0.00">
                  <c:v>85.478999999999999</c:v>
                </c:pt>
              </c:numCache>
            </c:numRef>
          </c:val>
          <c:smooth val="0"/>
          <c:extLst>
            <c:ext xmlns:c16="http://schemas.microsoft.com/office/drawing/2014/chart" uri="{C3380CC4-5D6E-409C-BE32-E72D297353CC}">
              <c16:uniqueId val="{00000001-5A66-432C-A9A7-FEBA13DC438D}"/>
            </c:ext>
          </c:extLst>
        </c:ser>
        <c:ser>
          <c:idx val="1"/>
          <c:order val="1"/>
          <c:tx>
            <c:strRef>
              <c:f>'Temp analysis'!$AF$63:$AG$63</c:f>
              <c:strCache>
                <c:ptCount val="1"/>
                <c:pt idx="0">
                  <c:v>AUG</c:v>
                </c:pt>
              </c:strCache>
            </c:strRef>
          </c:tx>
          <c:marker>
            <c:symbol val="none"/>
          </c:marker>
          <c:trendline>
            <c:trendlineType val="linear"/>
            <c:dispRSqr val="0"/>
            <c:dispEq val="0"/>
          </c:trendline>
          <c:val>
            <c:numRef>
              <c:f>'Temp analysis'!$AF$64:$AF$113</c:f>
              <c:numCache>
                <c:formatCode>General</c:formatCode>
                <c:ptCount val="50"/>
                <c:pt idx="0">
                  <c:v>78.42</c:v>
                </c:pt>
                <c:pt idx="2">
                  <c:v>78.39</c:v>
                </c:pt>
                <c:pt idx="3">
                  <c:v>78.55</c:v>
                </c:pt>
                <c:pt idx="4">
                  <c:v>77.290000000000006</c:v>
                </c:pt>
                <c:pt idx="5">
                  <c:v>78.709999999999994</c:v>
                </c:pt>
                <c:pt idx="6">
                  <c:v>77</c:v>
                </c:pt>
                <c:pt idx="7">
                  <c:v>77.03</c:v>
                </c:pt>
                <c:pt idx="8">
                  <c:v>82.84</c:v>
                </c:pt>
                <c:pt idx="9">
                  <c:v>82.16</c:v>
                </c:pt>
                <c:pt idx="10">
                  <c:v>81.19</c:v>
                </c:pt>
                <c:pt idx="11">
                  <c:v>80.319999999999993</c:v>
                </c:pt>
                <c:pt idx="12">
                  <c:v>81.97</c:v>
                </c:pt>
                <c:pt idx="13">
                  <c:v>78.290000000000006</c:v>
                </c:pt>
                <c:pt idx="14">
                  <c:v>79.97</c:v>
                </c:pt>
                <c:pt idx="15">
                  <c:v>77.87</c:v>
                </c:pt>
                <c:pt idx="16">
                  <c:v>76.48</c:v>
                </c:pt>
                <c:pt idx="17">
                  <c:v>77.290000000000006</c:v>
                </c:pt>
                <c:pt idx="19">
                  <c:v>79.709999999999994</c:v>
                </c:pt>
                <c:pt idx="20">
                  <c:v>75.650000000000006</c:v>
                </c:pt>
                <c:pt idx="21">
                  <c:v>79.16</c:v>
                </c:pt>
                <c:pt idx="22">
                  <c:v>81.58</c:v>
                </c:pt>
                <c:pt idx="23">
                  <c:v>77.680000000000007</c:v>
                </c:pt>
                <c:pt idx="24">
                  <c:v>81.87</c:v>
                </c:pt>
                <c:pt idx="25">
                  <c:v>79.81</c:v>
                </c:pt>
                <c:pt idx="26">
                  <c:v>76.48</c:v>
                </c:pt>
                <c:pt idx="27">
                  <c:v>80.349999999999994</c:v>
                </c:pt>
                <c:pt idx="28">
                  <c:v>77.739999999999995</c:v>
                </c:pt>
                <c:pt idx="29">
                  <c:v>78.03</c:v>
                </c:pt>
                <c:pt idx="30">
                  <c:v>78.13</c:v>
                </c:pt>
                <c:pt idx="31">
                  <c:v>76.099999999999994</c:v>
                </c:pt>
                <c:pt idx="32">
                  <c:v>75.739999999999995</c:v>
                </c:pt>
                <c:pt idx="33">
                  <c:v>81.709999999999994</c:v>
                </c:pt>
                <c:pt idx="34">
                  <c:v>83.81</c:v>
                </c:pt>
                <c:pt idx="35">
                  <c:v>81.739999999999995</c:v>
                </c:pt>
                <c:pt idx="36">
                  <c:v>77.709999999999994</c:v>
                </c:pt>
                <c:pt idx="37">
                  <c:v>80.709999999999994</c:v>
                </c:pt>
                <c:pt idx="38">
                  <c:v>78.13</c:v>
                </c:pt>
                <c:pt idx="39">
                  <c:v>84</c:v>
                </c:pt>
                <c:pt idx="40">
                  <c:v>85.84</c:v>
                </c:pt>
                <c:pt idx="41">
                  <c:v>82.39</c:v>
                </c:pt>
                <c:pt idx="42">
                  <c:v>83.9</c:v>
                </c:pt>
                <c:pt idx="43">
                  <c:v>76.260000000000005</c:v>
                </c:pt>
                <c:pt idx="44">
                  <c:v>77.709999999999994</c:v>
                </c:pt>
                <c:pt idx="45">
                  <c:v>78</c:v>
                </c:pt>
                <c:pt idx="46">
                  <c:v>81</c:v>
                </c:pt>
                <c:pt idx="47">
                  <c:v>78</c:v>
                </c:pt>
                <c:pt idx="48">
                  <c:v>78</c:v>
                </c:pt>
                <c:pt idx="49">
                  <c:v>80</c:v>
                </c:pt>
              </c:numCache>
            </c:numRef>
          </c:val>
          <c:smooth val="0"/>
          <c:extLst>
            <c:ext xmlns:c16="http://schemas.microsoft.com/office/drawing/2014/chart" uri="{C3380CC4-5D6E-409C-BE32-E72D297353CC}">
              <c16:uniqueId val="{00000003-5A66-432C-A9A7-FEBA13DC438D}"/>
            </c:ext>
          </c:extLst>
        </c:ser>
        <c:dLbls>
          <c:showLegendKey val="0"/>
          <c:showVal val="0"/>
          <c:showCatName val="0"/>
          <c:showSerName val="0"/>
          <c:showPercent val="0"/>
          <c:showBubbleSize val="0"/>
        </c:dLbls>
        <c:smooth val="0"/>
        <c:axId val="153426560"/>
        <c:axId val="153452928"/>
      </c:lineChart>
      <c:catAx>
        <c:axId val="153426560"/>
        <c:scaling>
          <c:orientation val="minMax"/>
        </c:scaling>
        <c:delete val="0"/>
        <c:axPos val="b"/>
        <c:numFmt formatCode="General" sourceLinked="1"/>
        <c:majorTickMark val="none"/>
        <c:minorTickMark val="none"/>
        <c:tickLblPos val="nextTo"/>
        <c:crossAx val="153452928"/>
        <c:crosses val="autoZero"/>
        <c:auto val="1"/>
        <c:lblAlgn val="ctr"/>
        <c:lblOffset val="100"/>
        <c:noMultiLvlLbl val="0"/>
      </c:catAx>
      <c:valAx>
        <c:axId val="153452928"/>
        <c:scaling>
          <c:orientation val="minMax"/>
          <c:max val="88"/>
          <c:min val="74"/>
        </c:scaling>
        <c:delete val="0"/>
        <c:axPos val="l"/>
        <c:majorGridlines/>
        <c:title>
          <c:tx>
            <c:rich>
              <a:bodyPr rot="-5400000" vert="horz"/>
              <a:lstStyle/>
              <a:p>
                <a:pPr>
                  <a:defRPr/>
                </a:pPr>
                <a:r>
                  <a:rPr lang="en-US"/>
                  <a:t>Maximum Average Temperature (F)</a:t>
                </a:r>
              </a:p>
            </c:rich>
          </c:tx>
          <c:overlay val="0"/>
        </c:title>
        <c:numFmt formatCode="General" sourceLinked="1"/>
        <c:majorTickMark val="none"/>
        <c:minorTickMark val="none"/>
        <c:tickLblPos val="nextTo"/>
        <c:spPr>
          <a:ln w="9525">
            <a:noFill/>
          </a:ln>
        </c:spPr>
        <c:crossAx val="153426560"/>
        <c:crosses val="autoZero"/>
        <c:crossBetween val="between"/>
      </c:valAx>
    </c:plotArea>
    <c:legend>
      <c:legendPos val="b"/>
      <c:overlay val="0"/>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c:pageMargins b="0.75000000000000999" l="0.70000000000000062" r="0.70000000000000062" t="0.750000000000009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Bear Creek Watershed - Nitrate Inflow Trend </a:t>
            </a:r>
          </a:p>
        </c:rich>
      </c:tx>
      <c:layout>
        <c:manualLayout>
          <c:xMode val="edge"/>
          <c:yMode val="edge"/>
          <c:x val="0.23296354992076071"/>
          <c:y val="3.3846153846153845E-2"/>
        </c:manualLayout>
      </c:layout>
      <c:overlay val="0"/>
    </c:title>
    <c:autoTitleDeleted val="0"/>
    <c:plotArea>
      <c:layout>
        <c:manualLayout>
          <c:layoutTarget val="inner"/>
          <c:xMode val="edge"/>
          <c:yMode val="edge"/>
          <c:x val="0.14616781237433921"/>
          <c:y val="0.14247349229643733"/>
          <c:w val="0.82709591392314352"/>
          <c:h val="0.72580835698181645"/>
        </c:manualLayout>
      </c:layout>
      <c:barChart>
        <c:barDir val="col"/>
        <c:grouping val="clustered"/>
        <c:varyColors val="0"/>
        <c:ser>
          <c:idx val="0"/>
          <c:order val="0"/>
          <c:tx>
            <c:strRef>
              <c:f>'Nitrate Trends'!$A$3</c:f>
              <c:strCache>
                <c:ptCount val="1"/>
                <c:pt idx="0">
                  <c:v>Bear Creek Inflow</c:v>
                </c:pt>
              </c:strCache>
            </c:strRef>
          </c:tx>
          <c:invertIfNegative val="0"/>
          <c:trendline>
            <c:trendlineType val="linear"/>
            <c:dispRSqr val="0"/>
            <c:dispEq val="0"/>
          </c:trendline>
          <c:cat>
            <c:numRef>
              <c:f>'Nitrate Trends'!$B$3:$B$25</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'Nitrate Trends'!$C$3:$C$25</c:f>
              <c:numCache>
                <c:formatCode>0</c:formatCode>
                <c:ptCount val="23"/>
                <c:pt idx="0">
                  <c:v>773</c:v>
                </c:pt>
                <c:pt idx="1">
                  <c:v>1078</c:v>
                </c:pt>
                <c:pt idx="2">
                  <c:v>931</c:v>
                </c:pt>
                <c:pt idx="3">
                  <c:v>1253</c:v>
                </c:pt>
                <c:pt idx="4">
                  <c:v>1472</c:v>
                </c:pt>
                <c:pt idx="5">
                  <c:v>1932</c:v>
                </c:pt>
                <c:pt idx="6">
                  <c:v>1367.4375</c:v>
                </c:pt>
                <c:pt idx="7">
                  <c:v>798.58375000000012</c:v>
                </c:pt>
                <c:pt idx="8">
                  <c:v>525</c:v>
                </c:pt>
                <c:pt idx="9">
                  <c:v>521</c:v>
                </c:pt>
                <c:pt idx="10">
                  <c:v>1483</c:v>
                </c:pt>
                <c:pt idx="11">
                  <c:v>974</c:v>
                </c:pt>
                <c:pt idx="12">
                  <c:v>4314</c:v>
                </c:pt>
                <c:pt idx="13" formatCode="General">
                  <c:v>1757</c:v>
                </c:pt>
                <c:pt idx="14" formatCode="General">
                  <c:v>444</c:v>
                </c:pt>
                <c:pt idx="15" formatCode="General">
                  <c:v>1100</c:v>
                </c:pt>
                <c:pt idx="16" formatCode="General">
                  <c:v>1570</c:v>
                </c:pt>
                <c:pt idx="17" formatCode="General">
                  <c:v>747</c:v>
                </c:pt>
                <c:pt idx="18" formatCode="General">
                  <c:v>1093</c:v>
                </c:pt>
                <c:pt idx="19" formatCode="General">
                  <c:v>322</c:v>
                </c:pt>
                <c:pt idx="20" formatCode="General">
                  <c:v>1296</c:v>
                </c:pt>
                <c:pt idx="21" formatCode="General">
                  <c:v>760</c:v>
                </c:pt>
                <c:pt idx="22" formatCode="General">
                  <c:v>1024</c:v>
                </c:pt>
              </c:numCache>
            </c:numRef>
          </c:val>
          <c:extLst>
            <c:ext xmlns:c16="http://schemas.microsoft.com/office/drawing/2014/chart" uri="{C3380CC4-5D6E-409C-BE32-E72D297353CC}">
              <c16:uniqueId val="{00000001-5F77-4E2E-979D-8B38178ED972}"/>
            </c:ext>
          </c:extLst>
        </c:ser>
        <c:ser>
          <c:idx val="1"/>
          <c:order val="1"/>
          <c:tx>
            <c:strRef>
              <c:f>'Nitrate Trends'!$A$48</c:f>
              <c:strCache>
                <c:ptCount val="1"/>
                <c:pt idx="0">
                  <c:v>Turkey Creek Inflow</c:v>
                </c:pt>
              </c:strCache>
            </c:strRef>
          </c:tx>
          <c:invertIfNegative val="0"/>
          <c:trendline>
            <c:trendlineType val="linear"/>
            <c:dispRSqr val="0"/>
            <c:dispEq val="0"/>
          </c:trendline>
          <c:cat>
            <c:numRef>
              <c:f>'Nitrate Trends'!$B$3:$B$25</c:f>
              <c:numCache>
                <c:formatCode>General</c:formatCode>
                <c:ptCount val="2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numCache>
            </c:numRef>
          </c:cat>
          <c:val>
            <c:numRef>
              <c:f>'Nitrate Trends'!$C$48:$C$70</c:f>
              <c:numCache>
                <c:formatCode>0</c:formatCode>
                <c:ptCount val="23"/>
                <c:pt idx="0">
                  <c:v>1121</c:v>
                </c:pt>
                <c:pt idx="1">
                  <c:v>1590</c:v>
                </c:pt>
                <c:pt idx="2">
                  <c:v>2941</c:v>
                </c:pt>
                <c:pt idx="3">
                  <c:v>1224</c:v>
                </c:pt>
                <c:pt idx="4">
                  <c:v>963</c:v>
                </c:pt>
                <c:pt idx="5">
                  <c:v>476</c:v>
                </c:pt>
                <c:pt idx="6">
                  <c:v>618.3125</c:v>
                </c:pt>
                <c:pt idx="7">
                  <c:v>419.54062500000003</c:v>
                </c:pt>
                <c:pt idx="8">
                  <c:v>536</c:v>
                </c:pt>
                <c:pt idx="9">
                  <c:v>192</c:v>
                </c:pt>
                <c:pt idx="10">
                  <c:v>803</c:v>
                </c:pt>
                <c:pt idx="11">
                  <c:v>486</c:v>
                </c:pt>
                <c:pt idx="12">
                  <c:v>686</c:v>
                </c:pt>
                <c:pt idx="13" formatCode="General">
                  <c:v>764</c:v>
                </c:pt>
                <c:pt idx="14" formatCode="General">
                  <c:v>385</c:v>
                </c:pt>
                <c:pt idx="15" formatCode="General">
                  <c:v>481</c:v>
                </c:pt>
                <c:pt idx="16" formatCode="General">
                  <c:v>419</c:v>
                </c:pt>
                <c:pt idx="17" formatCode="General">
                  <c:v>410</c:v>
                </c:pt>
                <c:pt idx="18" formatCode="General">
                  <c:v>671</c:v>
                </c:pt>
                <c:pt idx="19" formatCode="General">
                  <c:v>1018</c:v>
                </c:pt>
                <c:pt idx="20" formatCode="General">
                  <c:v>569</c:v>
                </c:pt>
                <c:pt idx="21" formatCode="General">
                  <c:v>433</c:v>
                </c:pt>
                <c:pt idx="22" formatCode="General">
                  <c:v>445</c:v>
                </c:pt>
              </c:numCache>
            </c:numRef>
          </c:val>
          <c:extLst>
            <c:ext xmlns:c16="http://schemas.microsoft.com/office/drawing/2014/chart" uri="{C3380CC4-5D6E-409C-BE32-E72D297353CC}">
              <c16:uniqueId val="{00000003-5F77-4E2E-979D-8B38178ED972}"/>
            </c:ext>
          </c:extLst>
        </c:ser>
        <c:dLbls>
          <c:showLegendKey val="0"/>
          <c:showVal val="0"/>
          <c:showCatName val="0"/>
          <c:showSerName val="0"/>
          <c:showPercent val="0"/>
          <c:showBubbleSize val="0"/>
        </c:dLbls>
        <c:gapWidth val="150"/>
        <c:axId val="89501056"/>
        <c:axId val="98583680"/>
      </c:barChart>
      <c:catAx>
        <c:axId val="89501056"/>
        <c:scaling>
          <c:orientation val="minMax"/>
        </c:scaling>
        <c:delete val="0"/>
        <c:axPos val="b"/>
        <c:numFmt formatCode="0" sourceLinked="0"/>
        <c:majorTickMark val="out"/>
        <c:minorTickMark val="none"/>
        <c:tickLblPos val="nextTo"/>
        <c:txPr>
          <a:bodyPr rot="-2700000" vert="horz"/>
          <a:lstStyle/>
          <a:p>
            <a:pPr>
              <a:defRPr/>
            </a:pPr>
            <a:endParaRPr lang="en-US"/>
          </a:p>
        </c:txPr>
        <c:crossAx val="98583680"/>
        <c:crosses val="autoZero"/>
        <c:auto val="1"/>
        <c:lblAlgn val="ctr"/>
        <c:lblOffset val="100"/>
        <c:tickLblSkip val="1"/>
        <c:tickMarkSkip val="1"/>
        <c:noMultiLvlLbl val="0"/>
      </c:catAx>
      <c:valAx>
        <c:axId val="98583680"/>
        <c:scaling>
          <c:orientation val="minMax"/>
        </c:scaling>
        <c:delete val="0"/>
        <c:axPos val="l"/>
        <c:majorGridlines/>
        <c:minorGridlines/>
        <c:title>
          <c:tx>
            <c:rich>
              <a:bodyPr/>
              <a:lstStyle/>
              <a:p>
                <a:pPr>
                  <a:defRPr/>
                </a:pPr>
                <a:r>
                  <a:rPr lang="en-US"/>
                  <a:t>Nitrate (ug/l)</a:t>
                </a:r>
              </a:p>
            </c:rich>
          </c:tx>
          <c:layout>
            <c:manualLayout>
              <c:xMode val="edge"/>
              <c:yMode val="edge"/>
              <c:x val="1.6042859935693463E-2"/>
              <c:y val="0.37365669291338588"/>
            </c:manualLayout>
          </c:layout>
          <c:overlay val="0"/>
        </c:title>
        <c:numFmt formatCode="#,##0" sourceLinked="0"/>
        <c:majorTickMark val="out"/>
        <c:minorTickMark val="none"/>
        <c:tickLblPos val="nextTo"/>
        <c:txPr>
          <a:bodyPr rot="0" vert="horz"/>
          <a:lstStyle/>
          <a:p>
            <a:pPr>
              <a:defRPr/>
            </a:pPr>
            <a:endParaRPr lang="en-US"/>
          </a:p>
        </c:txPr>
        <c:crossAx val="89501056"/>
        <c:crosses val="autoZero"/>
        <c:crossBetween val="between"/>
      </c:valAx>
    </c:plotArea>
    <c:legend>
      <c:legendPos val="r"/>
      <c:layout>
        <c:manualLayout>
          <c:xMode val="edge"/>
          <c:yMode val="edge"/>
          <c:x val="0.65671998736547876"/>
          <c:y val="0.16975840215095281"/>
          <c:w val="0.28837277861757388"/>
          <c:h val="0.30800641723063438"/>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txPr>
        <a:bodyPr/>
        <a:lstStyle/>
        <a:p>
          <a:pPr>
            <a:defRPr sz="1050"/>
          </a:pPr>
          <a:endParaRPr lang="en-US"/>
        </a:p>
      </c:txPr>
    </c:legend>
    <c:plotVisOnly val="1"/>
    <c:dispBlanksAs val="gap"/>
    <c:showDLblsOverMax val="0"/>
  </c:chart>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c:spPr>
  <c:printSettings>
    <c:headerFooter alignWithMargins="0"/>
    <c:pageMargins b="1" l="0.75000000000001465" r="0.75000000000001465" t="1" header="0.5" footer="0.5"/>
    <c:pageSetup orientation="landscape" horizontalDpi="-2"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Bear Creek Reservoir - Nitrate Trends </a:t>
            </a:r>
          </a:p>
        </c:rich>
      </c:tx>
      <c:layout>
        <c:manualLayout>
          <c:xMode val="edge"/>
          <c:yMode val="edge"/>
          <c:x val="0.27966607036375918"/>
          <c:y val="4.1431261770244816E-2"/>
        </c:manualLayout>
      </c:layout>
      <c:overlay val="0"/>
      <c:spPr>
        <a:noFill/>
        <a:ln w="25400">
          <a:noFill/>
        </a:ln>
      </c:spPr>
    </c:title>
    <c:autoTitleDeleted val="0"/>
    <c:plotArea>
      <c:layout>
        <c:manualLayout>
          <c:layoutTarget val="inner"/>
          <c:xMode val="edge"/>
          <c:yMode val="edge"/>
          <c:x val="0.14490173658820663"/>
          <c:y val="0.12994386129463856"/>
          <c:w val="0.83005439230768563"/>
          <c:h val="0.70056690437109459"/>
        </c:manualLayout>
      </c:layout>
      <c:lineChart>
        <c:grouping val="standard"/>
        <c:varyColors val="0"/>
        <c:ser>
          <c:idx val="0"/>
          <c:order val="0"/>
          <c:tx>
            <c:strRef>
              <c:f>'Nitrate Trends'!$A$98</c:f>
              <c:strCache>
                <c:ptCount val="1"/>
                <c:pt idx="0">
                  <c:v>Average Inflow</c:v>
                </c:pt>
              </c:strCache>
            </c:strRef>
          </c:tx>
          <c:spPr>
            <a:ln w="38100">
              <a:solidFill>
                <a:srgbClr val="000080"/>
              </a:solidFill>
              <a:prstDash val="solid"/>
            </a:ln>
          </c:spPr>
          <c:marker>
            <c:symbol val="diamond"/>
            <c:size val="9"/>
            <c:spPr>
              <a:solidFill>
                <a:srgbClr val="000080"/>
              </a:solidFill>
              <a:ln>
                <a:solidFill>
                  <a:srgbClr val="000080"/>
                </a:solidFill>
                <a:prstDash val="solid"/>
              </a:ln>
            </c:spPr>
          </c:marker>
          <c:cat>
            <c:numRef>
              <c:f>'Nitrate Trends'!$B$99:$B$120</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'Nitrate Trends'!$C$99:$C$120</c:f>
              <c:numCache>
                <c:formatCode>0</c:formatCode>
                <c:ptCount val="22"/>
                <c:pt idx="0">
                  <c:v>1334</c:v>
                </c:pt>
                <c:pt idx="1">
                  <c:v>1936</c:v>
                </c:pt>
                <c:pt idx="2">
                  <c:v>1238.5</c:v>
                </c:pt>
                <c:pt idx="3">
                  <c:v>1217.5</c:v>
                </c:pt>
                <c:pt idx="4">
                  <c:v>1204</c:v>
                </c:pt>
                <c:pt idx="5">
                  <c:v>992.875</c:v>
                </c:pt>
                <c:pt idx="6">
                  <c:v>609.06218750000005</c:v>
                </c:pt>
                <c:pt idx="7">
                  <c:v>530.5</c:v>
                </c:pt>
                <c:pt idx="8">
                  <c:v>356.5</c:v>
                </c:pt>
                <c:pt idx="9">
                  <c:v>1143</c:v>
                </c:pt>
                <c:pt idx="10">
                  <c:v>730</c:v>
                </c:pt>
                <c:pt idx="11">
                  <c:v>2500</c:v>
                </c:pt>
                <c:pt idx="12">
                  <c:v>1260.5</c:v>
                </c:pt>
                <c:pt idx="13">
                  <c:v>414.5</c:v>
                </c:pt>
                <c:pt idx="14">
                  <c:v>790.5</c:v>
                </c:pt>
                <c:pt idx="15">
                  <c:v>994.5</c:v>
                </c:pt>
                <c:pt idx="16">
                  <c:v>578.5</c:v>
                </c:pt>
                <c:pt idx="17">
                  <c:v>882</c:v>
                </c:pt>
                <c:pt idx="18">
                  <c:v>670</c:v>
                </c:pt>
                <c:pt idx="19">
                  <c:v>932.5</c:v>
                </c:pt>
                <c:pt idx="20">
                  <c:v>596.5</c:v>
                </c:pt>
                <c:pt idx="21">
                  <c:v>734.5</c:v>
                </c:pt>
              </c:numCache>
            </c:numRef>
          </c:val>
          <c:smooth val="0"/>
          <c:extLst>
            <c:ext xmlns:c16="http://schemas.microsoft.com/office/drawing/2014/chart" uri="{C3380CC4-5D6E-409C-BE32-E72D297353CC}">
              <c16:uniqueId val="{00000000-B362-4693-9861-7BAC1460D673}"/>
            </c:ext>
          </c:extLst>
        </c:ser>
        <c:ser>
          <c:idx val="1"/>
          <c:order val="1"/>
          <c:tx>
            <c:strRef>
              <c:f>'Nitrate Trends'!$E$74</c:f>
              <c:strCache>
                <c:ptCount val="1"/>
                <c:pt idx="0">
                  <c:v>Reservoir Outflow</c:v>
                </c:pt>
              </c:strCache>
            </c:strRef>
          </c:tx>
          <c:spPr>
            <a:ln w="28575">
              <a:solidFill>
                <a:srgbClr val="FF00FF"/>
              </a:solidFill>
              <a:prstDash val="solid"/>
            </a:ln>
          </c:spPr>
          <c:marker>
            <c:symbol val="square"/>
            <c:size val="5"/>
            <c:spPr>
              <a:solidFill>
                <a:srgbClr val="FF00FF"/>
              </a:solidFill>
              <a:ln>
                <a:solidFill>
                  <a:srgbClr val="FF00FF"/>
                </a:solidFill>
                <a:prstDash val="solid"/>
              </a:ln>
            </c:spPr>
          </c:marker>
          <c:cat>
            <c:numRef>
              <c:f>'Nitrate Trends'!$B$99:$B$120</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'Nitrate Trends'!$G$74:$G$95</c:f>
              <c:numCache>
                <c:formatCode>0</c:formatCode>
                <c:ptCount val="22"/>
                <c:pt idx="0">
                  <c:v>589</c:v>
                </c:pt>
                <c:pt idx="1">
                  <c:v>325</c:v>
                </c:pt>
                <c:pt idx="2">
                  <c:v>431</c:v>
                </c:pt>
                <c:pt idx="3">
                  <c:v>351</c:v>
                </c:pt>
                <c:pt idx="4">
                  <c:v>491</c:v>
                </c:pt>
                <c:pt idx="5">
                  <c:v>579.375</c:v>
                </c:pt>
                <c:pt idx="6">
                  <c:v>520.40125</c:v>
                </c:pt>
                <c:pt idx="7">
                  <c:v>405</c:v>
                </c:pt>
                <c:pt idx="8">
                  <c:v>226</c:v>
                </c:pt>
                <c:pt idx="9">
                  <c:v>437</c:v>
                </c:pt>
                <c:pt idx="10">
                  <c:v>388</c:v>
                </c:pt>
                <c:pt idx="11">
                  <c:v>280</c:v>
                </c:pt>
                <c:pt idx="12">
                  <c:v>268</c:v>
                </c:pt>
                <c:pt idx="13">
                  <c:v>247</c:v>
                </c:pt>
                <c:pt idx="14">
                  <c:v>233</c:v>
                </c:pt>
                <c:pt idx="15">
                  <c:v>196</c:v>
                </c:pt>
                <c:pt idx="16">
                  <c:v>261</c:v>
                </c:pt>
                <c:pt idx="17">
                  <c:v>220</c:v>
                </c:pt>
                <c:pt idx="18">
                  <c:v>280</c:v>
                </c:pt>
                <c:pt idx="19">
                  <c:v>278</c:v>
                </c:pt>
                <c:pt idx="20">
                  <c:v>173</c:v>
                </c:pt>
                <c:pt idx="21">
                  <c:v>167</c:v>
                </c:pt>
              </c:numCache>
            </c:numRef>
          </c:val>
          <c:smooth val="0"/>
          <c:extLst>
            <c:ext xmlns:c16="http://schemas.microsoft.com/office/drawing/2014/chart" uri="{C3380CC4-5D6E-409C-BE32-E72D297353CC}">
              <c16:uniqueId val="{00000001-B362-4693-9861-7BAC1460D673}"/>
            </c:ext>
          </c:extLst>
        </c:ser>
        <c:ser>
          <c:idx val="2"/>
          <c:order val="2"/>
          <c:tx>
            <c:strRef>
              <c:f>'Nitrate Trends'!$E$98</c:f>
              <c:strCache>
                <c:ptCount val="1"/>
                <c:pt idx="0">
                  <c:v>Retained in Reservoir</c:v>
                </c:pt>
              </c:strCache>
            </c:strRef>
          </c:tx>
          <c:spPr>
            <a:ln w="38100">
              <a:solidFill>
                <a:srgbClr val="FF0000"/>
              </a:solidFill>
              <a:prstDash val="solid"/>
            </a:ln>
          </c:spPr>
          <c:marker>
            <c:symbol val="triangle"/>
            <c:size val="6"/>
            <c:spPr>
              <a:solidFill>
                <a:srgbClr val="FF0000"/>
              </a:solidFill>
              <a:ln>
                <a:solidFill>
                  <a:srgbClr val="FF0000"/>
                </a:solidFill>
                <a:prstDash val="solid"/>
              </a:ln>
            </c:spPr>
          </c:marker>
          <c:cat>
            <c:numRef>
              <c:f>'Nitrate Trends'!$B$99:$B$120</c:f>
              <c:numCache>
                <c:formatCode>General</c:formatCode>
                <c:ptCount val="22"/>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numCache>
            </c:numRef>
          </c:cat>
          <c:val>
            <c:numRef>
              <c:f>'Nitrate Trends'!$G$98:$G$119</c:f>
              <c:numCache>
                <c:formatCode>0</c:formatCode>
                <c:ptCount val="22"/>
                <c:pt idx="0">
                  <c:v>745</c:v>
                </c:pt>
                <c:pt idx="1">
                  <c:v>1611</c:v>
                </c:pt>
                <c:pt idx="2">
                  <c:v>807.5</c:v>
                </c:pt>
                <c:pt idx="3">
                  <c:v>866.5</c:v>
                </c:pt>
                <c:pt idx="4">
                  <c:v>713</c:v>
                </c:pt>
                <c:pt idx="5">
                  <c:v>413.5</c:v>
                </c:pt>
                <c:pt idx="6">
                  <c:v>88.660937500000045</c:v>
                </c:pt>
                <c:pt idx="7">
                  <c:v>125.5</c:v>
                </c:pt>
                <c:pt idx="8">
                  <c:v>130.5</c:v>
                </c:pt>
                <c:pt idx="9">
                  <c:v>706</c:v>
                </c:pt>
                <c:pt idx="10">
                  <c:v>342</c:v>
                </c:pt>
                <c:pt idx="11">
                  <c:v>2220</c:v>
                </c:pt>
                <c:pt idx="12">
                  <c:v>992.5</c:v>
                </c:pt>
                <c:pt idx="13">
                  <c:v>167.5</c:v>
                </c:pt>
                <c:pt idx="14">
                  <c:v>557.5</c:v>
                </c:pt>
                <c:pt idx="15">
                  <c:v>798.5</c:v>
                </c:pt>
                <c:pt idx="16">
                  <c:v>317.5</c:v>
                </c:pt>
                <c:pt idx="17">
                  <c:v>662</c:v>
                </c:pt>
                <c:pt idx="18">
                  <c:v>390</c:v>
                </c:pt>
                <c:pt idx="19">
                  <c:v>654.5</c:v>
                </c:pt>
                <c:pt idx="20">
                  <c:v>423.5</c:v>
                </c:pt>
                <c:pt idx="21">
                  <c:v>567.5</c:v>
                </c:pt>
              </c:numCache>
            </c:numRef>
          </c:val>
          <c:smooth val="0"/>
          <c:extLst>
            <c:ext xmlns:c16="http://schemas.microsoft.com/office/drawing/2014/chart" uri="{C3380CC4-5D6E-409C-BE32-E72D297353CC}">
              <c16:uniqueId val="{00000002-B362-4693-9861-7BAC1460D673}"/>
            </c:ext>
          </c:extLst>
        </c:ser>
        <c:dLbls>
          <c:showLegendKey val="0"/>
          <c:showVal val="0"/>
          <c:showCatName val="0"/>
          <c:showSerName val="0"/>
          <c:showPercent val="0"/>
          <c:showBubbleSize val="0"/>
        </c:dLbls>
        <c:marker val="1"/>
        <c:smooth val="0"/>
        <c:axId val="98606080"/>
        <c:axId val="98612352"/>
      </c:lineChart>
      <c:catAx>
        <c:axId val="9860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00" b="1" i="0" u="none" strike="noStrike" baseline="0">
                <a:solidFill>
                  <a:srgbClr val="000000"/>
                </a:solidFill>
                <a:latin typeface="Arial"/>
                <a:ea typeface="Arial"/>
                <a:cs typeface="Arial"/>
              </a:defRPr>
            </a:pPr>
            <a:endParaRPr lang="en-US"/>
          </a:p>
        </c:txPr>
        <c:crossAx val="98612352"/>
        <c:crossesAt val="-500"/>
        <c:auto val="1"/>
        <c:lblAlgn val="ctr"/>
        <c:lblOffset val="100"/>
        <c:tickLblSkip val="1"/>
        <c:tickMarkSkip val="1"/>
        <c:noMultiLvlLbl val="0"/>
      </c:catAx>
      <c:valAx>
        <c:axId val="98612352"/>
        <c:scaling>
          <c:orientation val="minMax"/>
        </c:scaling>
        <c:delete val="0"/>
        <c:axPos val="l"/>
        <c:majorGridlines>
          <c:spPr>
            <a:ln w="3175">
              <a:solidFill>
                <a:srgbClr val="000000"/>
              </a:solidFill>
              <a:prstDash val="solid"/>
            </a:ln>
          </c:spPr>
        </c:majorGridlines>
        <c:minorGridlines/>
        <c:title>
          <c:tx>
            <c:rich>
              <a:bodyPr/>
              <a:lstStyle/>
              <a:p>
                <a:pPr>
                  <a:defRPr sz="975" b="1" i="0" u="none" strike="noStrike" baseline="0">
                    <a:solidFill>
                      <a:srgbClr val="000000"/>
                    </a:solidFill>
                    <a:latin typeface="Arial"/>
                    <a:ea typeface="Arial"/>
                    <a:cs typeface="Arial"/>
                  </a:defRPr>
                </a:pPr>
                <a:r>
                  <a:rPr lang="en-US"/>
                  <a:t>Nitrate (ug/l)</a:t>
                </a:r>
              </a:p>
            </c:rich>
          </c:tx>
          <c:layout>
            <c:manualLayout>
              <c:xMode val="edge"/>
              <c:yMode val="edge"/>
              <c:x val="3.7567084078711989E-2"/>
              <c:y val="0.3644076693803343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8606080"/>
        <c:crosses val="autoZero"/>
        <c:crossBetween val="between"/>
      </c:valAx>
      <c:spPr>
        <a:solidFill>
          <a:schemeClr val="bg1"/>
        </a:solidFill>
        <a:ln w="12700">
          <a:solidFill>
            <a:srgbClr val="808080"/>
          </a:solidFill>
          <a:prstDash val="solid"/>
        </a:ln>
      </c:spPr>
    </c:plotArea>
    <c:legend>
      <c:legendPos val="r"/>
      <c:layout>
        <c:manualLayout>
          <c:xMode val="edge"/>
          <c:yMode val="edge"/>
          <c:x val="0.18604668309591393"/>
          <c:y val="0.15470088037360474"/>
          <c:w val="0.35241540245751934"/>
          <c:h val="0.14044268989537512"/>
        </c:manualLayout>
      </c:layout>
      <c:overlay val="0"/>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gradFill>
      <a:gsLst>
        <a:gs pos="0">
          <a:srgbClr val="4F81BD">
            <a:tint val="66000"/>
            <a:satMod val="160000"/>
            <a:alpha val="51000"/>
          </a:srgbClr>
        </a:gs>
        <a:gs pos="50000">
          <a:srgbClr val="4F81BD">
            <a:tint val="44500"/>
            <a:satMod val="160000"/>
          </a:srgbClr>
        </a:gs>
        <a:gs pos="100000">
          <a:srgbClr val="4F81BD">
            <a:tint val="23500"/>
            <a:satMod val="160000"/>
          </a:srgbClr>
        </a:gs>
      </a:gsLst>
      <a:lin ang="5400000" scaled="0"/>
    </a:gradFill>
    <a:ln w="3175">
      <a:solidFill>
        <a:srgbClr val="000000"/>
      </a:solidFill>
      <a:prstDash val="solid"/>
    </a:ln>
  </c:spPr>
  <c:txPr>
    <a:bodyPr/>
    <a:lstStyle/>
    <a:p>
      <a:pPr>
        <a:defRPr sz="14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horizontalDpi="-2"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5" Type="http://schemas.openxmlformats.org/officeDocument/2006/relationships/chart" Target="../charts/chart30.xml"/><Relationship Id="rId4" Type="http://schemas.openxmlformats.org/officeDocument/2006/relationships/chart" Target="../charts/chart29.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14.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 Id="rId4" Type="http://schemas.openxmlformats.org/officeDocument/2006/relationships/chart" Target="../charts/chart47.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chart" Target="../charts/chart49.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chart" Target="../charts/chart51.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 Id="rId6" Type="http://schemas.openxmlformats.org/officeDocument/2006/relationships/chart" Target="../charts/chart58.xml"/><Relationship Id="rId5" Type="http://schemas.openxmlformats.org/officeDocument/2006/relationships/chart" Target="../charts/chart57.xml"/><Relationship Id="rId4" Type="http://schemas.openxmlformats.org/officeDocument/2006/relationships/chart" Target="../charts/chart5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 Id="rId4" Type="http://schemas.openxmlformats.org/officeDocument/2006/relationships/chart" Target="../charts/chart6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25.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chart" Target="../charts/chart64.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68.xml"/><Relationship Id="rId2" Type="http://schemas.openxmlformats.org/officeDocument/2006/relationships/chart" Target="../charts/chart67.xml"/><Relationship Id="rId1" Type="http://schemas.openxmlformats.org/officeDocument/2006/relationships/chart" Target="../charts/chart66.xml"/><Relationship Id="rId4" Type="http://schemas.openxmlformats.org/officeDocument/2006/relationships/chart" Target="../charts/chart69.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chart" Target="../charts/chart7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7" Type="http://schemas.openxmlformats.org/officeDocument/2006/relationships/chart" Target="../charts/chart21.xml"/><Relationship Id="rId2" Type="http://schemas.openxmlformats.org/officeDocument/2006/relationships/chart" Target="../charts/chart16.xml"/><Relationship Id="rId1" Type="http://schemas.openxmlformats.org/officeDocument/2006/relationships/chart" Target="../charts/chart15.xml"/><Relationship Id="rId6" Type="http://schemas.openxmlformats.org/officeDocument/2006/relationships/chart" Target="../charts/chart20.xml"/><Relationship Id="rId5" Type="http://schemas.openxmlformats.org/officeDocument/2006/relationships/chart" Target="../charts/chart19.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123825</xdr:rowOff>
    </xdr:from>
    <xdr:to>
      <xdr:col>16</xdr:col>
      <xdr:colOff>9525</xdr:colOff>
      <xdr:row>45</xdr:row>
      <xdr:rowOff>85725</xdr:rowOff>
    </xdr:to>
    <xdr:pic>
      <xdr:nvPicPr>
        <xdr:cNvPr id="2" name="Picture 2" descr="bclp_water qual_sample-sites">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 y="123825"/>
          <a:ext cx="9525000" cy="7248525"/>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0.32385</cdr:x>
      <cdr:y>0.5757</cdr:y>
    </cdr:from>
    <cdr:to>
      <cdr:x>0.32385</cdr:x>
      <cdr:y>0.5757</cdr:y>
    </cdr:to>
    <cdr:sp macro="" textlink="">
      <cdr:nvSpPr>
        <cdr:cNvPr id="10241" name="Text Box 1"/>
        <cdr:cNvSpPr txBox="1">
          <a:spLocks xmlns:a="http://schemas.openxmlformats.org/drawingml/2006/main" noChangeArrowheads="1"/>
        </cdr:cNvSpPr>
      </cdr:nvSpPr>
      <cdr:spPr bwMode="auto">
        <a:xfrm xmlns:a="http://schemas.openxmlformats.org/drawingml/2006/main">
          <a:off x="1940350" y="1862093"/>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900" b="0" i="0" strike="noStrike">
              <a:solidFill>
                <a:srgbClr val="000000"/>
              </a:solidFill>
              <a:latin typeface="Arial"/>
              <a:cs typeface="Arial"/>
            </a:rPr>
            <a:t>Mesotrophic/Eutrophic Boundary</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209550</xdr:colOff>
      <xdr:row>23</xdr:row>
      <xdr:rowOff>142875</xdr:rowOff>
    </xdr:from>
    <xdr:to>
      <xdr:col>10</xdr:col>
      <xdr:colOff>147411</xdr:colOff>
      <xdr:row>45</xdr:row>
      <xdr:rowOff>85725</xdr:rowOff>
    </xdr:to>
    <xdr:graphicFrame macro="">
      <xdr:nvGraphicFramePr>
        <xdr:cNvPr id="11437" name="Chart 1">
          <a:extLst>
            <a:ext uri="{FF2B5EF4-FFF2-40B4-BE49-F238E27FC236}">
              <a16:creationId xmlns:a16="http://schemas.microsoft.com/office/drawing/2014/main" id="{00000000-0008-0000-0800-0000AD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521608</xdr:colOff>
      <xdr:row>24</xdr:row>
      <xdr:rowOff>90714</xdr:rowOff>
    </xdr:from>
    <xdr:to>
      <xdr:col>19</xdr:col>
      <xdr:colOff>170089</xdr:colOff>
      <xdr:row>45</xdr:row>
      <xdr:rowOff>90714</xdr:rowOff>
    </xdr:to>
    <xdr:graphicFrame macro="">
      <xdr:nvGraphicFramePr>
        <xdr:cNvPr id="4" name="Chart 3">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209550</xdr:colOff>
      <xdr:row>23</xdr:row>
      <xdr:rowOff>142875</xdr:rowOff>
    </xdr:from>
    <xdr:to>
      <xdr:col>10</xdr:col>
      <xdr:colOff>147411</xdr:colOff>
      <xdr:row>45</xdr:row>
      <xdr:rowOff>85725</xdr:rowOff>
    </xdr:to>
    <xdr:graphicFrame macro="">
      <xdr:nvGraphicFramePr>
        <xdr:cNvPr id="5" name="Chart 1">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378276</xdr:colOff>
      <xdr:row>54</xdr:row>
      <xdr:rowOff>298449</xdr:rowOff>
    </xdr:from>
    <xdr:to>
      <xdr:col>16</xdr:col>
      <xdr:colOff>215447</xdr:colOff>
      <xdr:row>77</xdr:row>
      <xdr:rowOff>102052</xdr:rowOff>
    </xdr:to>
    <xdr:graphicFrame macro="">
      <xdr:nvGraphicFramePr>
        <xdr:cNvPr id="6" name="Chart 5">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0</xdr:colOff>
      <xdr:row>23</xdr:row>
      <xdr:rowOff>158749</xdr:rowOff>
    </xdr:from>
    <xdr:to>
      <xdr:col>29</xdr:col>
      <xdr:colOff>238124</xdr:colOff>
      <xdr:row>45</xdr:row>
      <xdr:rowOff>113392</xdr:rowOff>
    </xdr:to>
    <xdr:graphicFrame macro="">
      <xdr:nvGraphicFramePr>
        <xdr:cNvPr id="7" name="Chart 6">
          <a:extLst>
            <a:ext uri="{FF2B5EF4-FFF2-40B4-BE49-F238E27FC236}">
              <a16:creationId xmlns:a16="http://schemas.microsoft.com/office/drawing/2014/main" id="{00000000-0008-0000-0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333375</xdr:colOff>
      <xdr:row>1</xdr:row>
      <xdr:rowOff>175260</xdr:rowOff>
    </xdr:from>
    <xdr:to>
      <xdr:col>33</xdr:col>
      <xdr:colOff>482600</xdr:colOff>
      <xdr:row>25</xdr:row>
      <xdr:rowOff>48260</xdr:rowOff>
    </xdr:to>
    <xdr:graphicFrame macro="">
      <xdr:nvGraphicFramePr>
        <xdr:cNvPr id="23721" name="Chart 1">
          <a:extLst>
            <a:ext uri="{FF2B5EF4-FFF2-40B4-BE49-F238E27FC236}">
              <a16:creationId xmlns:a16="http://schemas.microsoft.com/office/drawing/2014/main" id="{00000000-0008-0000-0900-0000A95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345440</xdr:colOff>
      <xdr:row>26</xdr:row>
      <xdr:rowOff>48260</xdr:rowOff>
    </xdr:from>
    <xdr:to>
      <xdr:col>33</xdr:col>
      <xdr:colOff>533400</xdr:colOff>
      <xdr:row>54</xdr:row>
      <xdr:rowOff>126999</xdr:rowOff>
    </xdr:to>
    <xdr:graphicFrame macro="">
      <xdr:nvGraphicFramePr>
        <xdr:cNvPr id="23722" name="Chart 2">
          <a:extLst>
            <a:ext uri="{FF2B5EF4-FFF2-40B4-BE49-F238E27FC236}">
              <a16:creationId xmlns:a16="http://schemas.microsoft.com/office/drawing/2014/main" id="{00000000-0008-0000-0900-0000AA5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21</xdr:col>
      <xdr:colOff>43814</xdr:colOff>
      <xdr:row>27</xdr:row>
      <xdr:rowOff>43814</xdr:rowOff>
    </xdr:from>
    <xdr:to>
      <xdr:col>31</xdr:col>
      <xdr:colOff>419100</xdr:colOff>
      <xdr:row>52</xdr:row>
      <xdr:rowOff>20320</xdr:rowOff>
    </xdr:to>
    <xdr:graphicFrame macro="">
      <xdr:nvGraphicFramePr>
        <xdr:cNvPr id="29865" name="Chart 1">
          <a:extLst>
            <a:ext uri="{FF2B5EF4-FFF2-40B4-BE49-F238E27FC236}">
              <a16:creationId xmlns:a16="http://schemas.microsoft.com/office/drawing/2014/main" id="{00000000-0008-0000-0A00-0000A9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819150</xdr:colOff>
      <xdr:row>1</xdr:row>
      <xdr:rowOff>11430</xdr:rowOff>
    </xdr:from>
    <xdr:to>
      <xdr:col>31</xdr:col>
      <xdr:colOff>533400</xdr:colOff>
      <xdr:row>24</xdr:row>
      <xdr:rowOff>170180</xdr:rowOff>
    </xdr:to>
    <xdr:graphicFrame macro="">
      <xdr:nvGraphicFramePr>
        <xdr:cNvPr id="29866" name="Chart 2">
          <a:extLst>
            <a:ext uri="{FF2B5EF4-FFF2-40B4-BE49-F238E27FC236}">
              <a16:creationId xmlns:a16="http://schemas.microsoft.com/office/drawing/2014/main" id="{00000000-0008-0000-0A00-0000AA7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21</xdr:col>
      <xdr:colOff>76200</xdr:colOff>
      <xdr:row>32</xdr:row>
      <xdr:rowOff>139700</xdr:rowOff>
    </xdr:from>
    <xdr:to>
      <xdr:col>32</xdr:col>
      <xdr:colOff>584200</xdr:colOff>
      <xdr:row>59</xdr:row>
      <xdr:rowOff>152400</xdr:rowOff>
    </xdr:to>
    <xdr:graphicFrame macro="">
      <xdr:nvGraphicFramePr>
        <xdr:cNvPr id="24661" name="Chart 1">
          <a:extLst>
            <a:ext uri="{FF2B5EF4-FFF2-40B4-BE49-F238E27FC236}">
              <a16:creationId xmlns:a16="http://schemas.microsoft.com/office/drawing/2014/main" id="{00000000-0008-0000-0B00-0000556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660400</xdr:colOff>
      <xdr:row>3</xdr:row>
      <xdr:rowOff>12700</xdr:rowOff>
    </xdr:from>
    <xdr:to>
      <xdr:col>32</xdr:col>
      <xdr:colOff>482600</xdr:colOff>
      <xdr:row>31</xdr:row>
      <xdr:rowOff>114300</xdr:rowOff>
    </xdr:to>
    <xdr:graphicFrame macro="">
      <xdr:nvGraphicFramePr>
        <xdr:cNvPr id="3" name="Chart 2">
          <a:extLst>
            <a:ext uri="{FF2B5EF4-FFF2-40B4-BE49-F238E27FC236}">
              <a16:creationId xmlns:a16="http://schemas.microsoft.com/office/drawing/2014/main" id="{00000000-0008-0000-0B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698500</xdr:colOff>
      <xdr:row>1</xdr:row>
      <xdr:rowOff>130174</xdr:rowOff>
    </xdr:from>
    <xdr:to>
      <xdr:col>37</xdr:col>
      <xdr:colOff>368300</xdr:colOff>
      <xdr:row>29</xdr:row>
      <xdr:rowOff>114300</xdr:rowOff>
    </xdr:to>
    <xdr:graphicFrame macro="">
      <xdr:nvGraphicFramePr>
        <xdr:cNvPr id="17493" name="Chart 1">
          <a:extLst>
            <a:ext uri="{FF2B5EF4-FFF2-40B4-BE49-F238E27FC236}">
              <a16:creationId xmlns:a16="http://schemas.microsoft.com/office/drawing/2014/main" id="{00000000-0008-0000-0C00-000055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25400</xdr:colOff>
      <xdr:row>32</xdr:row>
      <xdr:rowOff>114300</xdr:rowOff>
    </xdr:from>
    <xdr:to>
      <xdr:col>37</xdr:col>
      <xdr:colOff>431800</xdr:colOff>
      <xdr:row>55</xdr:row>
      <xdr:rowOff>101600</xdr:rowOff>
    </xdr:to>
    <xdr:graphicFrame macro="">
      <xdr:nvGraphicFramePr>
        <xdr:cNvPr id="3" name="Chart 2">
          <a:extLst>
            <a:ext uri="{FF2B5EF4-FFF2-40B4-BE49-F238E27FC236}">
              <a16:creationId xmlns:a16="http://schemas.microsoft.com/office/drawing/2014/main"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325752</xdr:colOff>
      <xdr:row>10</xdr:row>
      <xdr:rowOff>154303</xdr:rowOff>
    </xdr:from>
    <xdr:to>
      <xdr:col>17</xdr:col>
      <xdr:colOff>590549</xdr:colOff>
      <xdr:row>37</xdr:row>
      <xdr:rowOff>114299</xdr:rowOff>
    </xdr:to>
    <xdr:graphicFrame macro="">
      <xdr:nvGraphicFramePr>
        <xdr:cNvPr id="2" name="Chart 1">
          <a:extLst>
            <a:ext uri="{FF2B5EF4-FFF2-40B4-BE49-F238E27FC236}">
              <a16:creationId xmlns:a16="http://schemas.microsoft.com/office/drawing/2014/main" id="{00000000-0008-0000-0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295274</xdr:colOff>
      <xdr:row>10</xdr:row>
      <xdr:rowOff>104775</xdr:rowOff>
    </xdr:from>
    <xdr:to>
      <xdr:col>37</xdr:col>
      <xdr:colOff>171450</xdr:colOff>
      <xdr:row>33</xdr:row>
      <xdr:rowOff>114300</xdr:rowOff>
    </xdr:to>
    <xdr:graphicFrame macro="">
      <xdr:nvGraphicFramePr>
        <xdr:cNvPr id="3" name="Chart 2">
          <a:extLst>
            <a:ext uri="{FF2B5EF4-FFF2-40B4-BE49-F238E27FC236}">
              <a16:creationId xmlns:a16="http://schemas.microsoft.com/office/drawing/2014/main" id="{00000000-0008-0000-0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355600</xdr:colOff>
      <xdr:row>21</xdr:row>
      <xdr:rowOff>3174</xdr:rowOff>
    </xdr:from>
    <xdr:to>
      <xdr:col>12</xdr:col>
      <xdr:colOff>533400</xdr:colOff>
      <xdr:row>42</xdr:row>
      <xdr:rowOff>101600</xdr:rowOff>
    </xdr:to>
    <xdr:graphicFrame macro="">
      <xdr:nvGraphicFramePr>
        <xdr:cNvPr id="33963" name="Chart 1">
          <a:extLst>
            <a:ext uri="{FF2B5EF4-FFF2-40B4-BE49-F238E27FC236}">
              <a16:creationId xmlns:a16="http://schemas.microsoft.com/office/drawing/2014/main" id="{00000000-0008-0000-0E00-0000AB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177800</xdr:colOff>
      <xdr:row>19</xdr:row>
      <xdr:rowOff>101600</xdr:rowOff>
    </xdr:from>
    <xdr:to>
      <xdr:col>25</xdr:col>
      <xdr:colOff>660400</xdr:colOff>
      <xdr:row>42</xdr:row>
      <xdr:rowOff>139700</xdr:rowOff>
    </xdr:to>
    <xdr:graphicFrame macro="">
      <xdr:nvGraphicFramePr>
        <xdr:cNvPr id="33964" name="Chart 2">
          <a:extLst>
            <a:ext uri="{FF2B5EF4-FFF2-40B4-BE49-F238E27FC236}">
              <a16:creationId xmlns:a16="http://schemas.microsoft.com/office/drawing/2014/main" id="{00000000-0008-0000-0E00-0000AC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876300</xdr:colOff>
      <xdr:row>61</xdr:row>
      <xdr:rowOff>38100</xdr:rowOff>
    </xdr:from>
    <xdr:to>
      <xdr:col>16</xdr:col>
      <xdr:colOff>622300</xdr:colOff>
      <xdr:row>92</xdr:row>
      <xdr:rowOff>101600</xdr:rowOff>
    </xdr:to>
    <xdr:graphicFrame macro="">
      <xdr:nvGraphicFramePr>
        <xdr:cNvPr id="4" name="Chart 3">
          <a:extLst>
            <a:ext uri="{FF2B5EF4-FFF2-40B4-BE49-F238E27FC236}">
              <a16:creationId xmlns:a16="http://schemas.microsoft.com/office/drawing/2014/main" id="{00000000-0008-0000-0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330200</xdr:colOff>
      <xdr:row>34</xdr:row>
      <xdr:rowOff>63500</xdr:rowOff>
    </xdr:from>
    <xdr:to>
      <xdr:col>10</xdr:col>
      <xdr:colOff>723900</xdr:colOff>
      <xdr:row>62</xdr:row>
      <xdr:rowOff>63500</xdr:rowOff>
    </xdr:to>
    <xdr:graphicFrame macro="">
      <xdr:nvGraphicFramePr>
        <xdr:cNvPr id="28757" name="Chart 1">
          <a:extLst>
            <a:ext uri="{FF2B5EF4-FFF2-40B4-BE49-F238E27FC236}">
              <a16:creationId xmlns:a16="http://schemas.microsoft.com/office/drawing/2014/main" id="{00000000-0008-0000-0F00-0000557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546100</xdr:colOff>
      <xdr:row>34</xdr:row>
      <xdr:rowOff>139700</xdr:rowOff>
    </xdr:from>
    <xdr:to>
      <xdr:col>24</xdr:col>
      <xdr:colOff>127000</xdr:colOff>
      <xdr:row>62</xdr:row>
      <xdr:rowOff>76200</xdr:rowOff>
    </xdr:to>
    <xdr:graphicFrame macro="">
      <xdr:nvGraphicFramePr>
        <xdr:cNvPr id="3" name="Chart 2">
          <a:extLst>
            <a:ext uri="{FF2B5EF4-FFF2-40B4-BE49-F238E27FC236}">
              <a16:creationId xmlns:a16="http://schemas.microsoft.com/office/drawing/2014/main" id="{00000000-0008-0000-0F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584200</xdr:colOff>
      <xdr:row>65</xdr:row>
      <xdr:rowOff>152400</xdr:rowOff>
    </xdr:from>
    <xdr:to>
      <xdr:col>10</xdr:col>
      <xdr:colOff>596900</xdr:colOff>
      <xdr:row>90</xdr:row>
      <xdr:rowOff>63500</xdr:rowOff>
    </xdr:to>
    <xdr:graphicFrame macro="">
      <xdr:nvGraphicFramePr>
        <xdr:cNvPr id="4" name="Chart 3">
          <a:extLst>
            <a:ext uri="{FF2B5EF4-FFF2-40B4-BE49-F238E27FC236}">
              <a16:creationId xmlns:a16="http://schemas.microsoft.com/office/drawing/2014/main" id="{00000000-0008-0000-0F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457200</xdr:colOff>
      <xdr:row>65</xdr:row>
      <xdr:rowOff>114300</xdr:rowOff>
    </xdr:from>
    <xdr:to>
      <xdr:col>24</xdr:col>
      <xdr:colOff>342900</xdr:colOff>
      <xdr:row>89</xdr:row>
      <xdr:rowOff>88900</xdr:rowOff>
    </xdr:to>
    <xdr:graphicFrame macro="">
      <xdr:nvGraphicFramePr>
        <xdr:cNvPr id="5" name="Chart 4">
          <a:extLst>
            <a:ext uri="{FF2B5EF4-FFF2-40B4-BE49-F238E27FC236}">
              <a16:creationId xmlns:a16="http://schemas.microsoft.com/office/drawing/2014/main" id="{00000000-0008-0000-0F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752475</xdr:colOff>
      <xdr:row>25</xdr:row>
      <xdr:rowOff>3174</xdr:rowOff>
    </xdr:from>
    <xdr:to>
      <xdr:col>14</xdr:col>
      <xdr:colOff>0</xdr:colOff>
      <xdr:row>52</xdr:row>
      <xdr:rowOff>63500</xdr:rowOff>
    </xdr:to>
    <xdr:graphicFrame macro="">
      <xdr:nvGraphicFramePr>
        <xdr:cNvPr id="18517" name="Chart 1">
          <a:extLst>
            <a:ext uri="{FF2B5EF4-FFF2-40B4-BE49-F238E27FC236}">
              <a16:creationId xmlns:a16="http://schemas.microsoft.com/office/drawing/2014/main" id="{00000000-0008-0000-1000-000055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22</xdr:row>
      <xdr:rowOff>123825</xdr:rowOff>
    </xdr:from>
    <xdr:to>
      <xdr:col>12</xdr:col>
      <xdr:colOff>114300</xdr:colOff>
      <xdr:row>37</xdr:row>
      <xdr:rowOff>38100</xdr:rowOff>
    </xdr:to>
    <xdr:graphicFrame macro="">
      <xdr:nvGraphicFramePr>
        <xdr:cNvPr id="1445" name="Chart 1">
          <a:extLst>
            <a:ext uri="{FF2B5EF4-FFF2-40B4-BE49-F238E27FC236}">
              <a16:creationId xmlns:a16="http://schemas.microsoft.com/office/drawing/2014/main" id="{00000000-0008-0000-0200-0000A50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285750</xdr:colOff>
      <xdr:row>22</xdr:row>
      <xdr:rowOff>123825</xdr:rowOff>
    </xdr:from>
    <xdr:to>
      <xdr:col>15</xdr:col>
      <xdr:colOff>314325</xdr:colOff>
      <xdr:row>37</xdr:row>
      <xdr:rowOff>38100</xdr:rowOff>
    </xdr:to>
    <xdr:graphicFrame macro="">
      <xdr:nvGraphicFramePr>
        <xdr:cNvPr id="7" name="Chart 1">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55</xdr:row>
      <xdr:rowOff>0</xdr:rowOff>
    </xdr:from>
    <xdr:to>
      <xdr:col>16</xdr:col>
      <xdr:colOff>152400</xdr:colOff>
      <xdr:row>70</xdr:row>
      <xdr:rowOff>95250</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285749</xdr:colOff>
      <xdr:row>37</xdr:row>
      <xdr:rowOff>152401</xdr:rowOff>
    </xdr:from>
    <xdr:to>
      <xdr:col>15</xdr:col>
      <xdr:colOff>333374</xdr:colOff>
      <xdr:row>53</xdr:row>
      <xdr:rowOff>133351</xdr:rowOff>
    </xdr:to>
    <xdr:graphicFrame macro="">
      <xdr:nvGraphicFramePr>
        <xdr:cNvPr id="9" name="Chart 3">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9525</xdr:colOff>
      <xdr:row>22</xdr:row>
      <xdr:rowOff>152400</xdr:rowOff>
    </xdr:from>
    <xdr:to>
      <xdr:col>32</xdr:col>
      <xdr:colOff>381000</xdr:colOff>
      <xdr:row>37</xdr:row>
      <xdr:rowOff>66675</xdr:rowOff>
    </xdr:to>
    <xdr:graphicFrame macro="">
      <xdr:nvGraphicFramePr>
        <xdr:cNvPr id="10" name="Chart 4">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9525</xdr:colOff>
      <xdr:row>38</xdr:row>
      <xdr:rowOff>19050</xdr:rowOff>
    </xdr:from>
    <xdr:to>
      <xdr:col>32</xdr:col>
      <xdr:colOff>285750</xdr:colOff>
      <xdr:row>52</xdr:row>
      <xdr:rowOff>152399</xdr:rowOff>
    </xdr:to>
    <xdr:graphicFrame macro="">
      <xdr:nvGraphicFramePr>
        <xdr:cNvPr id="11" name="Chart 5">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250824</xdr:colOff>
      <xdr:row>22</xdr:row>
      <xdr:rowOff>158750</xdr:rowOff>
    </xdr:from>
    <xdr:to>
      <xdr:col>22</xdr:col>
      <xdr:colOff>165099</xdr:colOff>
      <xdr:row>50</xdr:row>
      <xdr:rowOff>101600</xdr:rowOff>
    </xdr:to>
    <xdr:graphicFrame macro="">
      <xdr:nvGraphicFramePr>
        <xdr:cNvPr id="12457" name="Chart 1">
          <a:extLst>
            <a:ext uri="{FF2B5EF4-FFF2-40B4-BE49-F238E27FC236}">
              <a16:creationId xmlns:a16="http://schemas.microsoft.com/office/drawing/2014/main" id="{00000000-0008-0000-1100-0000A9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203200</xdr:colOff>
      <xdr:row>23</xdr:row>
      <xdr:rowOff>22224</xdr:rowOff>
    </xdr:from>
    <xdr:to>
      <xdr:col>9</xdr:col>
      <xdr:colOff>682625</xdr:colOff>
      <xdr:row>50</xdr:row>
      <xdr:rowOff>38100</xdr:rowOff>
    </xdr:to>
    <xdr:graphicFrame macro="">
      <xdr:nvGraphicFramePr>
        <xdr:cNvPr id="12458" name="Chart 2">
          <a:extLst>
            <a:ext uri="{FF2B5EF4-FFF2-40B4-BE49-F238E27FC236}">
              <a16:creationId xmlns:a16="http://schemas.microsoft.com/office/drawing/2014/main" id="{00000000-0008-0000-1100-0000A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12</xdr:col>
      <xdr:colOff>85725</xdr:colOff>
      <xdr:row>1</xdr:row>
      <xdr:rowOff>57150</xdr:rowOff>
    </xdr:from>
    <xdr:to>
      <xdr:col>20</xdr:col>
      <xdr:colOff>600075</xdr:colOff>
      <xdr:row>17</xdr:row>
      <xdr:rowOff>133350</xdr:rowOff>
    </xdr:to>
    <xdr:graphicFrame macro="">
      <xdr:nvGraphicFramePr>
        <xdr:cNvPr id="5" name="Chart 4">
          <a:extLst>
            <a:ext uri="{FF2B5EF4-FFF2-40B4-BE49-F238E27FC236}">
              <a16:creationId xmlns:a16="http://schemas.microsoft.com/office/drawing/2014/main" id="{00000000-0008-0000-1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542924</xdr:colOff>
      <xdr:row>0</xdr:row>
      <xdr:rowOff>133350</xdr:rowOff>
    </xdr:from>
    <xdr:to>
      <xdr:col>31</xdr:col>
      <xdr:colOff>219074</xdr:colOff>
      <xdr:row>18</xdr:row>
      <xdr:rowOff>9525</xdr:rowOff>
    </xdr:to>
    <xdr:graphicFrame macro="">
      <xdr:nvGraphicFramePr>
        <xdr:cNvPr id="3" name="Chart 2">
          <a:extLst>
            <a:ext uri="{FF2B5EF4-FFF2-40B4-BE49-F238E27FC236}">
              <a16:creationId xmlns:a16="http://schemas.microsoft.com/office/drawing/2014/main" id="{00000000-0008-0000-1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628648</xdr:colOff>
      <xdr:row>30</xdr:row>
      <xdr:rowOff>47625</xdr:rowOff>
    </xdr:from>
    <xdr:to>
      <xdr:col>9</xdr:col>
      <xdr:colOff>523874</xdr:colOff>
      <xdr:row>49</xdr:row>
      <xdr:rowOff>24741</xdr:rowOff>
    </xdr:to>
    <xdr:graphicFrame macro="">
      <xdr:nvGraphicFramePr>
        <xdr:cNvPr id="2" name="Chart 1">
          <a:extLst>
            <a:ext uri="{FF2B5EF4-FFF2-40B4-BE49-F238E27FC236}">
              <a16:creationId xmlns:a16="http://schemas.microsoft.com/office/drawing/2014/main" id="{00000000-0008-0000-1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235032</xdr:colOff>
      <xdr:row>30</xdr:row>
      <xdr:rowOff>61851</xdr:rowOff>
    </xdr:from>
    <xdr:to>
      <xdr:col>21</xdr:col>
      <xdr:colOff>1631156</xdr:colOff>
      <xdr:row>49</xdr:row>
      <xdr:rowOff>123701</xdr:rowOff>
    </xdr:to>
    <xdr:graphicFrame macro="">
      <xdr:nvGraphicFramePr>
        <xdr:cNvPr id="3" name="Chart 2">
          <a:extLst>
            <a:ext uri="{FF2B5EF4-FFF2-40B4-BE49-F238E27FC236}">
              <a16:creationId xmlns:a16="http://schemas.microsoft.com/office/drawing/2014/main" id="{00000000-0008-0000-1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619122</xdr:colOff>
      <xdr:row>51</xdr:row>
      <xdr:rowOff>23812</xdr:rowOff>
    </xdr:from>
    <xdr:to>
      <xdr:col>9</xdr:col>
      <xdr:colOff>476249</xdr:colOff>
      <xdr:row>71</xdr:row>
      <xdr:rowOff>61911</xdr:rowOff>
    </xdr:to>
    <xdr:graphicFrame macro="">
      <xdr:nvGraphicFramePr>
        <xdr:cNvPr id="4" name="Chart 3">
          <a:extLst>
            <a:ext uri="{FF2B5EF4-FFF2-40B4-BE49-F238E27FC236}">
              <a16:creationId xmlns:a16="http://schemas.microsoft.com/office/drawing/2014/main" id="{00000000-0008-0000-1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248795</xdr:colOff>
      <xdr:row>50</xdr:row>
      <xdr:rowOff>92869</xdr:rowOff>
    </xdr:from>
    <xdr:to>
      <xdr:col>21</xdr:col>
      <xdr:colOff>1595437</xdr:colOff>
      <xdr:row>70</xdr:row>
      <xdr:rowOff>142876</xdr:rowOff>
    </xdr:to>
    <xdr:graphicFrame macro="">
      <xdr:nvGraphicFramePr>
        <xdr:cNvPr id="5" name="Chart 4">
          <a:extLst>
            <a:ext uri="{FF2B5EF4-FFF2-40B4-BE49-F238E27FC236}">
              <a16:creationId xmlns:a16="http://schemas.microsoft.com/office/drawing/2014/main" id="{00000000-0008-0000-1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452438</xdr:colOff>
      <xdr:row>72</xdr:row>
      <xdr:rowOff>107156</xdr:rowOff>
    </xdr:from>
    <xdr:to>
      <xdr:col>9</xdr:col>
      <xdr:colOff>369094</xdr:colOff>
      <xdr:row>96</xdr:row>
      <xdr:rowOff>75613</xdr:rowOff>
    </xdr:to>
    <xdr:graphicFrame macro="">
      <xdr:nvGraphicFramePr>
        <xdr:cNvPr id="6" name="Chart 5">
          <a:extLst>
            <a:ext uri="{FF2B5EF4-FFF2-40B4-BE49-F238E27FC236}">
              <a16:creationId xmlns:a16="http://schemas.microsoft.com/office/drawing/2014/main" id="{00000000-0008-0000-1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321622</xdr:colOff>
      <xdr:row>72</xdr:row>
      <xdr:rowOff>98960</xdr:rowOff>
    </xdr:from>
    <xdr:to>
      <xdr:col>21</xdr:col>
      <xdr:colOff>1690687</xdr:colOff>
      <xdr:row>96</xdr:row>
      <xdr:rowOff>59531</xdr:rowOff>
    </xdr:to>
    <xdr:graphicFrame macro="">
      <xdr:nvGraphicFramePr>
        <xdr:cNvPr id="7" name="Chart 6">
          <a:extLst>
            <a:ext uri="{FF2B5EF4-FFF2-40B4-BE49-F238E27FC236}">
              <a16:creationId xmlns:a16="http://schemas.microsoft.com/office/drawing/2014/main" id="{00000000-0008-0000-1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31</xdr:col>
      <xdr:colOff>361951</xdr:colOff>
      <xdr:row>62</xdr:row>
      <xdr:rowOff>17143</xdr:rowOff>
    </xdr:from>
    <xdr:to>
      <xdr:col>46</xdr:col>
      <xdr:colOff>400051</xdr:colOff>
      <xdr:row>88</xdr:row>
      <xdr:rowOff>123825</xdr:rowOff>
    </xdr:to>
    <xdr:graphicFrame macro="">
      <xdr:nvGraphicFramePr>
        <xdr:cNvPr id="2" name="Chart 1">
          <a:extLst>
            <a:ext uri="{FF2B5EF4-FFF2-40B4-BE49-F238E27FC236}">
              <a16:creationId xmlns:a16="http://schemas.microsoft.com/office/drawing/2014/main" id="{00000000-0008-0000-1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32</xdr:col>
      <xdr:colOff>394335</xdr:colOff>
      <xdr:row>21</xdr:row>
      <xdr:rowOff>142875</xdr:rowOff>
    </xdr:from>
    <xdr:to>
      <xdr:col>44</xdr:col>
      <xdr:colOff>257175</xdr:colOff>
      <xdr:row>41</xdr:row>
      <xdr:rowOff>80010</xdr:rowOff>
    </xdr:to>
    <xdr:graphicFrame macro="">
      <xdr:nvGraphicFramePr>
        <xdr:cNvPr id="3" name="Chart 2">
          <a:extLst>
            <a:ext uri="{FF2B5EF4-FFF2-40B4-BE49-F238E27FC236}">
              <a16:creationId xmlns:a16="http://schemas.microsoft.com/office/drawing/2014/main" id="{00000000-0008-0000-1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405764</xdr:colOff>
      <xdr:row>42</xdr:row>
      <xdr:rowOff>43815</xdr:rowOff>
    </xdr:from>
    <xdr:to>
      <xdr:col>44</xdr:col>
      <xdr:colOff>285750</xdr:colOff>
      <xdr:row>61</xdr:row>
      <xdr:rowOff>57150</xdr:rowOff>
    </xdr:to>
    <xdr:graphicFrame macro="">
      <xdr:nvGraphicFramePr>
        <xdr:cNvPr id="4" name="Chart 3">
          <a:extLst>
            <a:ext uri="{FF2B5EF4-FFF2-40B4-BE49-F238E27FC236}">
              <a16:creationId xmlns:a16="http://schemas.microsoft.com/office/drawing/2014/main" id="{00000000-0008-0000-1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32</xdr:col>
      <xdr:colOff>472439</xdr:colOff>
      <xdr:row>0</xdr:row>
      <xdr:rowOff>57150</xdr:rowOff>
    </xdr:from>
    <xdr:to>
      <xdr:col>44</xdr:col>
      <xdr:colOff>361950</xdr:colOff>
      <xdr:row>20</xdr:row>
      <xdr:rowOff>40005</xdr:rowOff>
    </xdr:to>
    <xdr:graphicFrame macro="">
      <xdr:nvGraphicFramePr>
        <xdr:cNvPr id="5" name="Chart 4">
          <a:extLst>
            <a:ext uri="{FF2B5EF4-FFF2-40B4-BE49-F238E27FC236}">
              <a16:creationId xmlns:a16="http://schemas.microsoft.com/office/drawing/2014/main" id="{00000000-0008-0000-1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386714</xdr:colOff>
      <xdr:row>2</xdr:row>
      <xdr:rowOff>85725</xdr:rowOff>
    </xdr:from>
    <xdr:to>
      <xdr:col>21</xdr:col>
      <xdr:colOff>348615</xdr:colOff>
      <xdr:row>27</xdr:row>
      <xdr:rowOff>51434</xdr:rowOff>
    </xdr:to>
    <xdr:graphicFrame macro="">
      <xdr:nvGraphicFramePr>
        <xdr:cNvPr id="2" name="Chart 1">
          <a:extLst>
            <a:ext uri="{FF2B5EF4-FFF2-40B4-BE49-F238E27FC236}">
              <a16:creationId xmlns:a16="http://schemas.microsoft.com/office/drawing/2014/main" id="{00000000-0008-0000-1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32</xdr:col>
      <xdr:colOff>600074</xdr:colOff>
      <xdr:row>1</xdr:row>
      <xdr:rowOff>9524</xdr:rowOff>
    </xdr:from>
    <xdr:to>
      <xdr:col>42</xdr:col>
      <xdr:colOff>171449</xdr:colOff>
      <xdr:row>22</xdr:row>
      <xdr:rowOff>85724</xdr:rowOff>
    </xdr:to>
    <xdr:graphicFrame macro="">
      <xdr:nvGraphicFramePr>
        <xdr:cNvPr id="2" name="Chart 1">
          <a:extLst>
            <a:ext uri="{FF2B5EF4-FFF2-40B4-BE49-F238E27FC236}">
              <a16:creationId xmlns:a16="http://schemas.microsoft.com/office/drawing/2014/main" id="{00000000-0008-0000-1D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33</xdr:col>
      <xdr:colOff>142875</xdr:colOff>
      <xdr:row>24</xdr:row>
      <xdr:rowOff>19049</xdr:rowOff>
    </xdr:from>
    <xdr:to>
      <xdr:col>43</xdr:col>
      <xdr:colOff>28575</xdr:colOff>
      <xdr:row>45</xdr:row>
      <xdr:rowOff>9525</xdr:rowOff>
    </xdr:to>
    <xdr:graphicFrame macro="">
      <xdr:nvGraphicFramePr>
        <xdr:cNvPr id="3" name="Chart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33</xdr:col>
      <xdr:colOff>0</xdr:colOff>
      <xdr:row>1</xdr:row>
      <xdr:rowOff>0</xdr:rowOff>
    </xdr:from>
    <xdr:to>
      <xdr:col>42</xdr:col>
      <xdr:colOff>415290</xdr:colOff>
      <xdr:row>4</xdr:row>
      <xdr:rowOff>99060</xdr:rowOff>
    </xdr:to>
    <xdr:sp macro="" textlink="">
      <xdr:nvSpPr>
        <xdr:cNvPr id="4" name="AutoShape 2" descr="Graph of  Discharge, cubic feet per second">
          <a:extLst>
            <a:ext uri="{FF2B5EF4-FFF2-40B4-BE49-F238E27FC236}">
              <a16:creationId xmlns:a16="http://schemas.microsoft.com/office/drawing/2014/main" id="{00000000-0008-0000-1D00-000004000000}"/>
            </a:ext>
          </a:extLst>
        </xdr:cNvPr>
        <xdr:cNvSpPr>
          <a:spLocks noChangeAspect="1" noChangeArrowheads="1"/>
        </xdr:cNvSpPr>
      </xdr:nvSpPr>
      <xdr:spPr bwMode="auto">
        <a:xfrm>
          <a:off x="13658850" y="161925"/>
          <a:ext cx="5901690" cy="3522345"/>
        </a:xfrm>
        <a:prstGeom prst="rect">
          <a:avLst/>
        </a:prstGeom>
        <a:noFill/>
      </xdr:spPr>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28575</xdr:colOff>
      <xdr:row>17</xdr:row>
      <xdr:rowOff>99060</xdr:rowOff>
    </xdr:from>
    <xdr:to>
      <xdr:col>9</xdr:col>
      <xdr:colOff>619125</xdr:colOff>
      <xdr:row>38</xdr:row>
      <xdr:rowOff>7620</xdr:rowOff>
    </xdr:to>
    <xdr:graphicFrame macro="">
      <xdr:nvGraphicFramePr>
        <xdr:cNvPr id="3" name="Chart 2">
          <a:extLst>
            <a:ext uri="{FF2B5EF4-FFF2-40B4-BE49-F238E27FC236}">
              <a16:creationId xmlns:a16="http://schemas.microsoft.com/office/drawing/2014/main" id="{00000000-0008-0000-1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205739</xdr:colOff>
      <xdr:row>17</xdr:row>
      <xdr:rowOff>83820</xdr:rowOff>
    </xdr:from>
    <xdr:to>
      <xdr:col>20</xdr:col>
      <xdr:colOff>180974</xdr:colOff>
      <xdr:row>38</xdr:row>
      <xdr:rowOff>0</xdr:rowOff>
    </xdr:to>
    <xdr:graphicFrame macro="">
      <xdr:nvGraphicFramePr>
        <xdr:cNvPr id="4" name="Chart 3">
          <a:extLst>
            <a:ext uri="{FF2B5EF4-FFF2-40B4-BE49-F238E27FC236}">
              <a16:creationId xmlns:a16="http://schemas.microsoft.com/office/drawing/2014/main" id="{00000000-0008-0000-1E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140970</xdr:colOff>
      <xdr:row>1</xdr:row>
      <xdr:rowOff>41910</xdr:rowOff>
    </xdr:from>
    <xdr:to>
      <xdr:col>20</xdr:col>
      <xdr:colOff>445770</xdr:colOff>
      <xdr:row>16</xdr:row>
      <xdr:rowOff>133350</xdr:rowOff>
    </xdr:to>
    <xdr:graphicFrame macro="">
      <xdr:nvGraphicFramePr>
        <xdr:cNvPr id="5" name="Chart 4">
          <a:extLst>
            <a:ext uri="{FF2B5EF4-FFF2-40B4-BE49-F238E27FC236}">
              <a16:creationId xmlns:a16="http://schemas.microsoft.com/office/drawing/2014/main" id="{00000000-0008-0000-1E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739140</xdr:colOff>
      <xdr:row>40</xdr:row>
      <xdr:rowOff>22860</xdr:rowOff>
    </xdr:from>
    <xdr:to>
      <xdr:col>9</xdr:col>
      <xdr:colOff>274320</xdr:colOff>
      <xdr:row>57</xdr:row>
      <xdr:rowOff>114300</xdr:rowOff>
    </xdr:to>
    <xdr:graphicFrame macro="">
      <xdr:nvGraphicFramePr>
        <xdr:cNvPr id="6" name="Chart 5">
          <a:extLst>
            <a:ext uri="{FF2B5EF4-FFF2-40B4-BE49-F238E27FC236}">
              <a16:creationId xmlns:a16="http://schemas.microsoft.com/office/drawing/2014/main" id="{00000000-0008-0000-1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5</xdr:col>
      <xdr:colOff>22860</xdr:colOff>
      <xdr:row>17</xdr:row>
      <xdr:rowOff>53340</xdr:rowOff>
    </xdr:from>
    <xdr:to>
      <xdr:col>10</xdr:col>
      <xdr:colOff>929640</xdr:colOff>
      <xdr:row>33</xdr:row>
      <xdr:rowOff>114300</xdr:rowOff>
    </xdr:to>
    <xdr:graphicFrame macro="">
      <xdr:nvGraphicFramePr>
        <xdr:cNvPr id="3" name="Chart 2">
          <a:extLst>
            <a:ext uri="{FF2B5EF4-FFF2-40B4-BE49-F238E27FC236}">
              <a16:creationId xmlns:a16="http://schemas.microsoft.com/office/drawing/2014/main" id="{00000000-0008-0000-2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30</xdr:col>
      <xdr:colOff>495300</xdr:colOff>
      <xdr:row>125</xdr:row>
      <xdr:rowOff>129540</xdr:rowOff>
    </xdr:from>
    <xdr:to>
      <xdr:col>39</xdr:col>
      <xdr:colOff>533400</xdr:colOff>
      <xdr:row>144</xdr:row>
      <xdr:rowOff>38100</xdr:rowOff>
    </xdr:to>
    <xdr:graphicFrame macro="">
      <xdr:nvGraphicFramePr>
        <xdr:cNvPr id="4" name="Chart 3">
          <a:extLst>
            <a:ext uri="{FF2B5EF4-FFF2-40B4-BE49-F238E27FC236}">
              <a16:creationId xmlns:a16="http://schemas.microsoft.com/office/drawing/2014/main" id="{00000000-0008-0000-2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95249</xdr:colOff>
      <xdr:row>26</xdr:row>
      <xdr:rowOff>133350</xdr:rowOff>
    </xdr:from>
    <xdr:to>
      <xdr:col>19</xdr:col>
      <xdr:colOff>581024</xdr:colOff>
      <xdr:row>47</xdr:row>
      <xdr:rowOff>152400</xdr:rowOff>
    </xdr:to>
    <xdr:graphicFrame macro="">
      <xdr:nvGraphicFramePr>
        <xdr:cNvPr id="6"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114299</xdr:colOff>
      <xdr:row>0</xdr:row>
      <xdr:rowOff>190500</xdr:rowOff>
    </xdr:from>
    <xdr:to>
      <xdr:col>19</xdr:col>
      <xdr:colOff>600074</xdr:colOff>
      <xdr:row>26</xdr:row>
      <xdr:rowOff>9525</xdr:rowOff>
    </xdr:to>
    <xdr:graphicFrame macro="">
      <xdr:nvGraphicFramePr>
        <xdr:cNvPr id="7" name="Chart 2">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104775</xdr:colOff>
      <xdr:row>48</xdr:row>
      <xdr:rowOff>133350</xdr:rowOff>
    </xdr:from>
    <xdr:to>
      <xdr:col>19</xdr:col>
      <xdr:colOff>590550</xdr:colOff>
      <xdr:row>71</xdr:row>
      <xdr:rowOff>66675</xdr:rowOff>
    </xdr:to>
    <xdr:graphicFrame macro="">
      <xdr:nvGraphicFramePr>
        <xdr:cNvPr id="8" name="Chart 3">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76199</xdr:colOff>
      <xdr:row>72</xdr:row>
      <xdr:rowOff>57151</xdr:rowOff>
    </xdr:from>
    <xdr:to>
      <xdr:col>20</xdr:col>
      <xdr:colOff>19050</xdr:colOff>
      <xdr:row>95</xdr:row>
      <xdr:rowOff>133351</xdr:rowOff>
    </xdr:to>
    <xdr:graphicFrame macro="">
      <xdr:nvGraphicFramePr>
        <xdr:cNvPr id="9" name="Chart 4">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352424</xdr:colOff>
      <xdr:row>0</xdr:row>
      <xdr:rowOff>57151</xdr:rowOff>
    </xdr:from>
    <xdr:to>
      <xdr:col>20</xdr:col>
      <xdr:colOff>266700</xdr:colOff>
      <xdr:row>18</xdr:row>
      <xdr:rowOff>38100</xdr:rowOff>
    </xdr:to>
    <xdr:graphicFrame macro="">
      <xdr:nvGraphicFramePr>
        <xdr:cNvPr id="6" name="Chart 1">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400049</xdr:colOff>
      <xdr:row>19</xdr:row>
      <xdr:rowOff>57150</xdr:rowOff>
    </xdr:from>
    <xdr:to>
      <xdr:col>20</xdr:col>
      <xdr:colOff>314324</xdr:colOff>
      <xdr:row>43</xdr:row>
      <xdr:rowOff>0</xdr:rowOff>
    </xdr:to>
    <xdr:graphicFrame macro="">
      <xdr:nvGraphicFramePr>
        <xdr:cNvPr id="7" name="Chart 2">
          <a:extLst>
            <a:ext uri="{FF2B5EF4-FFF2-40B4-BE49-F238E27FC236}">
              <a16:creationId xmlns:a16="http://schemas.microsoft.com/office/drawing/2014/main" id="{00000000-0008-0000-04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390525</xdr:colOff>
      <xdr:row>43</xdr:row>
      <xdr:rowOff>123826</xdr:rowOff>
    </xdr:from>
    <xdr:to>
      <xdr:col>20</xdr:col>
      <xdr:colOff>333374</xdr:colOff>
      <xdr:row>63</xdr:row>
      <xdr:rowOff>104776</xdr:rowOff>
    </xdr:to>
    <xdr:graphicFrame macro="">
      <xdr:nvGraphicFramePr>
        <xdr:cNvPr id="8" name="Chart 3">
          <a:extLst>
            <a:ext uri="{FF2B5EF4-FFF2-40B4-BE49-F238E27FC236}">
              <a16:creationId xmlns:a16="http://schemas.microsoft.com/office/drawing/2014/main" id="{00000000-0008-0000-04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104774</xdr:colOff>
      <xdr:row>65</xdr:row>
      <xdr:rowOff>114301</xdr:rowOff>
    </xdr:from>
    <xdr:to>
      <xdr:col>20</xdr:col>
      <xdr:colOff>38099</xdr:colOff>
      <xdr:row>87</xdr:row>
      <xdr:rowOff>28576</xdr:rowOff>
    </xdr:to>
    <xdr:graphicFrame macro="">
      <xdr:nvGraphicFramePr>
        <xdr:cNvPr id="9" name="Chart 4">
          <a:extLst>
            <a:ext uri="{FF2B5EF4-FFF2-40B4-BE49-F238E27FC236}">
              <a16:creationId xmlns:a16="http://schemas.microsoft.com/office/drawing/2014/main" id="{00000000-0008-0000-04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171451</xdr:colOff>
      <xdr:row>63</xdr:row>
      <xdr:rowOff>28575</xdr:rowOff>
    </xdr:from>
    <xdr:to>
      <xdr:col>11</xdr:col>
      <xdr:colOff>171451</xdr:colOff>
      <xdr:row>79</xdr:row>
      <xdr:rowOff>19050</xdr:rowOff>
    </xdr:to>
    <xdr:graphicFrame macro="">
      <xdr:nvGraphicFramePr>
        <xdr:cNvPr id="4519" name="Chart 1">
          <a:extLst>
            <a:ext uri="{FF2B5EF4-FFF2-40B4-BE49-F238E27FC236}">
              <a16:creationId xmlns:a16="http://schemas.microsoft.com/office/drawing/2014/main" id="{00000000-0008-0000-0500-0000A71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63</xdr:row>
      <xdr:rowOff>28575</xdr:rowOff>
    </xdr:from>
    <xdr:to>
      <xdr:col>13</xdr:col>
      <xdr:colOff>809624</xdr:colOff>
      <xdr:row>79</xdr:row>
      <xdr:rowOff>19050</xdr:rowOff>
    </xdr:to>
    <xdr:graphicFrame macro="">
      <xdr:nvGraphicFramePr>
        <xdr:cNvPr id="7" name="Chart 1">
          <a:extLst>
            <a:ext uri="{FF2B5EF4-FFF2-40B4-BE49-F238E27FC236}">
              <a16:creationId xmlns:a16="http://schemas.microsoft.com/office/drawing/2014/main" id="{00000000-0008-0000-05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133350</xdr:colOff>
      <xdr:row>80</xdr:row>
      <xdr:rowOff>19050</xdr:rowOff>
    </xdr:from>
    <xdr:to>
      <xdr:col>6</xdr:col>
      <xdr:colOff>0</xdr:colOff>
      <xdr:row>95</xdr:row>
      <xdr:rowOff>104775</xdr:rowOff>
    </xdr:to>
    <xdr:graphicFrame macro="">
      <xdr:nvGraphicFramePr>
        <xdr:cNvPr id="8" name="Chart 2">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97</xdr:row>
      <xdr:rowOff>66675</xdr:rowOff>
    </xdr:from>
    <xdr:to>
      <xdr:col>6</xdr:col>
      <xdr:colOff>0</xdr:colOff>
      <xdr:row>114</xdr:row>
      <xdr:rowOff>123825</xdr:rowOff>
    </xdr:to>
    <xdr:graphicFrame macro="">
      <xdr:nvGraphicFramePr>
        <xdr:cNvPr id="9" name="Chart 3">
          <a:extLst>
            <a:ext uri="{FF2B5EF4-FFF2-40B4-BE49-F238E27FC236}">
              <a16:creationId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285749</xdr:colOff>
      <xdr:row>80</xdr:row>
      <xdr:rowOff>66675</xdr:rowOff>
    </xdr:from>
    <xdr:to>
      <xdr:col>15</xdr:col>
      <xdr:colOff>171449</xdr:colOff>
      <xdr:row>96</xdr:row>
      <xdr:rowOff>0</xdr:rowOff>
    </xdr:to>
    <xdr:graphicFrame macro="">
      <xdr:nvGraphicFramePr>
        <xdr:cNvPr id="10" name="Chart 4">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304799</xdr:colOff>
      <xdr:row>97</xdr:row>
      <xdr:rowOff>85726</xdr:rowOff>
    </xdr:from>
    <xdr:to>
      <xdr:col>15</xdr:col>
      <xdr:colOff>209550</xdr:colOff>
      <xdr:row>114</xdr:row>
      <xdr:rowOff>142875</xdr:rowOff>
    </xdr:to>
    <xdr:graphicFrame macro="">
      <xdr:nvGraphicFramePr>
        <xdr:cNvPr id="11" name="Chart 5">
          <a:extLst>
            <a:ext uri="{FF2B5EF4-FFF2-40B4-BE49-F238E27FC236}">
              <a16:creationId xmlns:a16="http://schemas.microsoft.com/office/drawing/2014/main" id="{00000000-0008-0000-05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16</xdr:col>
      <xdr:colOff>428624</xdr:colOff>
      <xdr:row>80</xdr:row>
      <xdr:rowOff>95250</xdr:rowOff>
    </xdr:from>
    <xdr:to>
      <xdr:col>25</xdr:col>
      <xdr:colOff>266700</xdr:colOff>
      <xdr:row>101</xdr:row>
      <xdr:rowOff>142875</xdr:rowOff>
    </xdr:to>
    <xdr:graphicFrame macro="">
      <xdr:nvGraphicFramePr>
        <xdr:cNvPr id="12" name="Chart 11">
          <a:extLst>
            <a:ext uri="{FF2B5EF4-FFF2-40B4-BE49-F238E27FC236}">
              <a16:creationId xmlns:a16="http://schemas.microsoft.com/office/drawing/2014/main" id="{00000000-0008-0000-05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400050</xdr:colOff>
      <xdr:row>40</xdr:row>
      <xdr:rowOff>57150</xdr:rowOff>
    </xdr:from>
    <xdr:to>
      <xdr:col>20</xdr:col>
      <xdr:colOff>504825</xdr:colOff>
      <xdr:row>59</xdr:row>
      <xdr:rowOff>114300</xdr:rowOff>
    </xdr:to>
    <xdr:graphicFrame macro="">
      <xdr:nvGraphicFramePr>
        <xdr:cNvPr id="8" name="Chart 2">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371475</xdr:colOff>
      <xdr:row>42</xdr:row>
      <xdr:rowOff>133350</xdr:rowOff>
    </xdr:from>
    <xdr:to>
      <xdr:col>20</xdr:col>
      <xdr:colOff>1</xdr:colOff>
      <xdr:row>46</xdr:row>
      <xdr:rowOff>38100</xdr:rowOff>
    </xdr:to>
    <xdr:sp macro="" textlink="">
      <xdr:nvSpPr>
        <xdr:cNvPr id="10" name="TextBox 9">
          <a:extLst>
            <a:ext uri="{FF2B5EF4-FFF2-40B4-BE49-F238E27FC236}">
              <a16:creationId xmlns:a16="http://schemas.microsoft.com/office/drawing/2014/main" id="{00000000-0008-0000-0600-00000A000000}"/>
            </a:ext>
          </a:extLst>
        </xdr:cNvPr>
        <xdr:cNvSpPr txBox="1"/>
      </xdr:nvSpPr>
      <xdr:spPr>
        <a:xfrm>
          <a:off x="8115300" y="6962775"/>
          <a:ext cx="1457326" cy="609600"/>
        </a:xfrm>
        <a:prstGeom prst="rect">
          <a:avLst/>
        </a:prstGeom>
        <a:ln/>
      </xdr:spPr>
      <xdr:style>
        <a:lnRef idx="2">
          <a:schemeClr val="accent2"/>
        </a:lnRef>
        <a:fillRef idx="1">
          <a:schemeClr val="lt1"/>
        </a:fillRef>
        <a:effectRef idx="0">
          <a:schemeClr val="accent2"/>
        </a:effectRef>
        <a:fontRef idx="minor">
          <a:schemeClr val="dk1"/>
        </a:fontRef>
      </xdr:style>
      <xdr:txBody>
        <a:bodyPr wrap="square" rtlCol="0" anchor="t"/>
        <a:lstStyle/>
        <a:p>
          <a:r>
            <a:rPr lang="en-US" sz="800" b="0" i="0" u="none" strike="noStrike">
              <a:solidFill>
                <a:schemeClr val="dk1"/>
              </a:solidFill>
              <a:latin typeface="+mn-lt"/>
              <a:ea typeface="+mn-ea"/>
              <a:cs typeface="+mn-cs"/>
            </a:rPr>
            <a:t>30-45</a:t>
          </a:r>
          <a:r>
            <a:rPr lang="en-US" sz="800"/>
            <a:t> </a:t>
          </a:r>
          <a:r>
            <a:rPr lang="en-US" sz="800" b="0" i="0" u="none" strike="noStrike">
              <a:solidFill>
                <a:schemeClr val="dk1"/>
              </a:solidFill>
              <a:latin typeface="+mn-lt"/>
              <a:ea typeface="+mn-ea"/>
              <a:cs typeface="+mn-cs"/>
            </a:rPr>
            <a:t>Mesotrophic</a:t>
          </a:r>
          <a:r>
            <a:rPr lang="en-US" sz="800"/>
            <a:t> </a:t>
          </a:r>
        </a:p>
        <a:p>
          <a:r>
            <a:rPr lang="en-US" sz="800" b="0" i="0" u="none" strike="noStrike">
              <a:solidFill>
                <a:schemeClr val="dk1"/>
              </a:solidFill>
              <a:latin typeface="+mn-lt"/>
              <a:ea typeface="+mn-ea"/>
              <a:cs typeface="+mn-cs"/>
            </a:rPr>
            <a:t>45-50</a:t>
          </a:r>
          <a:r>
            <a:rPr lang="en-US" sz="800"/>
            <a:t> </a:t>
          </a:r>
          <a:r>
            <a:rPr lang="en-US" sz="800" b="0" i="0" u="none" strike="noStrike">
              <a:solidFill>
                <a:schemeClr val="dk1"/>
              </a:solidFill>
              <a:latin typeface="+mn-lt"/>
              <a:ea typeface="+mn-ea"/>
              <a:cs typeface="+mn-cs"/>
            </a:rPr>
            <a:t>Mesotrophic-Eutrophic</a:t>
          </a:r>
          <a:r>
            <a:rPr lang="en-US" sz="800"/>
            <a:t>  </a:t>
          </a:r>
          <a:r>
            <a:rPr lang="en-US" sz="800" b="0" i="0" u="none" strike="noStrike">
              <a:solidFill>
                <a:schemeClr val="dk1"/>
              </a:solidFill>
              <a:latin typeface="+mn-lt"/>
              <a:ea typeface="+mn-ea"/>
              <a:cs typeface="+mn-cs"/>
            </a:rPr>
            <a:t>50-65</a:t>
          </a:r>
          <a:r>
            <a:rPr lang="en-US" sz="800"/>
            <a:t> </a:t>
          </a:r>
          <a:r>
            <a:rPr lang="en-US" sz="800" b="0" i="0" u="none" strike="noStrike">
              <a:solidFill>
                <a:schemeClr val="dk1"/>
              </a:solidFill>
              <a:latin typeface="+mn-lt"/>
              <a:ea typeface="+mn-ea"/>
              <a:cs typeface="+mn-cs"/>
            </a:rPr>
            <a:t>Eutrophic</a:t>
          </a:r>
        </a:p>
        <a:p>
          <a:r>
            <a:rPr lang="en-US" sz="800"/>
            <a:t> </a:t>
          </a:r>
          <a:r>
            <a:rPr lang="en-US" sz="800" b="0" i="0" u="none" strike="noStrike">
              <a:solidFill>
                <a:schemeClr val="dk1"/>
              </a:solidFill>
              <a:latin typeface="+mn-lt"/>
              <a:ea typeface="+mn-ea"/>
              <a:cs typeface="+mn-cs"/>
            </a:rPr>
            <a:t>65+</a:t>
          </a:r>
          <a:r>
            <a:rPr lang="en-US" sz="800"/>
            <a:t> </a:t>
          </a:r>
          <a:r>
            <a:rPr lang="en-US" sz="800" b="0" i="0" u="none" strike="noStrike">
              <a:solidFill>
                <a:schemeClr val="dk1"/>
              </a:solidFill>
              <a:latin typeface="+mn-lt"/>
              <a:ea typeface="+mn-ea"/>
              <a:cs typeface="+mn-cs"/>
            </a:rPr>
            <a:t>Hypereutrophic</a:t>
          </a:r>
          <a:r>
            <a:rPr lang="en-US" sz="800"/>
            <a:t> </a:t>
          </a:r>
        </a:p>
      </xdr:txBody>
    </xdr:sp>
    <xdr:clientData/>
  </xdr:twoCellAnchor>
  <xdr:twoCellAnchor>
    <xdr:from>
      <xdr:col>6</xdr:col>
      <xdr:colOff>352425</xdr:colOff>
      <xdr:row>60</xdr:row>
      <xdr:rowOff>114300</xdr:rowOff>
    </xdr:from>
    <xdr:to>
      <xdr:col>20</xdr:col>
      <xdr:colOff>561975</xdr:colOff>
      <xdr:row>79</xdr:row>
      <xdr:rowOff>28575</xdr:rowOff>
    </xdr:to>
    <xdr:graphicFrame macro="">
      <xdr:nvGraphicFramePr>
        <xdr:cNvPr id="7" name="Chart 1">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76200</xdr:colOff>
      <xdr:row>63</xdr:row>
      <xdr:rowOff>38100</xdr:rowOff>
    </xdr:from>
    <xdr:to>
      <xdr:col>20</xdr:col>
      <xdr:colOff>314326</xdr:colOff>
      <xdr:row>67</xdr:row>
      <xdr:rowOff>0</xdr:rowOff>
    </xdr:to>
    <xdr:sp macro="" textlink="">
      <xdr:nvSpPr>
        <xdr:cNvPr id="11" name="TextBox 10">
          <a:extLst>
            <a:ext uri="{FF2B5EF4-FFF2-40B4-BE49-F238E27FC236}">
              <a16:creationId xmlns:a16="http://schemas.microsoft.com/office/drawing/2014/main" id="{00000000-0008-0000-0600-00000B000000}"/>
            </a:ext>
          </a:extLst>
        </xdr:cNvPr>
        <xdr:cNvSpPr txBox="1"/>
      </xdr:nvSpPr>
      <xdr:spPr>
        <a:xfrm>
          <a:off x="8429625" y="10325100"/>
          <a:ext cx="1457326" cy="609600"/>
        </a:xfrm>
        <a:prstGeom prst="rect">
          <a:avLst/>
        </a:prstGeom>
        <a:gradFill>
          <a:gsLst>
            <a:gs pos="34000">
              <a:schemeClr val="bg1">
                <a:lumMod val="95000"/>
              </a:schemeClr>
            </a:gs>
            <a:gs pos="50000">
              <a:srgbClr val="4F81BD">
                <a:tint val="44500"/>
                <a:satMod val="160000"/>
              </a:srgbClr>
            </a:gs>
            <a:gs pos="100000">
              <a:srgbClr val="4F81BD">
                <a:tint val="23500"/>
                <a:satMod val="160000"/>
              </a:srgbClr>
            </a:gs>
          </a:gsLst>
          <a:lin ang="5400000" scaled="0"/>
        </a:gradFill>
        <a:ln/>
      </xdr:spPr>
      <xdr:style>
        <a:lnRef idx="2">
          <a:schemeClr val="accent2"/>
        </a:lnRef>
        <a:fillRef idx="1">
          <a:schemeClr val="lt1"/>
        </a:fillRef>
        <a:effectRef idx="0">
          <a:schemeClr val="accent2"/>
        </a:effectRef>
        <a:fontRef idx="minor">
          <a:schemeClr val="dk1"/>
        </a:fontRef>
      </xdr:style>
      <xdr:txBody>
        <a:bodyPr wrap="square" rtlCol="0" anchor="t"/>
        <a:lstStyle/>
        <a:p>
          <a:r>
            <a:rPr lang="en-US" sz="800" b="0" i="0" u="none" strike="noStrike">
              <a:solidFill>
                <a:schemeClr val="dk1"/>
              </a:solidFill>
              <a:latin typeface="+mn-lt"/>
              <a:ea typeface="+mn-ea"/>
              <a:cs typeface="+mn-cs"/>
            </a:rPr>
            <a:t>30-45</a:t>
          </a:r>
          <a:r>
            <a:rPr lang="en-US" sz="800"/>
            <a:t> </a:t>
          </a:r>
          <a:r>
            <a:rPr lang="en-US" sz="800" b="0" i="0" u="none" strike="noStrike">
              <a:solidFill>
                <a:schemeClr val="dk1"/>
              </a:solidFill>
              <a:latin typeface="+mn-lt"/>
              <a:ea typeface="+mn-ea"/>
              <a:cs typeface="+mn-cs"/>
            </a:rPr>
            <a:t>Mesotrophic</a:t>
          </a:r>
          <a:r>
            <a:rPr lang="en-US" sz="800"/>
            <a:t> </a:t>
          </a:r>
        </a:p>
        <a:p>
          <a:r>
            <a:rPr lang="en-US" sz="800" b="0" i="0" u="none" strike="noStrike">
              <a:solidFill>
                <a:schemeClr val="dk1"/>
              </a:solidFill>
              <a:latin typeface="+mn-lt"/>
              <a:ea typeface="+mn-ea"/>
              <a:cs typeface="+mn-cs"/>
            </a:rPr>
            <a:t>45-50</a:t>
          </a:r>
          <a:r>
            <a:rPr lang="en-US" sz="800"/>
            <a:t> </a:t>
          </a:r>
          <a:r>
            <a:rPr lang="en-US" sz="800" b="0" i="0" u="none" strike="noStrike">
              <a:solidFill>
                <a:schemeClr val="dk1"/>
              </a:solidFill>
              <a:latin typeface="+mn-lt"/>
              <a:ea typeface="+mn-ea"/>
              <a:cs typeface="+mn-cs"/>
            </a:rPr>
            <a:t>Mesotrophic-Eutrophic</a:t>
          </a:r>
          <a:r>
            <a:rPr lang="en-US" sz="800"/>
            <a:t>  </a:t>
          </a:r>
          <a:r>
            <a:rPr lang="en-US" sz="800" b="0" i="0" u="none" strike="noStrike">
              <a:solidFill>
                <a:schemeClr val="dk1"/>
              </a:solidFill>
              <a:latin typeface="+mn-lt"/>
              <a:ea typeface="+mn-ea"/>
              <a:cs typeface="+mn-cs"/>
            </a:rPr>
            <a:t>50-65</a:t>
          </a:r>
          <a:r>
            <a:rPr lang="en-US" sz="800"/>
            <a:t> </a:t>
          </a:r>
          <a:r>
            <a:rPr lang="en-US" sz="800" b="0" i="0" u="none" strike="noStrike">
              <a:solidFill>
                <a:schemeClr val="dk1"/>
              </a:solidFill>
              <a:latin typeface="+mn-lt"/>
              <a:ea typeface="+mn-ea"/>
              <a:cs typeface="+mn-cs"/>
            </a:rPr>
            <a:t>Eutrophic</a:t>
          </a:r>
        </a:p>
        <a:p>
          <a:r>
            <a:rPr lang="en-US" sz="800"/>
            <a:t> </a:t>
          </a:r>
          <a:r>
            <a:rPr lang="en-US" sz="800" b="0" i="0" u="none" strike="noStrike">
              <a:solidFill>
                <a:schemeClr val="dk1"/>
              </a:solidFill>
              <a:latin typeface="+mn-lt"/>
              <a:ea typeface="+mn-ea"/>
              <a:cs typeface="+mn-cs"/>
            </a:rPr>
            <a:t>65+</a:t>
          </a:r>
          <a:r>
            <a:rPr lang="en-US" sz="800"/>
            <a:t> </a:t>
          </a:r>
          <a:r>
            <a:rPr lang="en-US" sz="800" b="0" i="0" u="none" strike="noStrike">
              <a:solidFill>
                <a:schemeClr val="dk1"/>
              </a:solidFill>
              <a:latin typeface="+mn-lt"/>
              <a:ea typeface="+mn-ea"/>
              <a:cs typeface="+mn-cs"/>
            </a:rPr>
            <a:t>Hypereutrophic</a:t>
          </a:r>
          <a:r>
            <a:rPr lang="en-US" sz="800"/>
            <a:t> </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0.61617</cdr:x>
      <cdr:y>0.24597</cdr:y>
    </cdr:from>
    <cdr:to>
      <cdr:x>0.61617</cdr:x>
      <cdr:y>0.24597</cdr:y>
    </cdr:to>
    <cdr:sp macro="" textlink="">
      <cdr:nvSpPr>
        <cdr:cNvPr id="7170" name="Text Box 2"/>
        <cdr:cNvSpPr txBox="1">
          <a:spLocks xmlns:a="http://schemas.openxmlformats.org/drawingml/2006/main" noChangeArrowheads="1"/>
        </cdr:cNvSpPr>
      </cdr:nvSpPr>
      <cdr:spPr bwMode="auto">
        <a:xfrm xmlns:a="http://schemas.openxmlformats.org/drawingml/2006/main">
          <a:off x="3336768" y="750552"/>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FF0000"/>
              </a:solidFill>
              <a:latin typeface="Arial"/>
              <a:cs typeface="Arial"/>
            </a:rPr>
            <a:t>Eutrophic</a:t>
          </a:r>
        </a:p>
      </cdr:txBody>
    </cdr:sp>
  </cdr:relSizeAnchor>
  <cdr:relSizeAnchor xmlns:cdr="http://schemas.openxmlformats.org/drawingml/2006/chartDrawing">
    <cdr:from>
      <cdr:x>0.47618</cdr:x>
      <cdr:y>0.52397</cdr:y>
    </cdr:from>
    <cdr:to>
      <cdr:x>0.47618</cdr:x>
      <cdr:y>0.52397</cdr:y>
    </cdr:to>
    <cdr:sp macro="" textlink="">
      <cdr:nvSpPr>
        <cdr:cNvPr id="7171" name="Text Box 3"/>
        <cdr:cNvSpPr txBox="1">
          <a:spLocks xmlns:a="http://schemas.openxmlformats.org/drawingml/2006/main" noChangeArrowheads="1"/>
        </cdr:cNvSpPr>
      </cdr:nvSpPr>
      <cdr:spPr bwMode="auto">
        <a:xfrm xmlns:a="http://schemas.openxmlformats.org/drawingml/2006/main">
          <a:off x="2579387" y="159525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0" i="0" strike="noStrike">
              <a:solidFill>
                <a:srgbClr val="FF0000"/>
              </a:solidFill>
              <a:latin typeface="Arial"/>
              <a:cs typeface="Arial"/>
            </a:rPr>
            <a:t>Mesotropic</a:t>
          </a:r>
        </a:p>
      </cdr:txBody>
    </cdr:sp>
  </cdr:relSizeAnchor>
</c:userShapes>
</file>

<file path=xl/drawings/drawing8.xml><?xml version="1.0" encoding="utf-8"?>
<c:userShapes xmlns:c="http://schemas.openxmlformats.org/drawingml/2006/chart">
  <cdr:relSizeAnchor xmlns:cdr="http://schemas.openxmlformats.org/drawingml/2006/chartDrawing">
    <cdr:from>
      <cdr:x>0.49607</cdr:x>
      <cdr:y>0.20226</cdr:y>
    </cdr:from>
    <cdr:to>
      <cdr:x>0.49607</cdr:x>
      <cdr:y>0.20226</cdr:y>
    </cdr:to>
    <cdr:sp macro="" textlink="">
      <cdr:nvSpPr>
        <cdr:cNvPr id="6146" name="Text Box 2"/>
        <cdr:cNvSpPr txBox="1">
          <a:spLocks xmlns:a="http://schemas.openxmlformats.org/drawingml/2006/main" noChangeArrowheads="1"/>
        </cdr:cNvSpPr>
      </cdr:nvSpPr>
      <cdr:spPr bwMode="auto">
        <a:xfrm xmlns:a="http://schemas.openxmlformats.org/drawingml/2006/main">
          <a:off x="2757881" y="610037"/>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Eutrophic zone</a:t>
          </a:r>
        </a:p>
      </cdr:txBody>
    </cdr:sp>
  </cdr:relSizeAnchor>
  <cdr:relSizeAnchor xmlns:cdr="http://schemas.openxmlformats.org/drawingml/2006/chartDrawing">
    <cdr:from>
      <cdr:x>0.49607</cdr:x>
      <cdr:y>0.5092</cdr:y>
    </cdr:from>
    <cdr:to>
      <cdr:x>0.49607</cdr:x>
      <cdr:y>0.5092</cdr:y>
    </cdr:to>
    <cdr:sp macro="" textlink="">
      <cdr:nvSpPr>
        <cdr:cNvPr id="6147" name="Text Box 3"/>
        <cdr:cNvSpPr txBox="1">
          <a:spLocks xmlns:a="http://schemas.openxmlformats.org/drawingml/2006/main" noChangeArrowheads="1"/>
        </cdr:cNvSpPr>
      </cdr:nvSpPr>
      <cdr:spPr bwMode="auto">
        <a:xfrm xmlns:a="http://schemas.openxmlformats.org/drawingml/2006/main">
          <a:off x="2757881" y="1530961"/>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Mesotrophic zone</a:t>
          </a:r>
        </a:p>
      </cdr:txBody>
    </cdr:sp>
  </cdr:relSizeAnchor>
  <cdr:relSizeAnchor xmlns:cdr="http://schemas.openxmlformats.org/drawingml/2006/chartDrawing">
    <cdr:from>
      <cdr:x>0.48698</cdr:x>
      <cdr:y>0.65976</cdr:y>
    </cdr:from>
    <cdr:to>
      <cdr:x>0.48698</cdr:x>
      <cdr:y>0.65976</cdr:y>
    </cdr:to>
    <cdr:sp macro="" textlink="">
      <cdr:nvSpPr>
        <cdr:cNvPr id="6148" name="Text Box 4"/>
        <cdr:cNvSpPr txBox="1">
          <a:spLocks xmlns:a="http://schemas.openxmlformats.org/drawingml/2006/main" noChangeArrowheads="1"/>
        </cdr:cNvSpPr>
      </cdr:nvSpPr>
      <cdr:spPr bwMode="auto">
        <a:xfrm xmlns:a="http://schemas.openxmlformats.org/drawingml/2006/main">
          <a:off x="2707396" y="198270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800" b="1" i="0" strike="noStrike">
              <a:solidFill>
                <a:srgbClr val="FF0000"/>
              </a:solidFill>
              <a:latin typeface="Arial"/>
              <a:cs typeface="Arial"/>
            </a:rPr>
            <a:t>Oligotropic zone</a:t>
          </a:r>
        </a:p>
      </cdr:txBody>
    </cdr:sp>
  </cdr:relSizeAnchor>
</c:userShapes>
</file>

<file path=xl/drawings/drawing9.xml><?xml version="1.0" encoding="utf-8"?>
<xdr:wsDr xmlns:xdr="http://schemas.openxmlformats.org/drawingml/2006/spreadsheetDrawing" xmlns:a="http://schemas.openxmlformats.org/drawingml/2006/main">
  <xdr:twoCellAnchor>
    <xdr:from>
      <xdr:col>18</xdr:col>
      <xdr:colOff>219075</xdr:colOff>
      <xdr:row>53</xdr:row>
      <xdr:rowOff>171450</xdr:rowOff>
    </xdr:from>
    <xdr:to>
      <xdr:col>41</xdr:col>
      <xdr:colOff>400050</xdr:colOff>
      <xdr:row>70</xdr:row>
      <xdr:rowOff>47625</xdr:rowOff>
    </xdr:to>
    <xdr:graphicFrame macro="">
      <xdr:nvGraphicFramePr>
        <xdr:cNvPr id="6" name="Chart 2">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200025</xdr:colOff>
      <xdr:row>33</xdr:row>
      <xdr:rowOff>57150</xdr:rowOff>
    </xdr:from>
    <xdr:to>
      <xdr:col>41</xdr:col>
      <xdr:colOff>409575</xdr:colOff>
      <xdr:row>52</xdr:row>
      <xdr:rowOff>142875</xdr:rowOff>
    </xdr:to>
    <xdr:graphicFrame macro="">
      <xdr:nvGraphicFramePr>
        <xdr:cNvPr id="7" name="Chart 3">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Russell/Documents/Bear%20Creek%20Association/Watershed%202009/2009%20Bear%20Creek%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9 Trophic"/>
      <sheetName val="Annual Reservoir Trends"/>
      <sheetName val="Nitrate Trends"/>
      <sheetName val="Phosphorus Trends"/>
      <sheetName val="Loading"/>
      <sheetName val="Carlson"/>
      <sheetName val="Walker"/>
      <sheetName val="Monthly Discharge"/>
      <sheetName val="Temperature"/>
      <sheetName val="Conductance"/>
      <sheetName val="pH"/>
      <sheetName val="Oxygen"/>
      <sheetName val="T &amp; Diss Phosphorus"/>
      <sheetName val="Nitrate &amp; T Nitrogen"/>
      <sheetName val="TSS"/>
      <sheetName val="Chlsecchi"/>
      <sheetName val="Phytoplankton"/>
      <sheetName val="Monthly Chemistry"/>
      <sheetName val="1-26-09"/>
      <sheetName val="2-23-09"/>
      <sheetName val="3-16-09"/>
      <sheetName val="4-27-09"/>
      <sheetName val="Aeration Tests"/>
      <sheetName val="5-18-09"/>
      <sheetName val="6-22-09"/>
      <sheetName val="7-6-09"/>
      <sheetName val="7-20-09"/>
      <sheetName val="8-3-09"/>
      <sheetName val="8-17-09"/>
      <sheetName val="9-16-09"/>
      <sheetName val="9-28-09"/>
      <sheetName val="10-19-09"/>
      <sheetName val="11-16-09"/>
      <sheetName val="12-14-09"/>
      <sheetName val="Field Sheet"/>
      <sheetName val="Temp DO Comp"/>
      <sheetName val="Aeartion Log"/>
      <sheetName val="Flow"/>
      <sheetName val="Fishery Data"/>
      <sheetName val="Sheet1"/>
    </sheetNames>
    <sheetDataSet>
      <sheetData sheetId="0"/>
      <sheetData sheetId="1"/>
      <sheetData sheetId="2"/>
      <sheetData sheetId="3"/>
      <sheetData sheetId="4">
        <row r="4">
          <cell r="A4" t="str">
            <v>Turkey Creek Inflow</v>
          </cell>
        </row>
        <row r="5">
          <cell r="A5" t="str">
            <v>Bear Creek Inflow</v>
          </cell>
        </row>
      </sheetData>
      <sheetData sheetId="5"/>
      <sheetData sheetId="6">
        <row r="2">
          <cell r="X2">
            <v>1988</v>
          </cell>
        </row>
      </sheetData>
      <sheetData sheetId="7">
        <row r="23">
          <cell r="B23" t="str">
            <v>Jan</v>
          </cell>
          <cell r="C23" t="str">
            <v>Feb</v>
          </cell>
          <cell r="D23" t="str">
            <v>Mar</v>
          </cell>
          <cell r="E23" t="str">
            <v>Apr</v>
          </cell>
          <cell r="F23" t="str">
            <v>May</v>
          </cell>
          <cell r="G23" t="str">
            <v>Jun</v>
          </cell>
          <cell r="H23" t="str">
            <v>Jul</v>
          </cell>
          <cell r="I23" t="str">
            <v>Aug</v>
          </cell>
          <cell r="J23" t="str">
            <v>Sep</v>
          </cell>
          <cell r="K23" t="str">
            <v>Oct</v>
          </cell>
          <cell r="L23" t="str">
            <v>Nov</v>
          </cell>
          <cell r="M23" t="str">
            <v>Dec</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opLeftCell="A16" workbookViewId="0">
      <selection activeCell="S30" sqref="S30"/>
    </sheetView>
  </sheetViews>
  <sheetFormatPr defaultRowHeight="12.5" x14ac:dyDescent="0.2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A1:T74"/>
  <sheetViews>
    <sheetView topLeftCell="A22" zoomScale="75" zoomScaleNormal="75" workbookViewId="0">
      <selection activeCell="B2" sqref="B2:Q2"/>
    </sheetView>
  </sheetViews>
  <sheetFormatPr defaultRowHeight="13" x14ac:dyDescent="0.3"/>
  <cols>
    <col min="1" max="1" width="31.6328125" style="1" bestFit="1" customWidth="1"/>
    <col min="2" max="2" width="9.54296875" style="1" bestFit="1" customWidth="1"/>
    <col min="3" max="3" width="9.6328125" style="1" bestFit="1" customWidth="1"/>
    <col min="4" max="4" width="9.54296875" style="1" bestFit="1" customWidth="1"/>
    <col min="5" max="5" width="9.453125" bestFit="1" customWidth="1"/>
    <col min="6" max="6" width="10" bestFit="1" customWidth="1"/>
    <col min="7" max="7" width="9.54296875" bestFit="1" customWidth="1"/>
    <col min="8" max="10" width="9.453125" bestFit="1" customWidth="1"/>
    <col min="11" max="11" width="10" bestFit="1" customWidth="1"/>
    <col min="12" max="12" width="9.54296875" bestFit="1" customWidth="1"/>
    <col min="13" max="13" width="10" bestFit="1" customWidth="1"/>
    <col min="14" max="15" width="9.54296875" bestFit="1" customWidth="1"/>
    <col min="16" max="16" width="9.36328125" customWidth="1"/>
    <col min="17" max="17" width="9.08984375" bestFit="1" customWidth="1"/>
    <col min="18" max="18" width="10.453125" bestFit="1" customWidth="1"/>
    <col min="19" max="19" width="8.6328125" customWidth="1"/>
    <col min="20" max="20" width="11.54296875" bestFit="1" customWidth="1"/>
    <col min="21" max="21" width="9.6328125" bestFit="1" customWidth="1"/>
    <col min="22" max="22" width="10.90625" bestFit="1" customWidth="1"/>
    <col min="23" max="23" width="9.90625" bestFit="1" customWidth="1"/>
    <col min="24" max="24" width="10.36328125" bestFit="1" customWidth="1"/>
    <col min="25" max="25" width="10.90625" bestFit="1" customWidth="1"/>
    <col min="26" max="26" width="11.08984375" bestFit="1" customWidth="1"/>
    <col min="27" max="27" width="11.36328125" customWidth="1"/>
    <col min="28" max="28" width="11" customWidth="1"/>
    <col min="29" max="29" width="10.453125" customWidth="1"/>
    <col min="30" max="30" width="12.54296875" customWidth="1"/>
    <col min="31" max="31" width="10.90625" bestFit="1" customWidth="1"/>
  </cols>
  <sheetData>
    <row r="1" spans="1:20" s="1" customFormat="1" ht="17.5" x14ac:dyDescent="0.35">
      <c r="A1" s="788" t="s">
        <v>458</v>
      </c>
      <c r="B1" s="788"/>
      <c r="C1" s="788"/>
      <c r="D1" s="788"/>
      <c r="E1" s="788"/>
      <c r="F1" s="788"/>
      <c r="G1" s="788"/>
      <c r="H1" s="788"/>
      <c r="I1" s="788"/>
      <c r="J1" s="788"/>
      <c r="K1" s="788"/>
      <c r="L1" s="788"/>
      <c r="M1" s="788"/>
      <c r="N1" s="788"/>
      <c r="O1" s="788"/>
      <c r="P1" s="788"/>
      <c r="Q1" s="788"/>
    </row>
    <row r="2" spans="1:20" s="7" customFormat="1" ht="26" x14ac:dyDescent="0.3">
      <c r="A2" s="81"/>
      <c r="B2" s="212">
        <v>40911</v>
      </c>
      <c r="C2" s="212">
        <v>40949</v>
      </c>
      <c r="D2" s="212">
        <v>40994</v>
      </c>
      <c r="E2" s="212">
        <v>41022</v>
      </c>
      <c r="F2" s="212">
        <v>41050</v>
      </c>
      <c r="G2" s="212">
        <v>41085</v>
      </c>
      <c r="H2" s="213">
        <v>41099</v>
      </c>
      <c r="I2" s="213">
        <v>41113</v>
      </c>
      <c r="J2" s="213">
        <v>41127</v>
      </c>
      <c r="K2" s="212">
        <v>41148</v>
      </c>
      <c r="L2" s="212">
        <v>41162</v>
      </c>
      <c r="M2" s="214">
        <v>41177</v>
      </c>
      <c r="N2" s="214">
        <v>41197</v>
      </c>
      <c r="O2" s="214">
        <v>41204</v>
      </c>
      <c r="P2" s="214">
        <v>41239</v>
      </c>
      <c r="Q2" s="213">
        <v>41257</v>
      </c>
      <c r="R2" s="82" t="s">
        <v>91</v>
      </c>
      <c r="S2" s="83" t="s">
        <v>83</v>
      </c>
      <c r="T2" s="83" t="s">
        <v>109</v>
      </c>
    </row>
    <row r="3" spans="1:20" s="3" customFormat="1" ht="14" x14ac:dyDescent="0.3">
      <c r="A3" s="84" t="s">
        <v>818</v>
      </c>
      <c r="B3" s="64">
        <v>2.6</v>
      </c>
      <c r="C3" s="64">
        <v>1.4</v>
      </c>
      <c r="D3" s="64">
        <v>7.2</v>
      </c>
      <c r="E3" s="64">
        <v>9.6999999999999993</v>
      </c>
      <c r="F3" s="64">
        <v>12.9</v>
      </c>
      <c r="G3" s="64">
        <v>18.399999999999999</v>
      </c>
      <c r="H3" s="64">
        <v>18.8</v>
      </c>
      <c r="I3" s="64">
        <v>20.5</v>
      </c>
      <c r="J3" s="566">
        <v>17.5</v>
      </c>
      <c r="K3" s="64">
        <v>16.2</v>
      </c>
      <c r="L3" s="64">
        <v>14.2</v>
      </c>
      <c r="M3" s="64">
        <v>15.6</v>
      </c>
      <c r="N3" s="64">
        <v>14.5</v>
      </c>
      <c r="O3" s="64">
        <v>8.6999999999999993</v>
      </c>
      <c r="P3" s="64">
        <v>4.3</v>
      </c>
      <c r="Q3" s="64">
        <v>3.5</v>
      </c>
      <c r="R3" s="129">
        <f>AVERAGE(B3:Q3)</f>
        <v>11.625</v>
      </c>
      <c r="S3" s="130">
        <f>MAX(B3:Q3)</f>
        <v>20.5</v>
      </c>
      <c r="T3" s="130">
        <f>AVERAGE(H3:M3)</f>
        <v>17.133333333333333</v>
      </c>
    </row>
    <row r="4" spans="1:20" s="3" customFormat="1" ht="14" x14ac:dyDescent="0.3">
      <c r="A4" s="85" t="s">
        <v>819</v>
      </c>
      <c r="B4" s="64">
        <v>0.1</v>
      </c>
      <c r="C4" s="64">
        <v>0.2</v>
      </c>
      <c r="D4" s="64">
        <v>6.7</v>
      </c>
      <c r="E4" s="64">
        <v>11.1</v>
      </c>
      <c r="F4" s="64">
        <v>13.5</v>
      </c>
      <c r="G4" s="64">
        <v>18.3</v>
      </c>
      <c r="H4" s="64">
        <v>17.3</v>
      </c>
      <c r="I4" s="64">
        <v>19.8</v>
      </c>
      <c r="J4" s="566">
        <v>19.3</v>
      </c>
      <c r="K4" s="64">
        <v>17.600000000000001</v>
      </c>
      <c r="L4" s="64">
        <v>15.6</v>
      </c>
      <c r="M4" s="64">
        <v>13.1</v>
      </c>
      <c r="N4" s="64">
        <v>12.8</v>
      </c>
      <c r="O4" s="64">
        <v>6.4</v>
      </c>
      <c r="P4" s="64">
        <v>1.5</v>
      </c>
      <c r="Q4" s="64">
        <v>1</v>
      </c>
      <c r="R4" s="129">
        <f t="shared" ref="R4:R5" si="0">AVERAGE(B4:Q4)</f>
        <v>10.893750000000001</v>
      </c>
      <c r="S4" s="130">
        <f t="shared" ref="S4:S5" si="1">MAX(B4:Q4)</f>
        <v>19.8</v>
      </c>
      <c r="T4" s="130">
        <f t="shared" ref="T4:T17" si="2">AVERAGE(H4:M4)</f>
        <v>17.116666666666664</v>
      </c>
    </row>
    <row r="5" spans="1:20" s="3" customFormat="1" ht="14" x14ac:dyDescent="0.3">
      <c r="A5" s="85" t="s">
        <v>820</v>
      </c>
      <c r="B5" s="64">
        <v>3.4</v>
      </c>
      <c r="C5" s="64">
        <v>4.3</v>
      </c>
      <c r="D5" s="64">
        <v>9.5</v>
      </c>
      <c r="E5" s="64">
        <v>15.3</v>
      </c>
      <c r="F5" s="64">
        <v>17.899999999999999</v>
      </c>
      <c r="G5" s="64">
        <v>21.5</v>
      </c>
      <c r="H5" s="64">
        <v>21</v>
      </c>
      <c r="I5" s="64">
        <v>23.6</v>
      </c>
      <c r="J5" s="566">
        <v>23.3</v>
      </c>
      <c r="K5" s="64">
        <v>21.3</v>
      </c>
      <c r="L5" s="64">
        <v>19.899999999999999</v>
      </c>
      <c r="M5" s="64">
        <v>16.399999999999999</v>
      </c>
      <c r="N5" s="64">
        <v>12.9</v>
      </c>
      <c r="O5" s="64">
        <v>11.7</v>
      </c>
      <c r="P5" s="64">
        <v>4.5999999999999996</v>
      </c>
      <c r="Q5" s="64">
        <v>3.7</v>
      </c>
      <c r="R5" s="129">
        <f t="shared" si="0"/>
        <v>14.393750000000001</v>
      </c>
      <c r="S5" s="130">
        <f t="shared" si="1"/>
        <v>23.6</v>
      </c>
      <c r="T5" s="130">
        <f t="shared" si="2"/>
        <v>20.916666666666668</v>
      </c>
    </row>
    <row r="6" spans="1:20" s="3" customFormat="1" ht="15" customHeight="1" x14ac:dyDescent="0.35">
      <c r="A6" s="801" t="s">
        <v>803</v>
      </c>
      <c r="B6" s="802"/>
      <c r="C6" s="802"/>
      <c r="D6" s="802"/>
      <c r="E6" s="802"/>
      <c r="F6" s="802"/>
      <c r="G6" s="802"/>
      <c r="H6" s="802"/>
      <c r="I6" s="802"/>
      <c r="J6" s="802"/>
      <c r="K6" s="802"/>
      <c r="L6" s="802"/>
      <c r="M6" s="802"/>
      <c r="N6" s="802"/>
      <c r="O6" s="802"/>
      <c r="P6" s="802"/>
      <c r="Q6" s="802"/>
      <c r="R6" s="802"/>
      <c r="S6" s="802"/>
      <c r="T6" s="803"/>
    </row>
    <row r="7" spans="1:20" s="3" customFormat="1" ht="14" x14ac:dyDescent="0.3">
      <c r="A7" s="399" t="s">
        <v>453</v>
      </c>
      <c r="B7" s="64">
        <v>2.7</v>
      </c>
      <c r="C7" s="64">
        <v>2.2000000000000002</v>
      </c>
      <c r="D7" s="64">
        <v>9.6</v>
      </c>
      <c r="E7" s="64">
        <v>15.3</v>
      </c>
      <c r="F7" s="64">
        <v>17</v>
      </c>
      <c r="G7" s="64">
        <v>22.4</v>
      </c>
      <c r="H7" s="64">
        <v>22.4</v>
      </c>
      <c r="I7" s="64">
        <v>24.1</v>
      </c>
      <c r="J7" s="402">
        <v>23.1</v>
      </c>
      <c r="K7" s="64">
        <v>21.4</v>
      </c>
      <c r="L7" s="64">
        <v>20.8</v>
      </c>
      <c r="M7" s="64">
        <v>17.899999999999999</v>
      </c>
      <c r="N7" s="64">
        <v>12.9</v>
      </c>
      <c r="O7" s="64">
        <v>11.9</v>
      </c>
      <c r="P7" s="64">
        <v>5.8</v>
      </c>
      <c r="Q7" s="64">
        <v>3.3</v>
      </c>
      <c r="R7" s="129">
        <f>AVERAGE(B7:Q7)</f>
        <v>14.550000000000002</v>
      </c>
      <c r="S7" s="130">
        <f>MAX(B7:Q7)</f>
        <v>24.1</v>
      </c>
      <c r="T7" s="130">
        <f t="shared" si="2"/>
        <v>21.616666666666664</v>
      </c>
    </row>
    <row r="8" spans="1:20" s="3" customFormat="1" ht="14" x14ac:dyDescent="0.3">
      <c r="A8" s="399" t="s">
        <v>158</v>
      </c>
      <c r="B8" s="64">
        <v>2.7</v>
      </c>
      <c r="C8" s="64">
        <v>2.2999999999999998</v>
      </c>
      <c r="D8" s="64">
        <v>9.6</v>
      </c>
      <c r="E8" s="64">
        <v>14.7</v>
      </c>
      <c r="F8" s="64">
        <v>16.8</v>
      </c>
      <c r="G8" s="64">
        <v>22.4</v>
      </c>
      <c r="H8" s="64">
        <v>22.3</v>
      </c>
      <c r="I8" s="64">
        <v>23.9</v>
      </c>
      <c r="J8" s="402">
        <v>22.8</v>
      </c>
      <c r="K8" s="64">
        <v>21.2</v>
      </c>
      <c r="L8" s="64">
        <v>20.5</v>
      </c>
      <c r="M8" s="64">
        <v>17.899999999999999</v>
      </c>
      <c r="N8" s="64">
        <v>12.9</v>
      </c>
      <c r="O8" s="64">
        <v>11.6</v>
      </c>
      <c r="P8" s="64">
        <v>5.8</v>
      </c>
      <c r="Q8" s="64">
        <v>3.3</v>
      </c>
      <c r="R8" s="129">
        <f t="shared" ref="R8:R21" si="3">AVERAGE(B8:Q8)</f>
        <v>14.418750000000001</v>
      </c>
      <c r="S8" s="130">
        <f t="shared" ref="S8:S21" si="4">MAX(B8:Q8)</f>
        <v>23.9</v>
      </c>
      <c r="T8" s="130">
        <f t="shared" si="2"/>
        <v>21.433333333333334</v>
      </c>
    </row>
    <row r="9" spans="1:20" s="3" customFormat="1" ht="14" x14ac:dyDescent="0.3">
      <c r="A9" s="399" t="s">
        <v>454</v>
      </c>
      <c r="B9" s="64">
        <v>2.6</v>
      </c>
      <c r="C9" s="64">
        <v>2.6</v>
      </c>
      <c r="D9" s="64">
        <v>9.6</v>
      </c>
      <c r="E9" s="64">
        <v>14.2</v>
      </c>
      <c r="F9" s="64">
        <v>16.399999999999999</v>
      </c>
      <c r="G9" s="64">
        <v>22.3</v>
      </c>
      <c r="H9" s="64">
        <v>22.3</v>
      </c>
      <c r="I9" s="64">
        <v>23.8</v>
      </c>
      <c r="J9" s="402">
        <v>22.7</v>
      </c>
      <c r="K9" s="64">
        <v>21.1</v>
      </c>
      <c r="L9" s="64">
        <v>20.5</v>
      </c>
      <c r="M9" s="64">
        <v>17.899999999999999</v>
      </c>
      <c r="N9" s="64">
        <v>13</v>
      </c>
      <c r="O9" s="64">
        <v>11.5</v>
      </c>
      <c r="P9" s="64">
        <v>5.8</v>
      </c>
      <c r="Q9" s="64">
        <v>3.4</v>
      </c>
      <c r="R9" s="129">
        <f t="shared" si="3"/>
        <v>14.356250000000001</v>
      </c>
      <c r="S9" s="130">
        <f t="shared" si="4"/>
        <v>23.8</v>
      </c>
      <c r="T9" s="130">
        <f t="shared" si="2"/>
        <v>21.383333333333336</v>
      </c>
    </row>
    <row r="10" spans="1:20" s="3" customFormat="1" ht="14" x14ac:dyDescent="0.3">
      <c r="A10" s="399" t="s">
        <v>159</v>
      </c>
      <c r="B10" s="64">
        <v>2.5</v>
      </c>
      <c r="C10" s="64">
        <v>3.5</v>
      </c>
      <c r="D10" s="64">
        <v>9.6</v>
      </c>
      <c r="E10" s="64">
        <v>14.2</v>
      </c>
      <c r="F10" s="64">
        <v>16.3</v>
      </c>
      <c r="G10" s="64">
        <v>22.3</v>
      </c>
      <c r="H10" s="64">
        <v>22.3</v>
      </c>
      <c r="I10" s="64">
        <v>23.8</v>
      </c>
      <c r="J10" s="402">
        <v>22.7</v>
      </c>
      <c r="K10" s="64">
        <v>21.1</v>
      </c>
      <c r="L10" s="64">
        <v>20.2</v>
      </c>
      <c r="M10" s="64">
        <v>17.899999999999999</v>
      </c>
      <c r="N10" s="64">
        <v>12.9</v>
      </c>
      <c r="O10" s="64">
        <v>11.5</v>
      </c>
      <c r="P10" s="64">
        <v>5.8</v>
      </c>
      <c r="Q10" s="64">
        <v>3.4</v>
      </c>
      <c r="R10" s="129">
        <f t="shared" si="3"/>
        <v>14.375</v>
      </c>
      <c r="S10" s="130">
        <f t="shared" si="4"/>
        <v>23.8</v>
      </c>
      <c r="T10" s="130">
        <f t="shared" si="2"/>
        <v>21.333333333333332</v>
      </c>
    </row>
    <row r="11" spans="1:20" s="3" customFormat="1" ht="14" x14ac:dyDescent="0.3">
      <c r="A11" s="399" t="s">
        <v>455</v>
      </c>
      <c r="B11" s="64">
        <v>3.2</v>
      </c>
      <c r="C11" s="64">
        <v>4</v>
      </c>
      <c r="D11" s="64">
        <v>9.5</v>
      </c>
      <c r="E11" s="64">
        <v>13.8</v>
      </c>
      <c r="F11" s="64">
        <v>16.2</v>
      </c>
      <c r="G11" s="64">
        <v>22.2</v>
      </c>
      <c r="H11" s="64">
        <v>22.2</v>
      </c>
      <c r="I11" s="64">
        <v>23.7</v>
      </c>
      <c r="J11" s="402">
        <v>22.7</v>
      </c>
      <c r="K11" s="64">
        <v>21.1</v>
      </c>
      <c r="L11" s="64">
        <v>20.100000000000001</v>
      </c>
      <c r="M11" s="64">
        <v>17.899999999999999</v>
      </c>
      <c r="N11" s="64">
        <v>12.7</v>
      </c>
      <c r="O11" s="64">
        <v>11.5</v>
      </c>
      <c r="P11" s="64">
        <v>5.8</v>
      </c>
      <c r="Q11" s="64">
        <v>3.4</v>
      </c>
      <c r="R11" s="129">
        <f t="shared" si="3"/>
        <v>14.375</v>
      </c>
      <c r="S11" s="130">
        <f t="shared" si="4"/>
        <v>23.7</v>
      </c>
      <c r="T11" s="130">
        <f t="shared" si="2"/>
        <v>21.283333333333331</v>
      </c>
    </row>
    <row r="12" spans="1:20" s="3" customFormat="1" ht="14" x14ac:dyDescent="0.3">
      <c r="A12" s="399" t="s">
        <v>160</v>
      </c>
      <c r="B12" s="64">
        <v>3.4</v>
      </c>
      <c r="C12" s="64">
        <v>4.5</v>
      </c>
      <c r="D12" s="64">
        <v>9.5</v>
      </c>
      <c r="E12" s="64">
        <v>13.3</v>
      </c>
      <c r="F12" s="64">
        <v>15.6</v>
      </c>
      <c r="G12" s="64">
        <v>22.2</v>
      </c>
      <c r="H12" s="64">
        <v>22.2</v>
      </c>
      <c r="I12" s="64">
        <v>23.7</v>
      </c>
      <c r="J12" s="402">
        <v>22.6</v>
      </c>
      <c r="K12" s="64">
        <v>21.1</v>
      </c>
      <c r="L12" s="64">
        <v>20.100000000000001</v>
      </c>
      <c r="M12" s="64">
        <v>17.899999999999999</v>
      </c>
      <c r="N12" s="64">
        <v>12.6</v>
      </c>
      <c r="O12" s="64">
        <v>11.4</v>
      </c>
      <c r="P12" s="64">
        <v>5.8</v>
      </c>
      <c r="Q12" s="64">
        <v>3.6</v>
      </c>
      <c r="R12" s="129">
        <f t="shared" si="3"/>
        <v>14.34375</v>
      </c>
      <c r="S12" s="130">
        <f t="shared" si="4"/>
        <v>23.7</v>
      </c>
      <c r="T12" s="130">
        <f t="shared" si="2"/>
        <v>21.266666666666666</v>
      </c>
    </row>
    <row r="13" spans="1:20" s="3" customFormat="1" ht="14" x14ac:dyDescent="0.3">
      <c r="A13" s="399" t="s">
        <v>456</v>
      </c>
      <c r="B13" s="64">
        <v>3.7</v>
      </c>
      <c r="C13" s="64">
        <v>4.5</v>
      </c>
      <c r="D13" s="64">
        <v>9.1</v>
      </c>
      <c r="E13" s="64">
        <v>13.1</v>
      </c>
      <c r="F13" s="64">
        <v>15.3</v>
      </c>
      <c r="G13" s="64">
        <v>22.2</v>
      </c>
      <c r="H13" s="64">
        <v>22.2</v>
      </c>
      <c r="I13" s="64">
        <v>23.7</v>
      </c>
      <c r="J13" s="402">
        <v>22.6</v>
      </c>
      <c r="K13" s="64">
        <v>21.1</v>
      </c>
      <c r="L13" s="64">
        <v>20</v>
      </c>
      <c r="M13" s="64">
        <v>17.899999999999999</v>
      </c>
      <c r="N13" s="64">
        <v>12.6</v>
      </c>
      <c r="O13" s="64">
        <v>11.4</v>
      </c>
      <c r="P13" s="64">
        <v>5.8</v>
      </c>
      <c r="Q13" s="64">
        <v>3.6</v>
      </c>
      <c r="R13" s="129">
        <f t="shared" si="3"/>
        <v>14.3</v>
      </c>
      <c r="S13" s="130">
        <f t="shared" si="4"/>
        <v>23.7</v>
      </c>
      <c r="T13" s="130">
        <f t="shared" si="2"/>
        <v>21.25</v>
      </c>
    </row>
    <row r="14" spans="1:20" s="3" customFormat="1" ht="14" x14ac:dyDescent="0.3">
      <c r="A14" s="399" t="s">
        <v>161</v>
      </c>
      <c r="B14" s="64">
        <v>4.0999999999999996</v>
      </c>
      <c r="C14" s="64">
        <v>4.3</v>
      </c>
      <c r="D14" s="64">
        <v>8.4</v>
      </c>
      <c r="E14" s="64">
        <v>12.9</v>
      </c>
      <c r="F14" s="64">
        <v>15.1</v>
      </c>
      <c r="G14" s="64">
        <v>22.2</v>
      </c>
      <c r="H14" s="64">
        <v>22.2</v>
      </c>
      <c r="I14" s="64">
        <v>23.7</v>
      </c>
      <c r="J14" s="402">
        <v>22.6</v>
      </c>
      <c r="K14" s="64">
        <v>21.1</v>
      </c>
      <c r="L14" s="64">
        <v>20</v>
      </c>
      <c r="M14" s="64">
        <v>17.899999999999999</v>
      </c>
      <c r="N14" s="64">
        <v>12.6</v>
      </c>
      <c r="O14" s="64">
        <v>11.4</v>
      </c>
      <c r="P14" s="64">
        <v>5.8</v>
      </c>
      <c r="Q14" s="64">
        <v>3.6</v>
      </c>
      <c r="R14" s="129">
        <f t="shared" si="3"/>
        <v>14.24375</v>
      </c>
      <c r="S14" s="130">
        <f t="shared" si="4"/>
        <v>23.7</v>
      </c>
      <c r="T14" s="130">
        <f t="shared" si="2"/>
        <v>21.25</v>
      </c>
    </row>
    <row r="15" spans="1:20" s="3" customFormat="1" ht="14" x14ac:dyDescent="0.3">
      <c r="A15" s="399" t="s">
        <v>162</v>
      </c>
      <c r="B15" s="64">
        <v>4.0999999999999996</v>
      </c>
      <c r="C15" s="64">
        <v>4.3</v>
      </c>
      <c r="D15" s="64">
        <v>7.7</v>
      </c>
      <c r="E15" s="64">
        <v>12.8</v>
      </c>
      <c r="F15" s="64">
        <v>14.7</v>
      </c>
      <c r="G15" s="64">
        <v>22.2</v>
      </c>
      <c r="H15" s="64">
        <v>22.2</v>
      </c>
      <c r="I15" s="64">
        <v>23.6</v>
      </c>
      <c r="J15" s="402">
        <v>22.6</v>
      </c>
      <c r="K15" s="64">
        <v>21.1</v>
      </c>
      <c r="L15" s="64">
        <v>20</v>
      </c>
      <c r="M15" s="64">
        <v>17.8</v>
      </c>
      <c r="N15" s="64">
        <v>12.6</v>
      </c>
      <c r="O15" s="64">
        <v>11.3</v>
      </c>
      <c r="P15" s="64">
        <v>5.8</v>
      </c>
      <c r="Q15" s="64">
        <v>3.7</v>
      </c>
      <c r="R15" s="129">
        <f t="shared" si="3"/>
        <v>14.15625</v>
      </c>
      <c r="S15" s="130">
        <f t="shared" si="4"/>
        <v>23.6</v>
      </c>
      <c r="T15" s="130">
        <f t="shared" si="2"/>
        <v>21.216666666666665</v>
      </c>
    </row>
    <row r="16" spans="1:20" s="3" customFormat="1" ht="14" x14ac:dyDescent="0.3">
      <c r="A16" s="399" t="s">
        <v>163</v>
      </c>
      <c r="B16" s="576">
        <v>4.2</v>
      </c>
      <c r="C16" s="577">
        <v>4.5</v>
      </c>
      <c r="D16" s="64">
        <v>7.3</v>
      </c>
      <c r="E16" s="64">
        <v>12.3</v>
      </c>
      <c r="F16" s="64">
        <v>14.2</v>
      </c>
      <c r="G16" s="64">
        <v>22.1</v>
      </c>
      <c r="H16" s="64">
        <v>22.2</v>
      </c>
      <c r="I16" s="64">
        <v>23.6</v>
      </c>
      <c r="J16" s="402">
        <v>22.6</v>
      </c>
      <c r="K16" s="64">
        <v>21</v>
      </c>
      <c r="L16" s="64">
        <v>20</v>
      </c>
      <c r="M16" s="64">
        <v>17.8</v>
      </c>
      <c r="N16" s="64">
        <v>12.4</v>
      </c>
      <c r="O16" s="64">
        <v>11.3</v>
      </c>
      <c r="P16" s="64">
        <v>5.8</v>
      </c>
      <c r="Q16" s="64">
        <v>3.7</v>
      </c>
      <c r="R16" s="129">
        <f t="shared" si="3"/>
        <v>14.062500000000002</v>
      </c>
      <c r="S16" s="130">
        <f t="shared" si="4"/>
        <v>23.6</v>
      </c>
      <c r="T16" s="130">
        <f t="shared" si="2"/>
        <v>21.2</v>
      </c>
    </row>
    <row r="17" spans="1:20" ht="14" x14ac:dyDescent="0.3">
      <c r="A17" s="399" t="s">
        <v>164</v>
      </c>
      <c r="B17" s="576">
        <v>4.3</v>
      </c>
      <c r="C17" s="578">
        <v>4.5999999999999996</v>
      </c>
      <c r="D17" s="64">
        <v>7.1</v>
      </c>
      <c r="E17" s="64">
        <v>11.7</v>
      </c>
      <c r="F17" s="64">
        <v>13.9</v>
      </c>
      <c r="G17" s="64">
        <v>22.1</v>
      </c>
      <c r="H17" s="64">
        <v>22.1</v>
      </c>
      <c r="I17" s="64">
        <v>23.6</v>
      </c>
      <c r="J17" s="402">
        <v>22.6</v>
      </c>
      <c r="K17" s="64">
        <v>21</v>
      </c>
      <c r="L17" s="64">
        <v>19.899999999999999</v>
      </c>
      <c r="M17" s="64">
        <v>17.8</v>
      </c>
      <c r="N17" s="64">
        <v>12.3</v>
      </c>
      <c r="O17" s="64">
        <v>11.3</v>
      </c>
      <c r="P17" s="64">
        <v>5.8</v>
      </c>
      <c r="Q17" s="64">
        <v>3.7</v>
      </c>
      <c r="R17" s="129">
        <f t="shared" si="3"/>
        <v>13.987500000000002</v>
      </c>
      <c r="S17" s="130">
        <f t="shared" si="4"/>
        <v>23.6</v>
      </c>
      <c r="T17" s="130">
        <f t="shared" si="2"/>
        <v>21.166666666666668</v>
      </c>
    </row>
    <row r="18" spans="1:20" ht="14" x14ac:dyDescent="0.3">
      <c r="A18" s="399" t="s">
        <v>165</v>
      </c>
      <c r="B18" s="576">
        <v>4.5</v>
      </c>
      <c r="C18" s="577">
        <v>4.7</v>
      </c>
      <c r="D18" s="64">
        <v>7.1</v>
      </c>
      <c r="E18" s="64">
        <v>11.5</v>
      </c>
      <c r="F18" s="64">
        <v>13.5</v>
      </c>
      <c r="G18" s="64">
        <v>22</v>
      </c>
      <c r="H18" s="64">
        <v>22.1</v>
      </c>
      <c r="I18" s="64">
        <v>23.6</v>
      </c>
      <c r="J18" s="402">
        <v>22.5</v>
      </c>
      <c r="K18" s="64">
        <v>21</v>
      </c>
      <c r="L18" s="64">
        <v>19.899999999999999</v>
      </c>
      <c r="M18" s="64">
        <v>17.7</v>
      </c>
      <c r="N18" s="64">
        <v>12.4</v>
      </c>
      <c r="O18" s="64">
        <v>11.2</v>
      </c>
      <c r="P18" s="64">
        <v>5.9</v>
      </c>
      <c r="Q18" s="64">
        <v>3.8</v>
      </c>
      <c r="R18" s="129">
        <f t="shared" si="3"/>
        <v>13.9625</v>
      </c>
      <c r="S18" s="130">
        <f t="shared" si="4"/>
        <v>23.6</v>
      </c>
      <c r="T18" s="130">
        <f t="shared" ref="T18:T72" si="5">AVERAGE(H18:M18)</f>
        <v>21.133333333333333</v>
      </c>
    </row>
    <row r="19" spans="1:20" ht="14" x14ac:dyDescent="0.3">
      <c r="A19" s="399" t="s">
        <v>166</v>
      </c>
      <c r="B19" s="576">
        <v>5</v>
      </c>
      <c r="C19" s="577">
        <v>5</v>
      </c>
      <c r="D19" s="64">
        <v>7</v>
      </c>
      <c r="E19" s="64">
        <v>11.1</v>
      </c>
      <c r="F19" s="64">
        <v>13</v>
      </c>
      <c r="G19" s="64">
        <v>21.9</v>
      </c>
      <c r="H19" s="64">
        <v>22</v>
      </c>
      <c r="I19" s="64">
        <v>23.4</v>
      </c>
      <c r="J19" s="402">
        <v>22.5</v>
      </c>
      <c r="K19" s="64">
        <v>20.9</v>
      </c>
      <c r="L19" s="64">
        <v>8.39</v>
      </c>
      <c r="M19" s="64">
        <v>17.5</v>
      </c>
      <c r="N19" s="64">
        <v>12.3</v>
      </c>
      <c r="O19" s="64">
        <v>11.2</v>
      </c>
      <c r="P19" s="64">
        <v>6.5</v>
      </c>
      <c r="Q19" s="64">
        <v>4</v>
      </c>
      <c r="R19" s="129">
        <f t="shared" si="3"/>
        <v>13.230625</v>
      </c>
      <c r="S19" s="130">
        <f t="shared" si="4"/>
        <v>23.4</v>
      </c>
      <c r="T19" s="130">
        <f t="shared" si="5"/>
        <v>19.115000000000002</v>
      </c>
    </row>
    <row r="20" spans="1:20" ht="14" x14ac:dyDescent="0.3">
      <c r="A20" s="399" t="s">
        <v>188</v>
      </c>
      <c r="B20" s="576">
        <v>4.9000000000000004</v>
      </c>
      <c r="C20" s="577">
        <v>5.0999999999999996</v>
      </c>
      <c r="D20" s="64">
        <v>6.9</v>
      </c>
      <c r="E20" s="64">
        <v>10.9</v>
      </c>
      <c r="F20" s="64">
        <v>12.8</v>
      </c>
      <c r="G20" s="64">
        <v>21.6</v>
      </c>
      <c r="H20" s="64">
        <v>21.7</v>
      </c>
      <c r="I20" s="64">
        <v>23.4</v>
      </c>
      <c r="J20" s="402">
        <v>2.2999999999999998</v>
      </c>
      <c r="K20" s="64"/>
      <c r="L20" s="64"/>
      <c r="M20" s="64"/>
      <c r="N20" s="64">
        <v>11.9</v>
      </c>
      <c r="O20" s="64">
        <v>11.1</v>
      </c>
      <c r="P20" s="64">
        <v>6.7</v>
      </c>
      <c r="Q20" s="64">
        <v>4.3</v>
      </c>
      <c r="R20" s="129">
        <f t="shared" si="3"/>
        <v>11.046153846153846</v>
      </c>
      <c r="S20" s="130">
        <f t="shared" si="4"/>
        <v>23.4</v>
      </c>
      <c r="T20" s="130">
        <f t="shared" si="5"/>
        <v>15.799999999999997</v>
      </c>
    </row>
    <row r="21" spans="1:20" ht="14" x14ac:dyDescent="0.3">
      <c r="A21" s="544" t="s">
        <v>189</v>
      </c>
      <c r="B21" s="576"/>
      <c r="C21" s="577">
        <v>5</v>
      </c>
      <c r="D21" s="64">
        <v>6.9</v>
      </c>
      <c r="E21" s="64">
        <v>10.8</v>
      </c>
      <c r="F21" s="64">
        <v>12.6</v>
      </c>
      <c r="G21" s="64"/>
      <c r="H21" s="64">
        <v>21.3</v>
      </c>
      <c r="I21" s="64"/>
      <c r="J21" s="402"/>
      <c r="K21" s="64"/>
      <c r="L21" s="64"/>
      <c r="M21" s="64"/>
      <c r="N21" s="64"/>
      <c r="O21" s="64"/>
      <c r="P21" s="64"/>
      <c r="Q21" s="64"/>
      <c r="R21" s="129">
        <f t="shared" si="3"/>
        <v>11.320000000000002</v>
      </c>
      <c r="S21" s="130">
        <f t="shared" si="4"/>
        <v>21.3</v>
      </c>
      <c r="T21" s="130">
        <f t="shared" si="5"/>
        <v>21.3</v>
      </c>
    </row>
    <row r="22" spans="1:20" ht="14" x14ac:dyDescent="0.3">
      <c r="A22" s="566" t="s">
        <v>854</v>
      </c>
      <c r="B22" s="576">
        <f>AVERAGE(B7:B10)</f>
        <v>2.625</v>
      </c>
      <c r="C22" s="576">
        <f t="shared" ref="C22:O22" si="6">AVERAGE(C7:C10)</f>
        <v>2.65</v>
      </c>
      <c r="D22" s="576">
        <f t="shared" si="6"/>
        <v>9.6</v>
      </c>
      <c r="E22" s="576">
        <f t="shared" si="6"/>
        <v>14.600000000000001</v>
      </c>
      <c r="F22" s="576">
        <f>AVERAGE(F7:F10)</f>
        <v>16.625</v>
      </c>
      <c r="G22" s="576">
        <f>AVERAGE(G7:G10)</f>
        <v>22.349999999999998</v>
      </c>
      <c r="H22" s="576">
        <f t="shared" ref="H22:L22" si="7">AVERAGE(H7:H10)</f>
        <v>22.324999999999999</v>
      </c>
      <c r="I22" s="576">
        <f t="shared" si="7"/>
        <v>23.9</v>
      </c>
      <c r="J22" s="576">
        <f t="shared" si="7"/>
        <v>22.825000000000003</v>
      </c>
      <c r="K22" s="576">
        <f t="shared" si="7"/>
        <v>21.2</v>
      </c>
      <c r="L22" s="576">
        <f t="shared" si="7"/>
        <v>20.5</v>
      </c>
      <c r="M22" s="576">
        <f t="shared" si="6"/>
        <v>17.899999999999999</v>
      </c>
      <c r="N22" s="576">
        <f t="shared" si="6"/>
        <v>12.924999999999999</v>
      </c>
      <c r="O22" s="576">
        <f t="shared" si="6"/>
        <v>11.625</v>
      </c>
      <c r="P22" s="576">
        <f t="shared" ref="P22:Q22" si="8">AVERAGE(P7:P10)</f>
        <v>5.8</v>
      </c>
      <c r="Q22" s="576">
        <f t="shared" si="8"/>
        <v>3.35</v>
      </c>
      <c r="R22" s="129"/>
      <c r="S22" s="130"/>
      <c r="T22" s="130"/>
    </row>
    <row r="23" spans="1:20" ht="14" x14ac:dyDescent="0.3">
      <c r="A23" s="566" t="s">
        <v>855</v>
      </c>
      <c r="B23" s="576">
        <f>AVERAGE(B7:B21)</f>
        <v>3.7071428571428569</v>
      </c>
      <c r="C23" s="576">
        <f t="shared" ref="C23:O23" si="9">AVERAGE(C7:C21)</f>
        <v>4.0733333333333341</v>
      </c>
      <c r="D23" s="576">
        <f t="shared" si="9"/>
        <v>8.3266666666666662</v>
      </c>
      <c r="E23" s="576">
        <f t="shared" si="9"/>
        <v>12.84</v>
      </c>
      <c r="F23" s="576">
        <f t="shared" si="9"/>
        <v>14.893333333333333</v>
      </c>
      <c r="G23" s="576">
        <f t="shared" si="9"/>
        <v>22.149999999999995</v>
      </c>
      <c r="H23" s="576">
        <f t="shared" si="9"/>
        <v>22.11333333333333</v>
      </c>
      <c r="I23" s="576">
        <f t="shared" si="9"/>
        <v>23.685714285714283</v>
      </c>
      <c r="J23" s="576">
        <f t="shared" si="9"/>
        <v>21.207142857142859</v>
      </c>
      <c r="K23" s="576">
        <f t="shared" si="9"/>
        <v>21.092307692307692</v>
      </c>
      <c r="L23" s="576">
        <f t="shared" si="9"/>
        <v>19.260769230769231</v>
      </c>
      <c r="M23" s="576">
        <f t="shared" si="9"/>
        <v>17.830769230769235</v>
      </c>
      <c r="N23" s="576">
        <f t="shared" si="9"/>
        <v>12.578571428571427</v>
      </c>
      <c r="O23" s="576">
        <f t="shared" si="9"/>
        <v>11.4</v>
      </c>
      <c r="P23" s="576">
        <f t="shared" ref="P23:Q23" si="10">AVERAGE(P7:P21)</f>
        <v>5.9214285714285708</v>
      </c>
      <c r="Q23" s="576">
        <f t="shared" si="10"/>
        <v>3.628571428571429</v>
      </c>
      <c r="R23" s="129"/>
      <c r="S23" s="130"/>
      <c r="T23" s="130"/>
    </row>
    <row r="24" spans="1:20" ht="15" customHeight="1" x14ac:dyDescent="0.35">
      <c r="A24" s="798" t="s">
        <v>804</v>
      </c>
      <c r="B24" s="799"/>
      <c r="C24" s="799"/>
      <c r="D24" s="799"/>
      <c r="E24" s="799"/>
      <c r="F24" s="799"/>
      <c r="G24" s="799"/>
      <c r="H24" s="799"/>
      <c r="I24" s="799"/>
      <c r="J24" s="799"/>
      <c r="K24" s="799"/>
      <c r="L24" s="799"/>
      <c r="M24" s="799"/>
      <c r="N24" s="799"/>
      <c r="O24" s="799"/>
      <c r="P24" s="799"/>
      <c r="Q24" s="799"/>
      <c r="R24" s="799"/>
      <c r="S24" s="799"/>
      <c r="T24" s="800"/>
    </row>
    <row r="25" spans="1:20" ht="14" x14ac:dyDescent="0.3">
      <c r="A25" s="544" t="s">
        <v>453</v>
      </c>
      <c r="B25" s="64">
        <v>2.2000000000000002</v>
      </c>
      <c r="C25" s="64">
        <v>2.4</v>
      </c>
      <c r="D25" s="64">
        <v>9.6</v>
      </c>
      <c r="E25" s="64">
        <v>15.5</v>
      </c>
      <c r="F25" s="64">
        <v>17.5</v>
      </c>
      <c r="G25" s="64">
        <v>22.7</v>
      </c>
      <c r="H25" s="64">
        <v>22.3</v>
      </c>
      <c r="I25" s="64">
        <v>24.2</v>
      </c>
      <c r="J25" s="64">
        <v>23.3</v>
      </c>
      <c r="K25" s="64">
        <v>21.7</v>
      </c>
      <c r="L25" s="64">
        <v>20.3</v>
      </c>
      <c r="M25" s="64">
        <v>17.899999999999999</v>
      </c>
      <c r="N25" s="64">
        <v>12.9</v>
      </c>
      <c r="O25" s="64">
        <v>11.8</v>
      </c>
      <c r="P25" s="56">
        <v>5.8</v>
      </c>
      <c r="Q25" s="56"/>
      <c r="R25" s="129">
        <f>AVERAGE(B25:Q25)</f>
        <v>15.340000000000003</v>
      </c>
      <c r="S25" s="130">
        <f>MAX(B25:Q25)</f>
        <v>24.2</v>
      </c>
      <c r="T25" s="130">
        <f t="shared" si="5"/>
        <v>21.616666666666664</v>
      </c>
    </row>
    <row r="26" spans="1:20" ht="14" x14ac:dyDescent="0.3">
      <c r="A26" s="544" t="s">
        <v>158</v>
      </c>
      <c r="B26" s="64">
        <v>2.6</v>
      </c>
      <c r="C26" s="64">
        <v>2.2000000000000002</v>
      </c>
      <c r="D26" s="64">
        <v>9.6</v>
      </c>
      <c r="E26" s="64">
        <v>15.2</v>
      </c>
      <c r="F26" s="64">
        <v>17.5</v>
      </c>
      <c r="G26" s="64">
        <v>22.7</v>
      </c>
      <c r="H26" s="64">
        <v>22.2</v>
      </c>
      <c r="I26" s="64">
        <v>24.1</v>
      </c>
      <c r="J26" s="64">
        <v>23</v>
      </c>
      <c r="K26" s="64">
        <v>21.4</v>
      </c>
      <c r="L26" s="64">
        <v>20.2</v>
      </c>
      <c r="M26" s="64">
        <v>17.899999999999999</v>
      </c>
      <c r="N26" s="64">
        <v>12.8</v>
      </c>
      <c r="O26" s="64">
        <v>11.6</v>
      </c>
      <c r="P26" s="56">
        <v>5.8</v>
      </c>
      <c r="Q26" s="56"/>
      <c r="R26" s="129">
        <f t="shared" ref="R26:R36" si="11">AVERAGE(B26:Q26)</f>
        <v>15.253333333333334</v>
      </c>
      <c r="S26" s="130">
        <f t="shared" ref="S26:S36" si="12">MAX(B26:Q26)</f>
        <v>24.1</v>
      </c>
      <c r="T26" s="130">
        <f t="shared" si="5"/>
        <v>21.466666666666665</v>
      </c>
    </row>
    <row r="27" spans="1:20" ht="14" x14ac:dyDescent="0.3">
      <c r="A27" s="544" t="s">
        <v>454</v>
      </c>
      <c r="B27" s="64">
        <v>2.9</v>
      </c>
      <c r="C27" s="64">
        <v>3</v>
      </c>
      <c r="D27" s="64">
        <v>9.6</v>
      </c>
      <c r="E27" s="64">
        <v>14.2</v>
      </c>
      <c r="F27" s="64">
        <v>16.8</v>
      </c>
      <c r="G27" s="575">
        <v>22.7</v>
      </c>
      <c r="H27" s="64">
        <v>22.2</v>
      </c>
      <c r="I27" s="64">
        <v>23.9</v>
      </c>
      <c r="J27" s="64">
        <v>22.8</v>
      </c>
      <c r="K27" s="64">
        <v>21.3</v>
      </c>
      <c r="L27" s="64">
        <v>20.100000000000001</v>
      </c>
      <c r="M27" s="64">
        <v>17.899999999999999</v>
      </c>
      <c r="N27" s="64">
        <v>12.7</v>
      </c>
      <c r="O27" s="64">
        <v>11.5</v>
      </c>
      <c r="P27" s="56">
        <v>5.8</v>
      </c>
      <c r="Q27" s="56"/>
      <c r="R27" s="129">
        <f t="shared" si="11"/>
        <v>15.160000000000002</v>
      </c>
      <c r="S27" s="130">
        <f t="shared" si="12"/>
        <v>23.9</v>
      </c>
      <c r="T27" s="130">
        <f t="shared" si="5"/>
        <v>21.366666666666664</v>
      </c>
    </row>
    <row r="28" spans="1:20" ht="14" x14ac:dyDescent="0.3">
      <c r="A28" s="544" t="s">
        <v>159</v>
      </c>
      <c r="B28" s="64">
        <v>2.7</v>
      </c>
      <c r="C28" s="64">
        <v>3.4</v>
      </c>
      <c r="D28" s="64">
        <v>9.6</v>
      </c>
      <c r="E28" s="64">
        <v>13.6</v>
      </c>
      <c r="F28" s="64">
        <v>16.399999999999999</v>
      </c>
      <c r="G28" s="64">
        <v>22.7</v>
      </c>
      <c r="H28" s="64">
        <v>22.2</v>
      </c>
      <c r="I28" s="64">
        <v>23.8</v>
      </c>
      <c r="J28" s="64">
        <v>22.7</v>
      </c>
      <c r="K28" s="64">
        <v>21.2</v>
      </c>
      <c r="L28" s="64">
        <v>20.100000000000001</v>
      </c>
      <c r="M28" s="64">
        <v>17.899999999999999</v>
      </c>
      <c r="N28" s="64">
        <v>12.7</v>
      </c>
      <c r="O28" s="64">
        <v>11.5</v>
      </c>
      <c r="P28" s="56">
        <v>5.8</v>
      </c>
      <c r="Q28" s="56"/>
      <c r="R28" s="129">
        <f t="shared" si="11"/>
        <v>15.086666666666666</v>
      </c>
      <c r="S28" s="130">
        <f t="shared" si="12"/>
        <v>23.8</v>
      </c>
      <c r="T28" s="130">
        <f>AVERAGE(H28:M28)</f>
        <v>21.316666666666666</v>
      </c>
    </row>
    <row r="29" spans="1:20" ht="14" x14ac:dyDescent="0.3">
      <c r="A29" s="544" t="s">
        <v>455</v>
      </c>
      <c r="B29" s="64">
        <v>4.0999999999999996</v>
      </c>
      <c r="C29" s="64">
        <v>4.0999999999999996</v>
      </c>
      <c r="D29" s="64">
        <v>9.5</v>
      </c>
      <c r="E29" s="64">
        <v>13.2</v>
      </c>
      <c r="F29" s="64">
        <v>15.6</v>
      </c>
      <c r="G29" s="64">
        <v>22.4</v>
      </c>
      <c r="H29" s="64">
        <v>22.2</v>
      </c>
      <c r="I29" s="64">
        <v>23.8</v>
      </c>
      <c r="J29" s="64">
        <v>22.7</v>
      </c>
      <c r="K29" s="64">
        <v>21.1</v>
      </c>
      <c r="L29" s="64">
        <v>20.100000000000001</v>
      </c>
      <c r="M29" s="64">
        <v>17.899999999999999</v>
      </c>
      <c r="N29" s="64">
        <v>12.7</v>
      </c>
      <c r="O29" s="64">
        <v>11.4</v>
      </c>
      <c r="P29" s="56">
        <v>5.8</v>
      </c>
      <c r="Q29" s="56"/>
      <c r="R29" s="129">
        <f t="shared" si="11"/>
        <v>15.106666666666666</v>
      </c>
      <c r="S29" s="130">
        <f t="shared" si="12"/>
        <v>23.8</v>
      </c>
      <c r="T29" s="130">
        <f t="shared" si="5"/>
        <v>21.3</v>
      </c>
    </row>
    <row r="30" spans="1:20" ht="14" x14ac:dyDescent="0.3">
      <c r="A30" s="544" t="s">
        <v>160</v>
      </c>
      <c r="B30" s="64">
        <v>4.0999999999999996</v>
      </c>
      <c r="C30" s="64">
        <v>4.4000000000000004</v>
      </c>
      <c r="D30" s="64">
        <v>9.5</v>
      </c>
      <c r="E30" s="64">
        <v>13.1</v>
      </c>
      <c r="F30" s="64">
        <v>15.3</v>
      </c>
      <c r="G30" s="64">
        <v>2.2999999999999998</v>
      </c>
      <c r="H30" s="64">
        <v>22.2</v>
      </c>
      <c r="I30" s="64">
        <v>23.7</v>
      </c>
      <c r="J30" s="64">
        <v>22.7</v>
      </c>
      <c r="K30" s="64">
        <v>21.1</v>
      </c>
      <c r="L30" s="64">
        <v>20.100000000000001</v>
      </c>
      <c r="M30" s="64">
        <v>17.899999999999999</v>
      </c>
      <c r="N30" s="64">
        <v>12.7</v>
      </c>
      <c r="O30" s="64">
        <v>11.4</v>
      </c>
      <c r="P30" s="56">
        <v>5.8</v>
      </c>
      <c r="Q30" s="56"/>
      <c r="R30" s="129">
        <f t="shared" si="11"/>
        <v>13.753333333333334</v>
      </c>
      <c r="S30" s="130">
        <f t="shared" si="12"/>
        <v>23.7</v>
      </c>
      <c r="T30" s="130">
        <f t="shared" si="5"/>
        <v>21.283333333333331</v>
      </c>
    </row>
    <row r="31" spans="1:20" ht="14" x14ac:dyDescent="0.3">
      <c r="A31" s="544" t="s">
        <v>456</v>
      </c>
      <c r="B31" s="64">
        <v>4.5</v>
      </c>
      <c r="C31" s="64">
        <v>4.5999999999999996</v>
      </c>
      <c r="D31" s="64">
        <v>9.5</v>
      </c>
      <c r="E31" s="64">
        <v>13</v>
      </c>
      <c r="F31" s="64">
        <v>15.2</v>
      </c>
      <c r="G31" s="64">
        <v>22.3</v>
      </c>
      <c r="H31" s="64">
        <v>22.2</v>
      </c>
      <c r="I31" s="64">
        <v>23.7</v>
      </c>
      <c r="J31" s="64">
        <v>22.6</v>
      </c>
      <c r="K31" s="64">
        <v>21.1</v>
      </c>
      <c r="L31" s="64">
        <v>20.100000000000001</v>
      </c>
      <c r="M31" s="64">
        <v>17.899999999999999</v>
      </c>
      <c r="N31" s="64">
        <v>12.7</v>
      </c>
      <c r="O31" s="64">
        <v>11.4</v>
      </c>
      <c r="P31" s="56">
        <v>5.7</v>
      </c>
      <c r="Q31" s="56"/>
      <c r="R31" s="129">
        <f t="shared" si="11"/>
        <v>15.099999999999998</v>
      </c>
      <c r="S31" s="130">
        <f t="shared" si="12"/>
        <v>23.7</v>
      </c>
      <c r="T31" s="130">
        <f t="shared" si="5"/>
        <v>21.266666666666666</v>
      </c>
    </row>
    <row r="32" spans="1:20" ht="14" x14ac:dyDescent="0.3">
      <c r="A32" s="544" t="s">
        <v>161</v>
      </c>
      <c r="B32" s="64">
        <v>4.3</v>
      </c>
      <c r="C32" s="64">
        <v>4.8</v>
      </c>
      <c r="D32" s="1">
        <v>9.5</v>
      </c>
      <c r="E32" s="64">
        <v>12.8</v>
      </c>
      <c r="F32" s="64">
        <v>15.1</v>
      </c>
      <c r="G32" s="64">
        <v>22.2</v>
      </c>
      <c r="H32" s="64">
        <v>22.2</v>
      </c>
      <c r="I32" s="64">
        <v>23.7</v>
      </c>
      <c r="J32" s="64">
        <v>22.6</v>
      </c>
      <c r="K32" s="64">
        <v>21.1</v>
      </c>
      <c r="L32" s="64">
        <v>20</v>
      </c>
      <c r="M32" s="64">
        <v>17.899999999999999</v>
      </c>
      <c r="N32" s="64">
        <v>12.6</v>
      </c>
      <c r="O32" s="64">
        <v>11.4</v>
      </c>
      <c r="P32" s="56">
        <v>5.8</v>
      </c>
      <c r="Q32" s="56"/>
      <c r="R32" s="129">
        <f t="shared" si="11"/>
        <v>15.066666666666668</v>
      </c>
      <c r="S32" s="130">
        <f t="shared" si="12"/>
        <v>23.7</v>
      </c>
      <c r="T32" s="130">
        <f t="shared" si="5"/>
        <v>21.25</v>
      </c>
    </row>
    <row r="33" spans="1:20" ht="14" x14ac:dyDescent="0.3">
      <c r="A33" s="544" t="s">
        <v>162</v>
      </c>
      <c r="B33" s="64">
        <v>4.3</v>
      </c>
      <c r="C33" s="64">
        <v>4.8</v>
      </c>
      <c r="D33" s="64">
        <v>9.5</v>
      </c>
      <c r="E33" s="64">
        <v>12.6</v>
      </c>
      <c r="F33" s="64">
        <v>14.8</v>
      </c>
      <c r="G33" s="64">
        <v>22.1</v>
      </c>
      <c r="H33" s="64">
        <v>22.2</v>
      </c>
      <c r="I33" s="64">
        <v>23.7</v>
      </c>
      <c r="J33" s="64">
        <v>22.6</v>
      </c>
      <c r="K33" s="64">
        <v>21.1</v>
      </c>
      <c r="L33" s="64">
        <v>20</v>
      </c>
      <c r="M33" s="64">
        <v>17.899999999999999</v>
      </c>
      <c r="N33" s="64">
        <v>12.5</v>
      </c>
      <c r="O33" s="64">
        <v>11.3</v>
      </c>
      <c r="P33" s="56">
        <v>5.8</v>
      </c>
      <c r="Q33" s="56"/>
      <c r="R33" s="129">
        <f t="shared" si="11"/>
        <v>15.013333333333334</v>
      </c>
      <c r="S33" s="130">
        <f t="shared" si="12"/>
        <v>23.7</v>
      </c>
      <c r="T33" s="130">
        <f t="shared" si="5"/>
        <v>21.25</v>
      </c>
    </row>
    <row r="34" spans="1:20" ht="14" x14ac:dyDescent="0.3">
      <c r="A34" s="544" t="s">
        <v>163</v>
      </c>
      <c r="B34" s="64">
        <v>4.2</v>
      </c>
      <c r="C34" s="64">
        <v>5</v>
      </c>
      <c r="D34" s="64">
        <v>7.4</v>
      </c>
      <c r="E34" s="64">
        <v>11.8</v>
      </c>
      <c r="F34" s="64">
        <v>14.3</v>
      </c>
      <c r="G34" s="64">
        <v>22.1</v>
      </c>
      <c r="H34" s="64">
        <v>22.2</v>
      </c>
      <c r="I34" s="64">
        <v>23.7</v>
      </c>
      <c r="J34" s="64">
        <v>22.6</v>
      </c>
      <c r="K34" s="64">
        <v>21.1</v>
      </c>
      <c r="L34" s="64">
        <v>20</v>
      </c>
      <c r="M34" s="64">
        <v>17.899999999999999</v>
      </c>
      <c r="N34" s="64">
        <v>12.5</v>
      </c>
      <c r="O34" s="64">
        <v>11.3</v>
      </c>
      <c r="P34" s="56">
        <v>5.8</v>
      </c>
      <c r="Q34" s="56"/>
      <c r="R34" s="129">
        <f t="shared" si="11"/>
        <v>14.793333333333335</v>
      </c>
      <c r="S34" s="130">
        <f t="shared" si="12"/>
        <v>23.7</v>
      </c>
      <c r="T34" s="130">
        <f t="shared" si="5"/>
        <v>21.25</v>
      </c>
    </row>
    <row r="35" spans="1:20" ht="14" x14ac:dyDescent="0.3">
      <c r="A35" s="544" t="s">
        <v>164</v>
      </c>
      <c r="B35" s="64">
        <v>4.7</v>
      </c>
      <c r="C35" s="64">
        <v>5.5</v>
      </c>
      <c r="D35" s="64">
        <v>7.2</v>
      </c>
      <c r="E35" s="64">
        <v>11.7</v>
      </c>
      <c r="F35" s="64">
        <v>13.7</v>
      </c>
      <c r="G35" s="64">
        <v>22</v>
      </c>
      <c r="H35" s="64">
        <v>22.2</v>
      </c>
      <c r="I35" s="64">
        <v>23.7</v>
      </c>
      <c r="J35" s="64">
        <v>22.6</v>
      </c>
      <c r="K35" s="64">
        <v>21</v>
      </c>
      <c r="L35" s="64">
        <v>19.8</v>
      </c>
      <c r="M35" s="64">
        <v>17.899999999999999</v>
      </c>
      <c r="N35" s="64"/>
      <c r="O35" s="64">
        <v>11.3</v>
      </c>
      <c r="P35" s="56">
        <v>5.8</v>
      </c>
      <c r="Q35" s="56"/>
      <c r="R35" s="129">
        <f t="shared" si="11"/>
        <v>14.935714285714289</v>
      </c>
      <c r="S35" s="130">
        <f t="shared" si="12"/>
        <v>23.7</v>
      </c>
      <c r="T35" s="130">
        <f t="shared" si="5"/>
        <v>21.2</v>
      </c>
    </row>
    <row r="36" spans="1:20" ht="14" x14ac:dyDescent="0.3">
      <c r="A36" s="544" t="s">
        <v>165</v>
      </c>
      <c r="B36" s="64">
        <v>4.9000000000000004</v>
      </c>
      <c r="C36" s="64">
        <v>5.6</v>
      </c>
      <c r="D36" s="64">
        <v>7.1</v>
      </c>
      <c r="E36" s="64">
        <v>11</v>
      </c>
      <c r="F36" s="64">
        <v>13.3</v>
      </c>
      <c r="G36" s="64">
        <v>21.9</v>
      </c>
      <c r="H36" s="64">
        <v>22.1</v>
      </c>
      <c r="I36" s="64">
        <v>23.6</v>
      </c>
      <c r="J36" s="64">
        <v>22.4</v>
      </c>
      <c r="K36" s="64">
        <v>21</v>
      </c>
      <c r="L36" s="64"/>
      <c r="M36" s="64"/>
      <c r="N36" s="64"/>
      <c r="O36" s="64">
        <v>11.2</v>
      </c>
      <c r="P36" s="56"/>
      <c r="Q36" s="56"/>
      <c r="R36" s="129">
        <f t="shared" si="11"/>
        <v>14.918181818181818</v>
      </c>
      <c r="S36" s="130">
        <f t="shared" si="12"/>
        <v>23.6</v>
      </c>
      <c r="T36" s="130">
        <f t="shared" si="5"/>
        <v>22.274999999999999</v>
      </c>
    </row>
    <row r="37" spans="1:20" ht="14" x14ac:dyDescent="0.3">
      <c r="A37" s="566" t="s">
        <v>854</v>
      </c>
      <c r="B37" s="576">
        <f>AVERAGE(B25:B28)</f>
        <v>2.6000000000000005</v>
      </c>
      <c r="C37" s="576">
        <f t="shared" ref="C37:J37" si="13">AVERAGE(C25:C28)</f>
        <v>2.75</v>
      </c>
      <c r="D37" s="576">
        <f t="shared" si="13"/>
        <v>9.6</v>
      </c>
      <c r="E37" s="576">
        <f t="shared" si="13"/>
        <v>14.625</v>
      </c>
      <c r="F37" s="576">
        <f t="shared" si="13"/>
        <v>17.049999999999997</v>
      </c>
      <c r="G37" s="576">
        <f t="shared" si="13"/>
        <v>22.7</v>
      </c>
      <c r="H37" s="576">
        <f t="shared" si="13"/>
        <v>22.225000000000001</v>
      </c>
      <c r="I37" s="576">
        <f t="shared" si="13"/>
        <v>23.999999999999996</v>
      </c>
      <c r="J37" s="576">
        <f t="shared" si="13"/>
        <v>22.95</v>
      </c>
      <c r="K37" s="576">
        <f>AVERAGE(K25:K28)</f>
        <v>21.4</v>
      </c>
      <c r="L37" s="576">
        <f>AVERAGE(L25:L28)</f>
        <v>20.175000000000001</v>
      </c>
      <c r="M37" s="576">
        <f t="shared" ref="M37" si="14">AVERAGE(M25:M29)</f>
        <v>17.899999999999999</v>
      </c>
      <c r="N37" s="576">
        <f>AVERAGE(N25:N28)</f>
        <v>12.775000000000002</v>
      </c>
      <c r="O37" s="576">
        <f>AVERAGE(O25:O28)</f>
        <v>11.6</v>
      </c>
      <c r="P37" s="576">
        <f>AVERAGE(P25:P28)</f>
        <v>5.8</v>
      </c>
      <c r="Q37" s="576"/>
      <c r="R37" s="129"/>
      <c r="S37" s="130"/>
      <c r="T37" s="130"/>
    </row>
    <row r="38" spans="1:20" ht="14" x14ac:dyDescent="0.3">
      <c r="A38" s="544" t="s">
        <v>823</v>
      </c>
      <c r="B38" s="576">
        <f>AVERAGE(B25:B36)</f>
        <v>3.7916666666666674</v>
      </c>
      <c r="C38" s="576">
        <f t="shared" ref="C38:O38" si="15">AVERAGE(C25:C36)</f>
        <v>4.1500000000000004</v>
      </c>
      <c r="D38" s="576">
        <f t="shared" si="15"/>
        <v>8.9666666666666668</v>
      </c>
      <c r="E38" s="576">
        <f t="shared" si="15"/>
        <v>13.141666666666666</v>
      </c>
      <c r="F38" s="576">
        <f t="shared" si="15"/>
        <v>15.458333333333334</v>
      </c>
      <c r="G38" s="576">
        <f t="shared" si="15"/>
        <v>20.674999999999997</v>
      </c>
      <c r="H38" s="576">
        <f t="shared" si="15"/>
        <v>22.2</v>
      </c>
      <c r="I38" s="576">
        <f t="shared" si="15"/>
        <v>23.799999999999997</v>
      </c>
      <c r="J38" s="576">
        <f t="shared" si="15"/>
        <v>22.716666666666665</v>
      </c>
      <c r="K38" s="576">
        <f t="shared" si="15"/>
        <v>21.18333333333333</v>
      </c>
      <c r="L38" s="576">
        <f t="shared" si="15"/>
        <v>20.072727272727274</v>
      </c>
      <c r="M38" s="576">
        <f t="shared" si="15"/>
        <v>17.900000000000002</v>
      </c>
      <c r="N38" s="576">
        <f t="shared" si="15"/>
        <v>12.680000000000001</v>
      </c>
      <c r="O38" s="576">
        <f t="shared" si="15"/>
        <v>11.424999999999999</v>
      </c>
      <c r="P38" s="576">
        <f t="shared" ref="P38" si="16">AVERAGE(P25:P36)</f>
        <v>5.7909090909090901</v>
      </c>
      <c r="Q38" s="576"/>
      <c r="R38" s="129"/>
      <c r="S38" s="130"/>
      <c r="T38" s="130"/>
    </row>
    <row r="39" spans="1:20" ht="15" customHeight="1" x14ac:dyDescent="0.35">
      <c r="A39" s="798" t="s">
        <v>805</v>
      </c>
      <c r="B39" s="799"/>
      <c r="C39" s="799"/>
      <c r="D39" s="799"/>
      <c r="E39" s="799"/>
      <c r="F39" s="799"/>
      <c r="G39" s="799"/>
      <c r="H39" s="799"/>
      <c r="I39" s="799"/>
      <c r="J39" s="799"/>
      <c r="K39" s="799"/>
      <c r="L39" s="799"/>
      <c r="M39" s="799"/>
      <c r="N39" s="799"/>
      <c r="O39" s="799"/>
      <c r="P39" s="799"/>
      <c r="Q39" s="799"/>
      <c r="R39" s="799"/>
      <c r="S39" s="799"/>
      <c r="T39" s="800"/>
    </row>
    <row r="40" spans="1:20" ht="14" x14ac:dyDescent="0.3">
      <c r="A40" s="544" t="s">
        <v>453</v>
      </c>
      <c r="B40" s="64">
        <v>1.9</v>
      </c>
      <c r="C40" s="64">
        <v>2.1</v>
      </c>
      <c r="D40" s="64">
        <v>9.1999999999999993</v>
      </c>
      <c r="E40" s="64">
        <v>15.2</v>
      </c>
      <c r="F40" s="64">
        <v>16.600000000000001</v>
      </c>
      <c r="G40" s="64">
        <v>22.7</v>
      </c>
      <c r="H40" s="64">
        <v>22.2</v>
      </c>
      <c r="I40" s="64">
        <v>24.1</v>
      </c>
      <c r="J40" s="64">
        <v>23.7</v>
      </c>
      <c r="K40" s="64">
        <v>21.6</v>
      </c>
      <c r="L40" s="64">
        <v>20.5</v>
      </c>
      <c r="M40" s="64">
        <v>17.899999999999999</v>
      </c>
      <c r="N40" s="64">
        <v>13.1</v>
      </c>
      <c r="O40" s="64">
        <v>12</v>
      </c>
      <c r="P40" s="56">
        <v>5.7</v>
      </c>
      <c r="Q40" s="56"/>
      <c r="R40" s="129">
        <f>AVERAGE(B40:Q40)</f>
        <v>15.233333333333331</v>
      </c>
      <c r="S40" s="130">
        <f>MAX(B40:Q40)</f>
        <v>24.1</v>
      </c>
      <c r="T40" s="130">
        <f t="shared" si="5"/>
        <v>21.666666666666668</v>
      </c>
    </row>
    <row r="41" spans="1:20" ht="14" x14ac:dyDescent="0.3">
      <c r="A41" s="544" t="s">
        <v>158</v>
      </c>
      <c r="B41" s="64">
        <v>2.6</v>
      </c>
      <c r="C41" s="64">
        <v>2.5</v>
      </c>
      <c r="D41" s="64">
        <v>9</v>
      </c>
      <c r="E41" s="64">
        <v>14.6</v>
      </c>
      <c r="F41" s="64">
        <v>16.399999999999999</v>
      </c>
      <c r="G41" s="64">
        <v>22.6</v>
      </c>
      <c r="H41" s="64">
        <v>22.2</v>
      </c>
      <c r="I41" s="64">
        <v>24</v>
      </c>
      <c r="J41" s="64">
        <v>23.1</v>
      </c>
      <c r="K41" s="64">
        <v>21.3</v>
      </c>
      <c r="L41" s="64">
        <v>20.100000000000001</v>
      </c>
      <c r="M41" s="64">
        <v>17.899999999999999</v>
      </c>
      <c r="N41" s="64">
        <v>13.1</v>
      </c>
      <c r="O41" s="64">
        <v>11.6</v>
      </c>
      <c r="P41" s="56">
        <v>5.7</v>
      </c>
      <c r="Q41" s="56"/>
      <c r="R41" s="129">
        <f t="shared" ref="R41:R48" si="17">AVERAGE(B41:Q41)</f>
        <v>15.113333333333333</v>
      </c>
      <c r="S41" s="130">
        <f t="shared" ref="S41:S48" si="18">MAX(B41:Q41)</f>
        <v>24</v>
      </c>
      <c r="T41" s="130">
        <f t="shared" si="5"/>
        <v>21.433333333333337</v>
      </c>
    </row>
    <row r="42" spans="1:20" ht="14" x14ac:dyDescent="0.3">
      <c r="A42" s="544" t="s">
        <v>454</v>
      </c>
      <c r="B42" s="64">
        <v>3</v>
      </c>
      <c r="C42" s="64">
        <v>3.3</v>
      </c>
      <c r="D42" s="64">
        <v>8.9</v>
      </c>
      <c r="E42" s="64">
        <v>14</v>
      </c>
      <c r="F42" s="64">
        <v>16.3</v>
      </c>
      <c r="G42" s="64">
        <v>22.4</v>
      </c>
      <c r="H42" s="64">
        <v>22.2</v>
      </c>
      <c r="I42" s="64">
        <v>23.9</v>
      </c>
      <c r="J42" s="64">
        <v>22.7</v>
      </c>
      <c r="K42" s="64">
        <v>21.3</v>
      </c>
      <c r="L42" s="64">
        <v>20.100000000000001</v>
      </c>
      <c r="M42" s="64">
        <v>17.899999999999999</v>
      </c>
      <c r="N42" s="64">
        <v>13</v>
      </c>
      <c r="O42" s="64">
        <v>11.5</v>
      </c>
      <c r="P42" s="56">
        <v>5.7</v>
      </c>
      <c r="Q42" s="56"/>
      <c r="R42" s="129">
        <f t="shared" si="17"/>
        <v>15.08</v>
      </c>
      <c r="S42" s="130">
        <f t="shared" si="18"/>
        <v>23.9</v>
      </c>
      <c r="T42" s="130">
        <f t="shared" si="5"/>
        <v>21.349999999999998</v>
      </c>
    </row>
    <row r="43" spans="1:20" ht="14" x14ac:dyDescent="0.3">
      <c r="A43" s="544" t="s">
        <v>159</v>
      </c>
      <c r="B43" s="64">
        <v>3.5</v>
      </c>
      <c r="C43" s="64">
        <v>3.6</v>
      </c>
      <c r="D43" s="64">
        <v>8.4</v>
      </c>
      <c r="E43" s="64">
        <v>13.7</v>
      </c>
      <c r="F43" s="64">
        <v>16.100000000000001</v>
      </c>
      <c r="G43" s="64">
        <v>22.3</v>
      </c>
      <c r="H43" s="64">
        <v>22.2</v>
      </c>
      <c r="I43" s="64">
        <v>23.9</v>
      </c>
      <c r="J43" s="64">
        <v>22.7</v>
      </c>
      <c r="K43" s="64">
        <v>21.2</v>
      </c>
      <c r="L43" s="64">
        <v>20</v>
      </c>
      <c r="M43" s="64">
        <v>17.899999999999999</v>
      </c>
      <c r="N43" s="64">
        <v>12.8</v>
      </c>
      <c r="O43" s="64">
        <v>11.4</v>
      </c>
      <c r="P43" s="56">
        <v>5.7</v>
      </c>
      <c r="Q43" s="56"/>
      <c r="R43" s="129">
        <f t="shared" si="17"/>
        <v>15.026666666666666</v>
      </c>
      <c r="S43" s="130">
        <f t="shared" si="18"/>
        <v>23.9</v>
      </c>
      <c r="T43" s="130">
        <f t="shared" si="5"/>
        <v>21.316666666666666</v>
      </c>
    </row>
    <row r="44" spans="1:20" ht="14" x14ac:dyDescent="0.3">
      <c r="A44" s="544" t="s">
        <v>455</v>
      </c>
      <c r="B44" s="64">
        <v>3.9</v>
      </c>
      <c r="C44" s="64">
        <v>4.0999999999999996</v>
      </c>
      <c r="D44" s="64">
        <v>8</v>
      </c>
      <c r="E44" s="64">
        <v>13.6</v>
      </c>
      <c r="F44" s="64">
        <v>15.6</v>
      </c>
      <c r="G44" s="64">
        <v>22.3</v>
      </c>
      <c r="H44" s="64">
        <v>22.2</v>
      </c>
      <c r="I44" s="64">
        <v>23.8</v>
      </c>
      <c r="J44" s="64">
        <v>22.7</v>
      </c>
      <c r="K44" s="64">
        <v>21.2</v>
      </c>
      <c r="L44" s="64">
        <v>20</v>
      </c>
      <c r="M44" s="64">
        <v>17.899999999999999</v>
      </c>
      <c r="N44" s="64">
        <v>12.7</v>
      </c>
      <c r="O44" s="64">
        <v>11.4</v>
      </c>
      <c r="P44" s="56">
        <v>5.7</v>
      </c>
      <c r="Q44" s="56"/>
      <c r="R44" s="129">
        <f t="shared" si="17"/>
        <v>15.006666666666664</v>
      </c>
      <c r="S44" s="130">
        <f t="shared" si="18"/>
        <v>23.8</v>
      </c>
      <c r="T44" s="130">
        <f t="shared" si="5"/>
        <v>21.3</v>
      </c>
    </row>
    <row r="45" spans="1:20" ht="14" x14ac:dyDescent="0.3">
      <c r="A45" s="544" t="s">
        <v>160</v>
      </c>
      <c r="B45" s="64">
        <v>4.2</v>
      </c>
      <c r="C45" s="64">
        <v>4.7</v>
      </c>
      <c r="D45" s="64">
        <v>7.9</v>
      </c>
      <c r="E45" s="64">
        <v>13.4</v>
      </c>
      <c r="F45" s="64">
        <v>15.4</v>
      </c>
      <c r="G45" s="64">
        <v>22.2</v>
      </c>
      <c r="H45" s="64">
        <v>22.2</v>
      </c>
      <c r="I45" s="64">
        <v>23.7</v>
      </c>
      <c r="J45" s="64">
        <v>22.6</v>
      </c>
      <c r="K45" s="64">
        <v>21.2</v>
      </c>
      <c r="L45" s="64">
        <v>20</v>
      </c>
      <c r="M45" s="64">
        <v>17.899999999999999</v>
      </c>
      <c r="N45" s="64">
        <v>12.6</v>
      </c>
      <c r="O45" s="64">
        <v>11.4</v>
      </c>
      <c r="P45" s="56">
        <v>5.7</v>
      </c>
      <c r="Q45" s="56"/>
      <c r="R45" s="129">
        <f t="shared" si="17"/>
        <v>15.006666666666666</v>
      </c>
      <c r="S45" s="130">
        <f t="shared" si="18"/>
        <v>23.7</v>
      </c>
      <c r="T45" s="130">
        <f t="shared" si="5"/>
        <v>21.266666666666666</v>
      </c>
    </row>
    <row r="46" spans="1:20" ht="14" x14ac:dyDescent="0.3">
      <c r="A46" s="544" t="s">
        <v>456</v>
      </c>
      <c r="B46" s="64">
        <v>4.4000000000000004</v>
      </c>
      <c r="C46" s="64">
        <v>4.9000000000000004</v>
      </c>
      <c r="D46" s="64">
        <v>7.8</v>
      </c>
      <c r="E46" s="64">
        <v>13.3</v>
      </c>
      <c r="F46" s="64">
        <v>15.3</v>
      </c>
      <c r="G46" s="64">
        <v>22.1</v>
      </c>
      <c r="H46" s="64">
        <v>22.2</v>
      </c>
      <c r="I46" s="64">
        <v>23.6</v>
      </c>
      <c r="J46" s="64">
        <v>22.6</v>
      </c>
      <c r="K46" s="64">
        <v>21.1</v>
      </c>
      <c r="L46" s="64">
        <v>19.899999999999999</v>
      </c>
      <c r="M46" s="64">
        <v>17.899999999999999</v>
      </c>
      <c r="N46" s="64">
        <v>12.5</v>
      </c>
      <c r="O46" s="64">
        <v>11.4</v>
      </c>
      <c r="P46" s="56">
        <v>5.7</v>
      </c>
      <c r="Q46" s="56"/>
      <c r="R46" s="129">
        <f t="shared" si="17"/>
        <v>14.98</v>
      </c>
      <c r="S46" s="130">
        <f t="shared" si="18"/>
        <v>23.6</v>
      </c>
      <c r="T46" s="130">
        <f t="shared" si="5"/>
        <v>21.216666666666669</v>
      </c>
    </row>
    <row r="47" spans="1:20" ht="14" x14ac:dyDescent="0.3">
      <c r="A47" s="544" t="s">
        <v>161</v>
      </c>
      <c r="B47" s="64">
        <v>4.5</v>
      </c>
      <c r="C47" s="64">
        <v>5</v>
      </c>
      <c r="D47" s="64">
        <v>7.6</v>
      </c>
      <c r="E47" s="64">
        <v>13</v>
      </c>
      <c r="F47" s="64">
        <v>15.1</v>
      </c>
      <c r="G47" s="64">
        <v>22.1</v>
      </c>
      <c r="H47" s="64">
        <v>22.2</v>
      </c>
      <c r="I47" s="64">
        <v>23.6</v>
      </c>
      <c r="J47" s="64">
        <v>22.6</v>
      </c>
      <c r="K47" s="64">
        <v>21</v>
      </c>
      <c r="L47" s="64">
        <v>19.899999999999999</v>
      </c>
      <c r="M47" s="64">
        <v>17.899999999999999</v>
      </c>
      <c r="N47" s="64">
        <v>12.4</v>
      </c>
      <c r="O47" s="64">
        <v>11.4</v>
      </c>
      <c r="P47" s="56">
        <v>5.8</v>
      </c>
      <c r="Q47" s="56"/>
      <c r="R47" s="129">
        <f t="shared" si="17"/>
        <v>14.940000000000003</v>
      </c>
      <c r="S47" s="130">
        <f t="shared" si="18"/>
        <v>23.6</v>
      </c>
      <c r="T47" s="130">
        <f t="shared" si="5"/>
        <v>21.200000000000003</v>
      </c>
    </row>
    <row r="48" spans="1:20" ht="14" x14ac:dyDescent="0.3">
      <c r="A48" s="544" t="s">
        <v>162</v>
      </c>
      <c r="B48" s="64">
        <v>4.8</v>
      </c>
      <c r="C48" s="64">
        <v>5.2</v>
      </c>
      <c r="D48" s="64">
        <v>7.6</v>
      </c>
      <c r="E48" s="64">
        <v>12.3</v>
      </c>
      <c r="F48" s="64">
        <v>14.7</v>
      </c>
      <c r="G48" s="64">
        <v>22</v>
      </c>
      <c r="H48" s="64">
        <v>22.2</v>
      </c>
      <c r="I48" s="64"/>
      <c r="J48" s="64"/>
      <c r="K48" s="64"/>
      <c r="L48" s="64"/>
      <c r="M48" s="64"/>
      <c r="N48" s="64">
        <v>12.4</v>
      </c>
      <c r="O48" s="64">
        <v>11.3</v>
      </c>
      <c r="P48" s="56"/>
      <c r="Q48" s="56"/>
      <c r="R48" s="129">
        <f t="shared" si="17"/>
        <v>12.5</v>
      </c>
      <c r="S48" s="130">
        <f t="shared" si="18"/>
        <v>22.2</v>
      </c>
      <c r="T48" s="130">
        <f t="shared" si="5"/>
        <v>22.2</v>
      </c>
    </row>
    <row r="49" spans="1:20" ht="14" x14ac:dyDescent="0.3">
      <c r="A49" s="566" t="s">
        <v>854</v>
      </c>
      <c r="B49" s="576">
        <f t="shared" ref="B49:M49" si="19">AVERAGE(B40:B43)</f>
        <v>2.75</v>
      </c>
      <c r="C49" s="576">
        <f t="shared" si="19"/>
        <v>2.875</v>
      </c>
      <c r="D49" s="576">
        <f t="shared" si="19"/>
        <v>8.875</v>
      </c>
      <c r="E49" s="576">
        <f t="shared" si="19"/>
        <v>14.375</v>
      </c>
      <c r="F49" s="576">
        <f t="shared" si="19"/>
        <v>16.350000000000001</v>
      </c>
      <c r="G49" s="576">
        <f t="shared" si="19"/>
        <v>22.499999999999996</v>
      </c>
      <c r="H49" s="576">
        <f t="shared" si="19"/>
        <v>22.2</v>
      </c>
      <c r="I49" s="576">
        <f t="shared" si="19"/>
        <v>23.975000000000001</v>
      </c>
      <c r="J49" s="576">
        <f t="shared" si="19"/>
        <v>23.05</v>
      </c>
      <c r="K49" s="576">
        <f t="shared" si="19"/>
        <v>21.35</v>
      </c>
      <c r="L49" s="576">
        <f t="shared" si="19"/>
        <v>20.175000000000001</v>
      </c>
      <c r="M49" s="576">
        <f t="shared" si="19"/>
        <v>17.899999999999999</v>
      </c>
      <c r="N49" s="576">
        <f>AVERAGE(N40:N48)</f>
        <v>12.733333333333334</v>
      </c>
      <c r="O49" s="576">
        <f>AVERAGE(O40:O43)</f>
        <v>11.625</v>
      </c>
      <c r="P49" s="576">
        <f>AVERAGE(P40:P43)</f>
        <v>5.7</v>
      </c>
      <c r="Q49" s="576"/>
      <c r="R49" s="129"/>
      <c r="S49" s="130"/>
      <c r="T49" s="130"/>
    </row>
    <row r="50" spans="1:20" ht="14" x14ac:dyDescent="0.3">
      <c r="A50" s="544" t="s">
        <v>823</v>
      </c>
      <c r="B50" s="576">
        <f t="shared" ref="B50:O50" si="20">AVERAGE(B40:B48)</f>
        <v>3.6444444444444439</v>
      </c>
      <c r="C50" s="576">
        <f t="shared" si="20"/>
        <v>3.933333333333334</v>
      </c>
      <c r="D50" s="576">
        <f t="shared" si="20"/>
        <v>8.2666666666666657</v>
      </c>
      <c r="E50" s="576">
        <f t="shared" si="20"/>
        <v>13.677777777777777</v>
      </c>
      <c r="F50" s="576">
        <f t="shared" si="20"/>
        <v>15.722222222222221</v>
      </c>
      <c r="G50" s="576">
        <f t="shared" si="20"/>
        <v>22.299999999999997</v>
      </c>
      <c r="H50" s="576">
        <f t="shared" si="20"/>
        <v>22.199999999999996</v>
      </c>
      <c r="I50" s="576">
        <f t="shared" si="20"/>
        <v>23.824999999999999</v>
      </c>
      <c r="J50" s="576">
        <f t="shared" si="20"/>
        <v>22.837499999999999</v>
      </c>
      <c r="K50" s="576">
        <f t="shared" si="20"/>
        <v>21.237500000000001</v>
      </c>
      <c r="L50" s="576">
        <f t="shared" si="20"/>
        <v>20.0625</v>
      </c>
      <c r="M50" s="576">
        <f t="shared" si="20"/>
        <v>17.900000000000002</v>
      </c>
      <c r="N50" s="576">
        <f t="shared" si="20"/>
        <v>12.733333333333334</v>
      </c>
      <c r="O50" s="576">
        <f t="shared" si="20"/>
        <v>11.488888888888889</v>
      </c>
      <c r="P50" s="576">
        <f t="shared" ref="P50" si="21">AVERAGE(P40:P48)</f>
        <v>5.7125000000000004</v>
      </c>
      <c r="Q50" s="576"/>
      <c r="R50" s="129"/>
      <c r="S50" s="130"/>
      <c r="T50" s="130"/>
    </row>
    <row r="51" spans="1:20" ht="15" customHeight="1" x14ac:dyDescent="0.35">
      <c r="A51" s="798" t="s">
        <v>806</v>
      </c>
      <c r="B51" s="799"/>
      <c r="C51" s="799"/>
      <c r="D51" s="799"/>
      <c r="E51" s="799"/>
      <c r="F51" s="799"/>
      <c r="G51" s="799"/>
      <c r="H51" s="799"/>
      <c r="I51" s="799"/>
      <c r="J51" s="799"/>
      <c r="K51" s="799"/>
      <c r="L51" s="799"/>
      <c r="M51" s="799"/>
      <c r="N51" s="799"/>
      <c r="O51" s="799"/>
      <c r="P51" s="799"/>
      <c r="Q51" s="799"/>
      <c r="R51" s="799"/>
      <c r="S51" s="799"/>
      <c r="T51" s="800"/>
    </row>
    <row r="52" spans="1:20" ht="14" x14ac:dyDescent="0.3">
      <c r="A52" s="544" t="s">
        <v>453</v>
      </c>
      <c r="B52" s="64">
        <v>2.1</v>
      </c>
      <c r="C52" s="64">
        <v>2</v>
      </c>
      <c r="D52" s="64">
        <v>9.5</v>
      </c>
      <c r="E52" s="56">
        <v>15.4</v>
      </c>
      <c r="F52" s="64">
        <v>17.3</v>
      </c>
      <c r="G52" s="64">
        <v>23.4</v>
      </c>
      <c r="H52" s="64">
        <v>22.5</v>
      </c>
      <c r="I52" s="64">
        <v>25</v>
      </c>
      <c r="J52" s="64">
        <v>23.4</v>
      </c>
      <c r="K52" s="64">
        <v>21.9</v>
      </c>
      <c r="L52" s="64">
        <v>20.9</v>
      </c>
      <c r="M52" s="64">
        <v>18.100000000000001</v>
      </c>
      <c r="N52" s="64">
        <v>14.4</v>
      </c>
      <c r="O52" s="64">
        <v>12.1</v>
      </c>
      <c r="P52" s="64">
        <v>5.8</v>
      </c>
      <c r="Q52" s="64">
        <v>3.1</v>
      </c>
      <c r="R52" s="129">
        <f>AVERAGE(B52:Q52)</f>
        <v>14.80625</v>
      </c>
      <c r="S52" s="130">
        <f>MAX(B52:Q52)</f>
        <v>25</v>
      </c>
      <c r="T52" s="130">
        <f t="shared" si="5"/>
        <v>21.966666666666669</v>
      </c>
    </row>
    <row r="53" spans="1:20" ht="14" x14ac:dyDescent="0.3">
      <c r="A53" s="544" t="s">
        <v>158</v>
      </c>
      <c r="B53" s="64">
        <v>2.8</v>
      </c>
      <c r="C53" s="64">
        <v>2.4</v>
      </c>
      <c r="D53" s="64">
        <v>9.5</v>
      </c>
      <c r="E53" s="56">
        <v>15.4</v>
      </c>
      <c r="F53" s="64">
        <v>17.3</v>
      </c>
      <c r="G53" s="64">
        <v>23.5</v>
      </c>
      <c r="H53" s="64">
        <v>22.4</v>
      </c>
      <c r="I53" s="64">
        <v>24.7</v>
      </c>
      <c r="J53" s="64">
        <v>23.4</v>
      </c>
      <c r="K53" s="64">
        <v>21.9</v>
      </c>
      <c r="L53" s="64">
        <v>20.8</v>
      </c>
      <c r="M53" s="64">
        <v>18</v>
      </c>
      <c r="N53" s="64">
        <v>12.8</v>
      </c>
      <c r="O53" s="64">
        <v>11.9</v>
      </c>
      <c r="P53" s="64">
        <v>5.8</v>
      </c>
      <c r="Q53" s="64">
        <v>3</v>
      </c>
      <c r="R53" s="129">
        <f t="shared" ref="R53:R59" si="22">AVERAGE(B53:Q53)</f>
        <v>14.725000000000003</v>
      </c>
      <c r="S53" s="130">
        <f t="shared" ref="S53:S59" si="23">MAX(B53:Q53)</f>
        <v>24.7</v>
      </c>
      <c r="T53" s="130">
        <f t="shared" si="5"/>
        <v>21.866666666666664</v>
      </c>
    </row>
    <row r="54" spans="1:20" ht="14" x14ac:dyDescent="0.3">
      <c r="A54" s="544" t="s">
        <v>454</v>
      </c>
      <c r="B54" s="64">
        <v>3.1</v>
      </c>
      <c r="C54" s="64">
        <v>2.8</v>
      </c>
      <c r="D54" s="64">
        <v>9.5</v>
      </c>
      <c r="E54" s="56">
        <v>15.2</v>
      </c>
      <c r="F54" s="64">
        <v>16.399999999999999</v>
      </c>
      <c r="G54" s="64">
        <v>23.3</v>
      </c>
      <c r="H54" s="64">
        <v>22.4</v>
      </c>
      <c r="I54" s="64">
        <v>24.7</v>
      </c>
      <c r="J54" s="64">
        <v>23.4</v>
      </c>
      <c r="K54" s="64">
        <v>21.9</v>
      </c>
      <c r="L54" s="64">
        <v>20.8</v>
      </c>
      <c r="M54" s="64">
        <v>18</v>
      </c>
      <c r="N54" s="64">
        <v>12.7</v>
      </c>
      <c r="O54" s="64">
        <v>11.8</v>
      </c>
      <c r="P54" s="64">
        <v>5.8</v>
      </c>
      <c r="Q54" s="64">
        <v>2.9</v>
      </c>
      <c r="R54" s="129">
        <f t="shared" si="22"/>
        <v>14.668750000000001</v>
      </c>
      <c r="S54" s="130">
        <f t="shared" si="23"/>
        <v>24.7</v>
      </c>
      <c r="T54" s="130">
        <f t="shared" si="5"/>
        <v>21.866666666666664</v>
      </c>
    </row>
    <row r="55" spans="1:20" ht="14" x14ac:dyDescent="0.3">
      <c r="A55" s="544" t="s">
        <v>159</v>
      </c>
      <c r="B55" s="64">
        <v>3.1</v>
      </c>
      <c r="C55" s="64">
        <v>3.4</v>
      </c>
      <c r="D55" s="64">
        <v>9.5</v>
      </c>
      <c r="E55" s="56">
        <v>14.7</v>
      </c>
      <c r="F55" s="64">
        <v>16.2</v>
      </c>
      <c r="G55" s="64">
        <v>22.8</v>
      </c>
      <c r="H55" s="64">
        <v>22.3</v>
      </c>
      <c r="I55" s="64">
        <v>24.2</v>
      </c>
      <c r="J55" s="64">
        <v>23.2</v>
      </c>
      <c r="K55" s="64">
        <v>21.9</v>
      </c>
      <c r="L55" s="64">
        <v>20.8</v>
      </c>
      <c r="M55" s="64">
        <v>18</v>
      </c>
      <c r="N55" s="64">
        <v>12.5</v>
      </c>
      <c r="O55" s="64">
        <v>11.8</v>
      </c>
      <c r="P55" s="64">
        <v>5.8</v>
      </c>
      <c r="Q55" s="64"/>
      <c r="R55" s="129">
        <f t="shared" si="22"/>
        <v>15.346666666666669</v>
      </c>
      <c r="S55" s="130">
        <f t="shared" si="23"/>
        <v>24.2</v>
      </c>
      <c r="T55" s="130">
        <f t="shared" si="5"/>
        <v>21.733333333333331</v>
      </c>
    </row>
    <row r="56" spans="1:20" ht="14" x14ac:dyDescent="0.3">
      <c r="A56" s="544" t="s">
        <v>455</v>
      </c>
      <c r="B56" s="64">
        <v>2.5</v>
      </c>
      <c r="C56" s="64">
        <v>3.3</v>
      </c>
      <c r="D56" s="64">
        <v>9.5</v>
      </c>
      <c r="E56" s="56">
        <v>13.7</v>
      </c>
      <c r="F56" s="64">
        <v>16.100000000000001</v>
      </c>
      <c r="G56" s="64"/>
      <c r="H56" s="64">
        <v>22.3</v>
      </c>
      <c r="I56" s="64">
        <v>23.8</v>
      </c>
      <c r="J56" s="64">
        <v>22.8</v>
      </c>
      <c r="K56" s="64">
        <v>21.6</v>
      </c>
      <c r="L56" s="64"/>
      <c r="M56" s="64">
        <v>17.899999999999999</v>
      </c>
      <c r="N56" s="64">
        <v>12.4</v>
      </c>
      <c r="O56" s="64">
        <v>11.8</v>
      </c>
      <c r="P56" s="64"/>
      <c r="Q56" s="64"/>
      <c r="R56" s="129">
        <f t="shared" si="22"/>
        <v>14.808333333333335</v>
      </c>
      <c r="S56" s="130">
        <f t="shared" si="23"/>
        <v>23.8</v>
      </c>
      <c r="T56" s="130">
        <f t="shared" si="5"/>
        <v>21.68</v>
      </c>
    </row>
    <row r="57" spans="1:20" ht="14" x14ac:dyDescent="0.3">
      <c r="A57" s="544" t="s">
        <v>160</v>
      </c>
      <c r="B57" s="64"/>
      <c r="C57" s="64">
        <v>3.3</v>
      </c>
      <c r="D57" s="64"/>
      <c r="E57" s="56">
        <v>13.5</v>
      </c>
      <c r="F57" s="64">
        <v>16.100000000000001</v>
      </c>
      <c r="G57" s="64"/>
      <c r="H57" s="64">
        <v>22.3</v>
      </c>
      <c r="I57" s="64">
        <v>23.7</v>
      </c>
      <c r="J57" s="64">
        <v>22.6</v>
      </c>
      <c r="K57" s="64">
        <v>21.2</v>
      </c>
      <c r="L57" s="64"/>
      <c r="M57" s="64">
        <v>17.899999999999999</v>
      </c>
      <c r="N57" s="64"/>
      <c r="O57" s="64">
        <v>11.7</v>
      </c>
      <c r="P57" s="64"/>
      <c r="Q57" s="64"/>
      <c r="R57" s="129">
        <f t="shared" si="22"/>
        <v>16.922222222222221</v>
      </c>
      <c r="S57" s="130">
        <f t="shared" si="23"/>
        <v>23.7</v>
      </c>
      <c r="T57" s="130">
        <f t="shared" si="5"/>
        <v>21.54</v>
      </c>
    </row>
    <row r="58" spans="1:20" ht="14" x14ac:dyDescent="0.3">
      <c r="A58" s="544" t="s">
        <v>456</v>
      </c>
      <c r="B58" s="64"/>
      <c r="C58" s="64">
        <v>3.2</v>
      </c>
      <c r="D58" s="64"/>
      <c r="E58" s="56">
        <v>13.5</v>
      </c>
      <c r="F58" s="64"/>
      <c r="G58" s="64"/>
      <c r="H58" s="64">
        <v>22.3</v>
      </c>
      <c r="I58" s="64">
        <v>23.5</v>
      </c>
      <c r="J58" s="64"/>
      <c r="K58" s="64">
        <v>21</v>
      </c>
      <c r="L58" s="64"/>
      <c r="M58" s="64"/>
      <c r="N58" s="64"/>
      <c r="O58" s="64">
        <v>11.6</v>
      </c>
      <c r="P58" s="64"/>
      <c r="Q58" s="64"/>
      <c r="R58" s="129">
        <f t="shared" si="22"/>
        <v>15.85</v>
      </c>
      <c r="S58" s="130">
        <f t="shared" si="23"/>
        <v>23.5</v>
      </c>
      <c r="T58" s="130">
        <f t="shared" si="5"/>
        <v>22.266666666666666</v>
      </c>
    </row>
    <row r="59" spans="1:20" ht="14" x14ac:dyDescent="0.3">
      <c r="A59" s="544" t="s">
        <v>161</v>
      </c>
      <c r="B59" s="64"/>
      <c r="C59" s="64"/>
      <c r="D59" s="64"/>
      <c r="E59" s="64"/>
      <c r="F59" s="64"/>
      <c r="G59" s="64"/>
      <c r="H59" s="64">
        <v>21.9</v>
      </c>
      <c r="I59" s="64"/>
      <c r="J59" s="64"/>
      <c r="K59" s="64"/>
      <c r="L59" s="64"/>
      <c r="M59" s="64"/>
      <c r="N59" s="64"/>
      <c r="O59" s="64"/>
      <c r="P59" s="64"/>
      <c r="Q59" s="64"/>
      <c r="R59" s="129">
        <f t="shared" si="22"/>
        <v>21.9</v>
      </c>
      <c r="S59" s="130">
        <f t="shared" si="23"/>
        <v>21.9</v>
      </c>
      <c r="T59" s="130">
        <f t="shared" si="5"/>
        <v>21.9</v>
      </c>
    </row>
    <row r="60" spans="1:20" ht="14" x14ac:dyDescent="0.3">
      <c r="A60" s="566" t="s">
        <v>854</v>
      </c>
      <c r="B60" s="576">
        <f>AVERAGE(B52:B55)</f>
        <v>2.7749999999999999</v>
      </c>
      <c r="C60" s="576">
        <f t="shared" ref="C60:O60" si="24">AVERAGE(C52:C55)</f>
        <v>2.65</v>
      </c>
      <c r="D60" s="576">
        <f t="shared" si="24"/>
        <v>9.5</v>
      </c>
      <c r="E60" s="576">
        <f t="shared" si="24"/>
        <v>15.175000000000001</v>
      </c>
      <c r="F60" s="576">
        <f t="shared" si="24"/>
        <v>16.8</v>
      </c>
      <c r="G60" s="576">
        <f t="shared" si="24"/>
        <v>23.25</v>
      </c>
      <c r="H60" s="576">
        <f t="shared" si="24"/>
        <v>22.4</v>
      </c>
      <c r="I60" s="576">
        <f t="shared" si="24"/>
        <v>24.650000000000002</v>
      </c>
      <c r="J60" s="576">
        <f t="shared" si="24"/>
        <v>23.349999999999998</v>
      </c>
      <c r="K60" s="576">
        <f t="shared" si="24"/>
        <v>21.9</v>
      </c>
      <c r="L60" s="576">
        <f t="shared" si="24"/>
        <v>20.824999999999999</v>
      </c>
      <c r="M60" s="576">
        <f>AVERAGE(M52:M55)</f>
        <v>18.024999999999999</v>
      </c>
      <c r="N60" s="576">
        <f>AVERAGE(N52:N55)</f>
        <v>13.100000000000001</v>
      </c>
      <c r="O60" s="576">
        <f t="shared" si="24"/>
        <v>11.899999999999999</v>
      </c>
      <c r="P60" s="576">
        <f t="shared" ref="P60:Q60" si="25">AVERAGE(P52:P55)</f>
        <v>5.8</v>
      </c>
      <c r="Q60" s="576">
        <f t="shared" si="25"/>
        <v>3</v>
      </c>
      <c r="R60" s="129"/>
      <c r="S60" s="130"/>
      <c r="T60" s="130"/>
    </row>
    <row r="61" spans="1:20" ht="14" x14ac:dyDescent="0.3">
      <c r="A61" s="544" t="s">
        <v>823</v>
      </c>
      <c r="B61" s="576">
        <f>AVERAGE(B52:B59)</f>
        <v>2.7199999999999998</v>
      </c>
      <c r="C61" s="576">
        <f t="shared" ref="C61:O61" si="26">AVERAGE(C52:C59)</f>
        <v>2.9142857142857141</v>
      </c>
      <c r="D61" s="576">
        <f t="shared" si="26"/>
        <v>9.5</v>
      </c>
      <c r="E61" s="576">
        <f t="shared" si="26"/>
        <v>14.485714285714286</v>
      </c>
      <c r="F61" s="576">
        <f t="shared" si="26"/>
        <v>16.566666666666666</v>
      </c>
      <c r="G61" s="576">
        <f t="shared" si="26"/>
        <v>23.25</v>
      </c>
      <c r="H61" s="576">
        <f t="shared" si="26"/>
        <v>22.3</v>
      </c>
      <c r="I61" s="576">
        <f t="shared" si="26"/>
        <v>24.228571428571428</v>
      </c>
      <c r="J61" s="576">
        <f t="shared" si="26"/>
        <v>23.133333333333329</v>
      </c>
      <c r="K61" s="576">
        <f t="shared" si="26"/>
        <v>21.628571428571426</v>
      </c>
      <c r="L61" s="576">
        <f t="shared" si="26"/>
        <v>20.824999999999999</v>
      </c>
      <c r="M61" s="576">
        <f t="shared" si="26"/>
        <v>17.983333333333334</v>
      </c>
      <c r="N61" s="576">
        <f t="shared" si="26"/>
        <v>12.960000000000003</v>
      </c>
      <c r="O61" s="576">
        <f t="shared" si="26"/>
        <v>11.814285714285713</v>
      </c>
      <c r="P61" s="576">
        <f t="shared" ref="P61:Q61" si="27">AVERAGE(P52:P59)</f>
        <v>5.8</v>
      </c>
      <c r="Q61" s="576">
        <f t="shared" si="27"/>
        <v>3</v>
      </c>
      <c r="R61" s="129"/>
      <c r="S61" s="130"/>
      <c r="T61" s="130"/>
    </row>
    <row r="62" spans="1:20" ht="15" customHeight="1" x14ac:dyDescent="0.35">
      <c r="A62" s="798" t="s">
        <v>807</v>
      </c>
      <c r="B62" s="799"/>
      <c r="C62" s="799"/>
      <c r="D62" s="799"/>
      <c r="E62" s="799"/>
      <c r="F62" s="799"/>
      <c r="G62" s="799"/>
      <c r="H62" s="799"/>
      <c r="I62" s="799"/>
      <c r="J62" s="799"/>
      <c r="K62" s="799"/>
      <c r="L62" s="799"/>
      <c r="M62" s="799"/>
      <c r="N62" s="799"/>
      <c r="O62" s="799"/>
      <c r="P62" s="799"/>
      <c r="Q62" s="799"/>
      <c r="R62" s="799"/>
      <c r="S62" s="799"/>
      <c r="T62" s="800"/>
    </row>
    <row r="63" spans="1:20" ht="14" x14ac:dyDescent="0.3">
      <c r="A63" s="544" t="s">
        <v>453</v>
      </c>
      <c r="B63" s="64">
        <v>1.5</v>
      </c>
      <c r="C63" s="64">
        <v>2.8</v>
      </c>
      <c r="D63" s="64">
        <v>9.5</v>
      </c>
      <c r="E63" s="64">
        <v>15.7</v>
      </c>
      <c r="F63" s="64">
        <v>17.3</v>
      </c>
      <c r="G63" s="64">
        <v>23</v>
      </c>
      <c r="H63" s="64">
        <v>22.6</v>
      </c>
      <c r="I63" s="64">
        <v>24.8</v>
      </c>
      <c r="J63" s="64">
        <v>23.2</v>
      </c>
      <c r="K63" s="64">
        <v>22</v>
      </c>
      <c r="L63" s="64">
        <v>21</v>
      </c>
      <c r="M63" s="64">
        <v>18.100000000000001</v>
      </c>
      <c r="N63" s="64">
        <v>12.6</v>
      </c>
      <c r="O63" s="64">
        <v>12.2</v>
      </c>
      <c r="P63" s="56">
        <v>5.8</v>
      </c>
      <c r="Q63" s="56">
        <v>3.2</v>
      </c>
      <c r="R63" s="129">
        <f>AVERAGE(B63:Q63)</f>
        <v>14.706249999999999</v>
      </c>
      <c r="S63" s="130">
        <f>MAX(B63:Q63)</f>
        <v>24.8</v>
      </c>
      <c r="T63" s="130">
        <f t="shared" si="5"/>
        <v>21.950000000000003</v>
      </c>
    </row>
    <row r="64" spans="1:20" ht="14" x14ac:dyDescent="0.3">
      <c r="A64" s="544" t="s">
        <v>158</v>
      </c>
      <c r="B64" s="64">
        <v>2.2999999999999998</v>
      </c>
      <c r="C64" s="64">
        <v>3.2</v>
      </c>
      <c r="D64" s="64">
        <v>9.5</v>
      </c>
      <c r="E64" s="64">
        <v>15.3</v>
      </c>
      <c r="F64" s="64">
        <v>17.2</v>
      </c>
      <c r="G64" s="64">
        <v>23</v>
      </c>
      <c r="H64" s="64">
        <v>22.4</v>
      </c>
      <c r="I64" s="64">
        <v>24.7</v>
      </c>
      <c r="J64" s="64">
        <v>23.2</v>
      </c>
      <c r="K64" s="64">
        <v>22</v>
      </c>
      <c r="L64" s="64">
        <v>20.9</v>
      </c>
      <c r="M64" s="64">
        <v>18</v>
      </c>
      <c r="N64" s="64">
        <v>12.6</v>
      </c>
      <c r="O64" s="64">
        <v>11.7</v>
      </c>
      <c r="P64" s="56">
        <v>5.8</v>
      </c>
      <c r="Q64" s="56">
        <v>3.7</v>
      </c>
      <c r="R64" s="129">
        <f t="shared" ref="R64:R72" si="28">AVERAGE(B64:Q64)</f>
        <v>14.71875</v>
      </c>
      <c r="S64" s="130">
        <f t="shared" ref="S64:S72" si="29">MAX(B64:Q64)</f>
        <v>24.7</v>
      </c>
      <c r="T64" s="130">
        <f t="shared" si="5"/>
        <v>21.866666666666664</v>
      </c>
    </row>
    <row r="65" spans="1:20" ht="14" x14ac:dyDescent="0.3">
      <c r="A65" s="544" t="s">
        <v>454</v>
      </c>
      <c r="B65" s="64">
        <v>3.3</v>
      </c>
      <c r="C65" s="64">
        <v>3.5</v>
      </c>
      <c r="D65" s="64">
        <v>9.5</v>
      </c>
      <c r="E65" s="64">
        <v>15.1</v>
      </c>
      <c r="F65" s="64">
        <v>17.2</v>
      </c>
      <c r="G65" s="64">
        <v>22.9</v>
      </c>
      <c r="H65" s="64">
        <v>22.3</v>
      </c>
      <c r="I65" s="64">
        <v>24.6</v>
      </c>
      <c r="J65" s="64">
        <v>23.1</v>
      </c>
      <c r="K65" s="64">
        <v>21.9</v>
      </c>
      <c r="L65" s="64">
        <v>20.8</v>
      </c>
      <c r="M65" s="64">
        <v>17.899999999999999</v>
      </c>
      <c r="N65" s="64">
        <v>12.6</v>
      </c>
      <c r="O65" s="64">
        <v>11.6</v>
      </c>
      <c r="P65" s="56">
        <v>5.8</v>
      </c>
      <c r="Q65" s="56">
        <v>3.7</v>
      </c>
      <c r="R65" s="129">
        <f t="shared" si="28"/>
        <v>14.737500000000001</v>
      </c>
      <c r="S65" s="130">
        <f t="shared" si="29"/>
        <v>24.6</v>
      </c>
      <c r="T65" s="130">
        <f t="shared" si="5"/>
        <v>21.766666666666666</v>
      </c>
    </row>
    <row r="66" spans="1:20" ht="14" x14ac:dyDescent="0.3">
      <c r="A66" s="544" t="s">
        <v>159</v>
      </c>
      <c r="B66" s="64">
        <v>3.6</v>
      </c>
      <c r="C66" s="64">
        <v>3.6</v>
      </c>
      <c r="D66" s="64">
        <v>9.5</v>
      </c>
      <c r="E66" s="64">
        <v>15</v>
      </c>
      <c r="F66" s="64">
        <v>16.8</v>
      </c>
      <c r="G66" s="64">
        <v>22.9</v>
      </c>
      <c r="H66" s="64">
        <v>22.3</v>
      </c>
      <c r="I66" s="64">
        <v>24.5</v>
      </c>
      <c r="J66" s="64">
        <v>23.1</v>
      </c>
      <c r="K66" s="64">
        <v>21.9</v>
      </c>
      <c r="L66" s="64">
        <v>20.7</v>
      </c>
      <c r="M66" s="64">
        <v>17.899999999999999</v>
      </c>
      <c r="N66" s="64">
        <v>12.6</v>
      </c>
      <c r="O66" s="64">
        <v>11.6</v>
      </c>
      <c r="P66" s="56">
        <v>5.8</v>
      </c>
      <c r="Q66" s="56">
        <v>3.7</v>
      </c>
      <c r="R66" s="129">
        <f t="shared" si="28"/>
        <v>14.71875</v>
      </c>
      <c r="S66" s="130">
        <f t="shared" si="29"/>
        <v>24.5</v>
      </c>
      <c r="T66" s="130">
        <f t="shared" si="5"/>
        <v>21.733333333333334</v>
      </c>
    </row>
    <row r="67" spans="1:20" ht="14" x14ac:dyDescent="0.3">
      <c r="A67" s="544" t="s">
        <v>455</v>
      </c>
      <c r="B67" s="64">
        <v>3.6</v>
      </c>
      <c r="C67" s="64">
        <v>4.0999999999999996</v>
      </c>
      <c r="D67" s="64">
        <v>9.5</v>
      </c>
      <c r="E67" s="64">
        <v>14.9</v>
      </c>
      <c r="F67" s="64">
        <v>16.5</v>
      </c>
      <c r="G67" s="64">
        <v>22.9</v>
      </c>
      <c r="H67" s="64">
        <v>22.3</v>
      </c>
      <c r="I67" s="64">
        <v>24.3</v>
      </c>
      <c r="J67" s="64">
        <v>23.1</v>
      </c>
      <c r="K67" s="64">
        <v>21.9</v>
      </c>
      <c r="L67" s="64">
        <v>20.6</v>
      </c>
      <c r="M67" s="64">
        <v>17.899999999999999</v>
      </c>
      <c r="N67" s="64">
        <v>12.5</v>
      </c>
      <c r="O67" s="64">
        <v>11.5</v>
      </c>
      <c r="P67" s="56">
        <v>5.8</v>
      </c>
      <c r="Q67" s="56">
        <v>3.7</v>
      </c>
      <c r="R67" s="129">
        <f t="shared" si="28"/>
        <v>14.69375</v>
      </c>
      <c r="S67" s="130">
        <f t="shared" si="29"/>
        <v>24.3</v>
      </c>
      <c r="T67" s="130">
        <f t="shared" si="5"/>
        <v>21.683333333333334</v>
      </c>
    </row>
    <row r="68" spans="1:20" ht="14" x14ac:dyDescent="0.3">
      <c r="A68" s="544" t="s">
        <v>160</v>
      </c>
      <c r="B68" s="64">
        <v>3.8</v>
      </c>
      <c r="C68" s="64">
        <v>4.5</v>
      </c>
      <c r="D68" s="64">
        <v>9.5</v>
      </c>
      <c r="E68" s="64">
        <v>13</v>
      </c>
      <c r="F68" s="64">
        <v>16.3</v>
      </c>
      <c r="G68" s="64">
        <v>22.9</v>
      </c>
      <c r="H68" s="64">
        <v>22.3</v>
      </c>
      <c r="I68" s="64">
        <v>23.9</v>
      </c>
      <c r="J68" s="64">
        <v>22.8</v>
      </c>
      <c r="K68" s="64">
        <v>21.2</v>
      </c>
      <c r="L68" s="64">
        <v>20.399999999999999</v>
      </c>
      <c r="M68" s="64">
        <v>17.899999999999999</v>
      </c>
      <c r="N68" s="64">
        <v>12.5</v>
      </c>
      <c r="O68" s="64">
        <v>11.4</v>
      </c>
      <c r="P68" s="56">
        <v>5.8</v>
      </c>
      <c r="Q68" s="56">
        <v>3.7</v>
      </c>
      <c r="R68" s="129">
        <f t="shared" si="28"/>
        <v>14.49375</v>
      </c>
      <c r="S68" s="130">
        <f t="shared" si="29"/>
        <v>23.9</v>
      </c>
      <c r="T68" s="130">
        <f t="shared" si="5"/>
        <v>21.416666666666668</v>
      </c>
    </row>
    <row r="69" spans="1:20" ht="14" x14ac:dyDescent="0.3">
      <c r="A69" s="544" t="s">
        <v>456</v>
      </c>
      <c r="B69" s="64">
        <v>4.4000000000000004</v>
      </c>
      <c r="C69" s="64">
        <v>4.5</v>
      </c>
      <c r="D69" s="64">
        <v>9.4</v>
      </c>
      <c r="E69" s="64">
        <v>12.8</v>
      </c>
      <c r="F69" s="64">
        <v>16</v>
      </c>
      <c r="G69" s="64">
        <v>22.9</v>
      </c>
      <c r="H69" s="64">
        <v>22.3</v>
      </c>
      <c r="I69" s="64">
        <v>23.9</v>
      </c>
      <c r="J69" s="64">
        <v>22.7</v>
      </c>
      <c r="K69" s="64">
        <v>21.1</v>
      </c>
      <c r="L69" s="64">
        <v>20.3</v>
      </c>
      <c r="M69" s="64">
        <v>17.8</v>
      </c>
      <c r="N69" s="64">
        <v>12.5</v>
      </c>
      <c r="O69" s="64">
        <v>11.4</v>
      </c>
      <c r="P69" s="56">
        <v>5.8</v>
      </c>
      <c r="Q69" s="56">
        <v>3.6</v>
      </c>
      <c r="R69" s="129">
        <f t="shared" si="28"/>
        <v>14.4625</v>
      </c>
      <c r="S69" s="130">
        <f t="shared" si="29"/>
        <v>23.9</v>
      </c>
      <c r="T69" s="130">
        <f t="shared" si="5"/>
        <v>21.349999999999998</v>
      </c>
    </row>
    <row r="70" spans="1:20" ht="14" x14ac:dyDescent="0.3">
      <c r="A70" s="544" t="s">
        <v>161</v>
      </c>
      <c r="B70" s="64">
        <v>4.4000000000000004</v>
      </c>
      <c r="C70" s="64">
        <v>4.4000000000000004</v>
      </c>
      <c r="D70" s="64">
        <v>9.5</v>
      </c>
      <c r="E70" s="64">
        <v>12.2</v>
      </c>
      <c r="F70" s="64">
        <v>15.7</v>
      </c>
      <c r="G70" s="64">
        <v>22.9</v>
      </c>
      <c r="H70" s="64">
        <v>22.3</v>
      </c>
      <c r="I70" s="64">
        <v>23.8</v>
      </c>
      <c r="J70" s="64">
        <v>22.7</v>
      </c>
      <c r="K70" s="64">
        <v>21</v>
      </c>
      <c r="L70" s="64">
        <v>20.100000000000001</v>
      </c>
      <c r="M70" s="64">
        <v>17.8</v>
      </c>
      <c r="N70" s="64">
        <v>12.5</v>
      </c>
      <c r="O70" s="64">
        <v>11.4</v>
      </c>
      <c r="P70" s="56">
        <v>5.8</v>
      </c>
      <c r="Q70" s="56">
        <v>3.7</v>
      </c>
      <c r="R70" s="129">
        <f t="shared" si="28"/>
        <v>14.387499999999999</v>
      </c>
      <c r="S70" s="130">
        <f t="shared" si="29"/>
        <v>23.8</v>
      </c>
      <c r="T70" s="130">
        <f>AVERAGE(H70:M70)</f>
        <v>21.283333333333335</v>
      </c>
    </row>
    <row r="71" spans="1:20" ht="14" x14ac:dyDescent="0.3">
      <c r="A71" s="544" t="s">
        <v>162</v>
      </c>
      <c r="B71" s="64">
        <v>4.0999999999999996</v>
      </c>
      <c r="C71" s="64">
        <v>4</v>
      </c>
      <c r="D71" s="64">
        <v>9.5</v>
      </c>
      <c r="E71" s="64">
        <v>11.7</v>
      </c>
      <c r="F71" s="64">
        <v>14.4</v>
      </c>
      <c r="G71" s="64">
        <v>22.8</v>
      </c>
      <c r="H71" s="64">
        <v>22.2</v>
      </c>
      <c r="I71" s="64">
        <v>23.7</v>
      </c>
      <c r="J71" s="64">
        <v>22.6</v>
      </c>
      <c r="K71" s="64">
        <v>21</v>
      </c>
      <c r="L71" s="64">
        <v>20</v>
      </c>
      <c r="M71" s="64">
        <v>17.8</v>
      </c>
      <c r="N71" s="64">
        <v>12.4</v>
      </c>
      <c r="O71" s="64">
        <v>11.4</v>
      </c>
      <c r="P71" s="56">
        <v>5.8</v>
      </c>
      <c r="Q71" s="56">
        <v>4.2</v>
      </c>
      <c r="R71" s="129">
        <f t="shared" si="28"/>
        <v>14.225000000000001</v>
      </c>
      <c r="S71" s="130">
        <f t="shared" si="29"/>
        <v>23.7</v>
      </c>
      <c r="T71" s="130">
        <f t="shared" si="5"/>
        <v>21.216666666666665</v>
      </c>
    </row>
    <row r="72" spans="1:20" ht="14" x14ac:dyDescent="0.3">
      <c r="A72" s="544" t="s">
        <v>163</v>
      </c>
      <c r="B72" s="64">
        <v>4.5</v>
      </c>
      <c r="C72" s="64">
        <v>4.9000000000000004</v>
      </c>
      <c r="D72" s="64">
        <v>7.4</v>
      </c>
      <c r="E72" s="64">
        <v>11.6</v>
      </c>
      <c r="F72" s="64">
        <v>13.7</v>
      </c>
      <c r="G72" s="64">
        <v>22.3</v>
      </c>
      <c r="H72" s="64">
        <v>21.7</v>
      </c>
      <c r="I72" s="64">
        <v>23.4</v>
      </c>
      <c r="J72" s="64"/>
      <c r="K72" s="64"/>
      <c r="L72" s="64"/>
      <c r="M72" s="64"/>
      <c r="N72" s="64">
        <v>11.7</v>
      </c>
      <c r="O72" s="64">
        <v>11.2</v>
      </c>
      <c r="P72" s="56"/>
      <c r="Q72" s="56"/>
      <c r="R72" s="129">
        <f t="shared" si="28"/>
        <v>13.24</v>
      </c>
      <c r="S72" s="130">
        <f t="shared" si="29"/>
        <v>23.4</v>
      </c>
      <c r="T72" s="130">
        <f t="shared" si="5"/>
        <v>22.549999999999997</v>
      </c>
    </row>
    <row r="73" spans="1:20" x14ac:dyDescent="0.3">
      <c r="A73" s="566" t="s">
        <v>854</v>
      </c>
      <c r="B73" s="576">
        <f t="shared" ref="B73:H73" si="30">AVERAGE(B63:B66)</f>
        <v>2.6749999999999998</v>
      </c>
      <c r="C73" s="576">
        <f t="shared" si="30"/>
        <v>3.2749999999999999</v>
      </c>
      <c r="D73" s="576">
        <f t="shared" si="30"/>
        <v>9.5</v>
      </c>
      <c r="E73" s="576">
        <f t="shared" si="30"/>
        <v>15.275</v>
      </c>
      <c r="F73" s="576">
        <f t="shared" si="30"/>
        <v>17.125</v>
      </c>
      <c r="G73" s="576">
        <f t="shared" si="30"/>
        <v>22.950000000000003</v>
      </c>
      <c r="H73" s="576">
        <f t="shared" si="30"/>
        <v>22.4</v>
      </c>
      <c r="I73" s="576">
        <f>AVERAGE(I63:I72)</f>
        <v>24.16</v>
      </c>
      <c r="J73" s="576">
        <f t="shared" ref="J73:O73" si="31">AVERAGE(J63:J66)</f>
        <v>23.15</v>
      </c>
      <c r="K73" s="576">
        <f t="shared" si="31"/>
        <v>21.950000000000003</v>
      </c>
      <c r="L73" s="576">
        <f t="shared" si="31"/>
        <v>20.85</v>
      </c>
      <c r="M73" s="576">
        <f t="shared" si="31"/>
        <v>17.975000000000001</v>
      </c>
      <c r="N73" s="576">
        <f t="shared" si="31"/>
        <v>12.6</v>
      </c>
      <c r="O73" s="576">
        <f t="shared" si="31"/>
        <v>11.775</v>
      </c>
      <c r="P73" s="576">
        <f t="shared" ref="P73:Q73" si="32">AVERAGE(P63:P66)</f>
        <v>5.8</v>
      </c>
      <c r="Q73" s="576">
        <f t="shared" si="32"/>
        <v>3.5750000000000002</v>
      </c>
    </row>
    <row r="74" spans="1:20" x14ac:dyDescent="0.3">
      <c r="A74" s="544" t="s">
        <v>823</v>
      </c>
      <c r="B74" s="576">
        <f t="shared" ref="B74:O74" si="33">AVERAGE(B63:B72)</f>
        <v>3.55</v>
      </c>
      <c r="C74" s="576">
        <f t="shared" si="33"/>
        <v>3.95</v>
      </c>
      <c r="D74" s="576">
        <f t="shared" si="33"/>
        <v>9.2800000000000011</v>
      </c>
      <c r="E74" s="576">
        <f t="shared" si="33"/>
        <v>13.73</v>
      </c>
      <c r="F74" s="576">
        <f t="shared" si="33"/>
        <v>16.11</v>
      </c>
      <c r="G74" s="576">
        <f t="shared" si="33"/>
        <v>22.850000000000005</v>
      </c>
      <c r="H74" s="576">
        <f t="shared" si="33"/>
        <v>22.27</v>
      </c>
      <c r="I74" s="576">
        <f t="shared" si="33"/>
        <v>24.16</v>
      </c>
      <c r="J74" s="576">
        <f t="shared" si="33"/>
        <v>22.944444444444443</v>
      </c>
      <c r="K74" s="576">
        <f t="shared" si="33"/>
        <v>21.555555555555557</v>
      </c>
      <c r="L74" s="576">
        <f t="shared" si="33"/>
        <v>20.533333333333335</v>
      </c>
      <c r="M74" s="576">
        <f t="shared" si="33"/>
        <v>17.900000000000002</v>
      </c>
      <c r="N74" s="576">
        <f t="shared" si="33"/>
        <v>12.450000000000001</v>
      </c>
      <c r="O74" s="576">
        <f t="shared" si="33"/>
        <v>11.540000000000003</v>
      </c>
      <c r="P74" s="576">
        <f t="shared" ref="P74:Q74" si="34">AVERAGE(P63:P72)</f>
        <v>5.7999999999999989</v>
      </c>
      <c r="Q74" s="576">
        <f t="shared" si="34"/>
        <v>3.6888888888888891</v>
      </c>
    </row>
  </sheetData>
  <mergeCells count="6">
    <mergeCell ref="A62:T62"/>
    <mergeCell ref="A1:Q1"/>
    <mergeCell ref="A6:T6"/>
    <mergeCell ref="A24:T24"/>
    <mergeCell ref="A39:T39"/>
    <mergeCell ref="A51:T51"/>
  </mergeCells>
  <phoneticPr fontId="0" type="noConversion"/>
  <pageMargins left="0.75" right="0.75" top="1" bottom="1" header="0.5" footer="0.5"/>
  <pageSetup scale="4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pageSetUpPr fitToPage="1"/>
  </sheetPr>
  <dimension ref="A1:T75"/>
  <sheetViews>
    <sheetView topLeftCell="A22" zoomScale="75" zoomScaleNormal="75" workbookViewId="0">
      <selection activeCell="B5" sqref="B5:Q5"/>
    </sheetView>
  </sheetViews>
  <sheetFormatPr defaultColWidth="14.08984375" defaultRowHeight="13" x14ac:dyDescent="0.3"/>
  <cols>
    <col min="1" max="1" width="31.6328125" style="1" bestFit="1" customWidth="1"/>
    <col min="2" max="2" width="9.36328125" bestFit="1" customWidth="1"/>
    <col min="3" max="3" width="9.08984375" bestFit="1" customWidth="1"/>
    <col min="4" max="4" width="9.36328125" bestFit="1" customWidth="1"/>
    <col min="5" max="5" width="9.08984375" bestFit="1" customWidth="1"/>
    <col min="6" max="6" width="9.6328125" bestFit="1" customWidth="1"/>
    <col min="7" max="7" width="9.36328125" bestFit="1" customWidth="1"/>
    <col min="8" max="8" width="8.08984375" bestFit="1" customWidth="1"/>
    <col min="9" max="9" width="8.54296875" bestFit="1" customWidth="1"/>
    <col min="10" max="10" width="8.36328125" bestFit="1" customWidth="1"/>
    <col min="11" max="11" width="9.6328125" bestFit="1" customWidth="1"/>
    <col min="12" max="12" width="9.36328125" bestFit="1" customWidth="1"/>
    <col min="13" max="13" width="9.6328125" bestFit="1" customWidth="1"/>
    <col min="14" max="14" width="9.36328125" bestFit="1" customWidth="1"/>
    <col min="15" max="16" width="9.453125" bestFit="1" customWidth="1"/>
    <col min="17" max="17" width="10.453125" bestFit="1" customWidth="1"/>
    <col min="18" max="18" width="10.08984375" customWidth="1"/>
    <col min="19" max="19" width="11.54296875" bestFit="1" customWidth="1"/>
  </cols>
  <sheetData>
    <row r="1" spans="1:20" ht="15.5" x14ac:dyDescent="0.35">
      <c r="A1" s="788" t="s">
        <v>808</v>
      </c>
      <c r="B1" s="788"/>
      <c r="C1" s="788"/>
      <c r="D1" s="788"/>
      <c r="E1" s="788"/>
      <c r="F1" s="788"/>
      <c r="G1" s="788"/>
      <c r="H1" s="788"/>
      <c r="I1" s="788"/>
      <c r="J1" s="788"/>
      <c r="K1" s="788"/>
      <c r="L1" s="788"/>
      <c r="M1" s="788"/>
      <c r="N1" s="788"/>
      <c r="O1" s="788"/>
      <c r="P1" s="788"/>
      <c r="Q1" s="788"/>
    </row>
    <row r="2" spans="1:20" ht="26" x14ac:dyDescent="0.3">
      <c r="A2" s="81"/>
      <c r="B2" s="212">
        <v>40911</v>
      </c>
      <c r="C2" s="212">
        <v>40949</v>
      </c>
      <c r="D2" s="212">
        <v>40994</v>
      </c>
      <c r="E2" s="212">
        <v>41022</v>
      </c>
      <c r="F2" s="212">
        <v>41050</v>
      </c>
      <c r="G2" s="212">
        <v>41085</v>
      </c>
      <c r="H2" s="213">
        <v>41099</v>
      </c>
      <c r="I2" s="213">
        <v>41113</v>
      </c>
      <c r="J2" s="213">
        <v>41127</v>
      </c>
      <c r="K2" s="212">
        <v>41148</v>
      </c>
      <c r="L2" s="212">
        <v>41162</v>
      </c>
      <c r="M2" s="214">
        <v>41177</v>
      </c>
      <c r="N2" s="214">
        <v>41197</v>
      </c>
      <c r="O2" s="214">
        <v>41204</v>
      </c>
      <c r="P2" s="214">
        <v>41239</v>
      </c>
      <c r="Q2" s="213">
        <v>41257</v>
      </c>
      <c r="R2" s="82" t="s">
        <v>91</v>
      </c>
      <c r="S2" s="83" t="s">
        <v>83</v>
      </c>
      <c r="T2" s="83" t="s">
        <v>109</v>
      </c>
    </row>
    <row r="3" spans="1:20" ht="14" x14ac:dyDescent="0.3">
      <c r="A3" s="84" t="s">
        <v>818</v>
      </c>
      <c r="B3" s="64">
        <v>1.65</v>
      </c>
      <c r="C3" s="64">
        <v>1.67</v>
      </c>
      <c r="D3" s="64">
        <v>1.31</v>
      </c>
      <c r="E3" s="64">
        <v>1.47</v>
      </c>
      <c r="F3" s="64">
        <v>1.34</v>
      </c>
      <c r="G3" s="64">
        <v>1.31</v>
      </c>
      <c r="H3" s="64">
        <v>0.99</v>
      </c>
      <c r="I3" s="64">
        <v>1.19</v>
      </c>
      <c r="J3" s="566">
        <v>2.21</v>
      </c>
      <c r="K3" s="64">
        <v>2.25</v>
      </c>
      <c r="L3" s="64">
        <v>2.2999999999999998</v>
      </c>
      <c r="M3" s="64">
        <v>0.86</v>
      </c>
      <c r="N3" s="64"/>
      <c r="O3" s="64">
        <v>1.75</v>
      </c>
      <c r="P3" s="64">
        <v>2.11</v>
      </c>
      <c r="Q3" s="64">
        <v>2.11</v>
      </c>
      <c r="R3" s="129">
        <f>AVERAGE(B3:Q3)</f>
        <v>1.6346666666666667</v>
      </c>
      <c r="S3" s="130">
        <f>MAX(B3:Q3)</f>
        <v>2.2999999999999998</v>
      </c>
      <c r="T3" s="130">
        <f>AVERAGE(H3:M3)</f>
        <v>1.6333333333333331</v>
      </c>
    </row>
    <row r="4" spans="1:20" s="7" customFormat="1" ht="14" x14ac:dyDescent="0.3">
      <c r="A4" s="85" t="s">
        <v>819</v>
      </c>
      <c r="B4" s="64">
        <v>0.34300000000000003</v>
      </c>
      <c r="C4" s="64">
        <v>0.48099999999999998</v>
      </c>
      <c r="D4" s="64">
        <v>0.33900000000000002</v>
      </c>
      <c r="E4" s="64">
        <v>0.40400000000000003</v>
      </c>
      <c r="F4" s="64">
        <v>0.31</v>
      </c>
      <c r="G4" s="64">
        <v>0.42099999999999999</v>
      </c>
      <c r="H4" s="64">
        <v>0.23</v>
      </c>
      <c r="I4" s="64">
        <v>0.36</v>
      </c>
      <c r="J4" s="566">
        <v>0.16400000000000001</v>
      </c>
      <c r="K4" s="64">
        <v>0.16900000000000001</v>
      </c>
      <c r="L4" s="64">
        <v>0.21099999999999999</v>
      </c>
      <c r="M4" s="64">
        <v>0.29699999999999999</v>
      </c>
      <c r="N4" s="64"/>
      <c r="O4" s="64">
        <v>0.20200000000000001</v>
      </c>
      <c r="P4" s="64">
        <v>0.30399999999999999</v>
      </c>
      <c r="Q4" s="64">
        <v>0.32200000000000001</v>
      </c>
      <c r="R4" s="129">
        <f t="shared" ref="R4:R5" si="0">AVERAGE(B4:Q4)</f>
        <v>0.30380000000000001</v>
      </c>
      <c r="S4" s="130">
        <f t="shared" ref="S4:S5" si="1">MAX(E4:R4)</f>
        <v>0.42099999999999999</v>
      </c>
      <c r="T4" s="130">
        <f t="shared" ref="T4:T67" si="2">AVERAGE(H4:M4)</f>
        <v>0.23850000000000002</v>
      </c>
    </row>
    <row r="5" spans="1:20" ht="14" x14ac:dyDescent="0.3">
      <c r="A5" s="85" t="s">
        <v>820</v>
      </c>
      <c r="B5" s="64">
        <v>0.41</v>
      </c>
      <c r="C5" s="64">
        <v>0.439</v>
      </c>
      <c r="D5" s="64">
        <v>0.56799999999999995</v>
      </c>
      <c r="E5" s="64">
        <v>0.64</v>
      </c>
      <c r="F5" s="64">
        <v>0.66100000000000003</v>
      </c>
      <c r="G5" s="64">
        <v>0.69</v>
      </c>
      <c r="H5" s="64">
        <v>0.66</v>
      </c>
      <c r="I5" s="64">
        <v>0.66</v>
      </c>
      <c r="J5" s="566">
        <v>0.55000000000000004</v>
      </c>
      <c r="K5" s="64">
        <v>0.54</v>
      </c>
      <c r="L5" s="64">
        <v>0.53</v>
      </c>
      <c r="M5" s="64">
        <v>0.51100000000000001</v>
      </c>
      <c r="N5" s="64"/>
      <c r="O5" s="64">
        <v>0.497</v>
      </c>
      <c r="P5" s="64">
        <v>0.51200000000000001</v>
      </c>
      <c r="Q5" s="64">
        <v>0.53400000000000003</v>
      </c>
      <c r="R5" s="129">
        <f t="shared" si="0"/>
        <v>0.56013333333333337</v>
      </c>
      <c r="S5" s="130">
        <f t="shared" si="1"/>
        <v>0.69</v>
      </c>
      <c r="T5" s="130">
        <f t="shared" si="2"/>
        <v>0.57516666666666671</v>
      </c>
    </row>
    <row r="6" spans="1:20" ht="15.5" x14ac:dyDescent="0.35">
      <c r="A6" s="801" t="s">
        <v>803</v>
      </c>
      <c r="B6" s="802"/>
      <c r="C6" s="802"/>
      <c r="D6" s="802"/>
      <c r="E6" s="802"/>
      <c r="F6" s="802"/>
      <c r="G6" s="802"/>
      <c r="H6" s="802"/>
      <c r="I6" s="802"/>
      <c r="J6" s="802"/>
      <c r="K6" s="802"/>
      <c r="L6" s="802"/>
      <c r="M6" s="802"/>
      <c r="N6" s="802"/>
      <c r="O6" s="802"/>
      <c r="P6" s="802"/>
      <c r="Q6" s="802"/>
      <c r="R6" s="802"/>
      <c r="S6" s="802"/>
      <c r="T6" s="803"/>
    </row>
    <row r="7" spans="1:20" ht="14" x14ac:dyDescent="0.3">
      <c r="A7" s="544" t="s">
        <v>453</v>
      </c>
      <c r="B7" s="32">
        <v>0.40600000000000003</v>
      </c>
      <c r="C7" s="64">
        <v>0.41099999999999998</v>
      </c>
      <c r="D7" s="64">
        <v>0.57699999999999996</v>
      </c>
      <c r="E7" s="64">
        <v>0.65100000000000002</v>
      </c>
      <c r="F7" s="56">
        <v>0.66</v>
      </c>
      <c r="G7" s="56">
        <v>0.67</v>
      </c>
      <c r="H7" s="56">
        <v>0.65</v>
      </c>
      <c r="I7" s="56">
        <v>0.65</v>
      </c>
      <c r="J7" s="321">
        <v>0.55000000000000004</v>
      </c>
      <c r="K7" s="56">
        <v>0.52500000000000002</v>
      </c>
      <c r="L7" s="56">
        <v>0.53100000000000003</v>
      </c>
      <c r="M7" s="56">
        <v>0.51400000000000001</v>
      </c>
      <c r="N7" s="56">
        <v>0.5</v>
      </c>
      <c r="O7" s="56">
        <v>0.49</v>
      </c>
      <c r="P7" s="56">
        <v>0.505</v>
      </c>
      <c r="Q7" s="56">
        <v>0.52900000000000003</v>
      </c>
      <c r="R7" s="715">
        <f>AVERAGE(B7:Q7)</f>
        <v>0.55118750000000005</v>
      </c>
      <c r="S7" s="716">
        <f>MAX(B7:Q7)</f>
        <v>0.67</v>
      </c>
      <c r="T7" s="716">
        <f t="shared" si="2"/>
        <v>0.56999999999999995</v>
      </c>
    </row>
    <row r="8" spans="1:20" ht="14" x14ac:dyDescent="0.3">
      <c r="A8" s="544" t="s">
        <v>158</v>
      </c>
      <c r="B8" s="32">
        <v>0.40699999999999997</v>
      </c>
      <c r="C8" s="64">
        <v>0.41799999999999998</v>
      </c>
      <c r="D8" s="64">
        <v>0.57699999999999996</v>
      </c>
      <c r="E8" s="64">
        <v>0.64</v>
      </c>
      <c r="F8" s="56">
        <v>0.66</v>
      </c>
      <c r="G8" s="56">
        <v>0.67</v>
      </c>
      <c r="H8" s="56">
        <v>0.65</v>
      </c>
      <c r="I8" s="56">
        <v>0.65</v>
      </c>
      <c r="J8" s="321">
        <v>0.55000000000000004</v>
      </c>
      <c r="K8" s="56">
        <v>0.52500000000000002</v>
      </c>
      <c r="L8" s="56">
        <v>0.53100000000000003</v>
      </c>
      <c r="M8" s="56">
        <v>0.51400000000000001</v>
      </c>
      <c r="N8" s="56">
        <v>0.501</v>
      </c>
      <c r="O8" s="56">
        <v>0.49199999999999999</v>
      </c>
      <c r="P8" s="56">
        <v>0.50600000000000001</v>
      </c>
      <c r="Q8" s="56">
        <v>0.52800000000000002</v>
      </c>
      <c r="R8" s="715">
        <f t="shared" ref="R8:R20" si="3">AVERAGE(B8:Q8)</f>
        <v>0.55118750000000005</v>
      </c>
      <c r="S8" s="716">
        <f t="shared" ref="S8:S20" si="4">MAX(B8:Q8)</f>
        <v>0.67</v>
      </c>
      <c r="T8" s="716">
        <f t="shared" si="2"/>
        <v>0.56999999999999995</v>
      </c>
    </row>
    <row r="9" spans="1:20" ht="14" x14ac:dyDescent="0.3">
      <c r="A9" s="544" t="s">
        <v>454</v>
      </c>
      <c r="B9" s="32">
        <v>0.40500000000000003</v>
      </c>
      <c r="C9" s="64">
        <v>0.438</v>
      </c>
      <c r="D9" s="64">
        <v>0.57699999999999996</v>
      </c>
      <c r="E9" s="64">
        <v>0.64</v>
      </c>
      <c r="F9" s="56">
        <v>0.66</v>
      </c>
      <c r="G9" s="56">
        <v>0.67</v>
      </c>
      <c r="H9" s="56">
        <v>0.65</v>
      </c>
      <c r="I9" s="56">
        <v>0.65</v>
      </c>
      <c r="J9" s="321">
        <v>0.55000000000000004</v>
      </c>
      <c r="K9" s="56">
        <v>0.52500000000000002</v>
      </c>
      <c r="L9" s="56">
        <v>0.53100000000000003</v>
      </c>
      <c r="M9" s="56">
        <v>0.51400000000000001</v>
      </c>
      <c r="N9" s="56">
        <v>0.5</v>
      </c>
      <c r="O9" s="56">
        <v>0.49199999999999999</v>
      </c>
      <c r="P9" s="56">
        <v>0.50600000000000001</v>
      </c>
      <c r="Q9" s="56">
        <v>0.52900000000000003</v>
      </c>
      <c r="R9" s="715">
        <f t="shared" si="3"/>
        <v>0.55231249999999998</v>
      </c>
      <c r="S9" s="716">
        <f t="shared" si="4"/>
        <v>0.67</v>
      </c>
      <c r="T9" s="716">
        <f t="shared" si="2"/>
        <v>0.56999999999999995</v>
      </c>
    </row>
    <row r="10" spans="1:20" ht="14" x14ac:dyDescent="0.3">
      <c r="A10" s="544" t="s">
        <v>159</v>
      </c>
      <c r="B10" s="32">
        <v>0.40699999999999997</v>
      </c>
      <c r="C10" s="64">
        <v>0.45700000000000002</v>
      </c>
      <c r="D10" s="64">
        <v>0.57699999999999996</v>
      </c>
      <c r="E10" s="64">
        <v>0.64</v>
      </c>
      <c r="F10" s="56">
        <v>0.66</v>
      </c>
      <c r="G10" s="56">
        <v>0.67100000000000004</v>
      </c>
      <c r="H10" s="56">
        <v>0.65</v>
      </c>
      <c r="I10" s="56">
        <v>0.65</v>
      </c>
      <c r="J10" s="321">
        <v>0.55000000000000004</v>
      </c>
      <c r="K10" s="56">
        <v>0.52500000000000002</v>
      </c>
      <c r="L10" s="56">
        <v>0.53100000000000003</v>
      </c>
      <c r="M10" s="56">
        <v>0.51500000000000001</v>
      </c>
      <c r="N10" s="56">
        <v>0.5</v>
      </c>
      <c r="O10" s="56">
        <v>0.49199999999999999</v>
      </c>
      <c r="P10" s="56">
        <v>0.50600000000000001</v>
      </c>
      <c r="Q10" s="56">
        <v>0.52800000000000002</v>
      </c>
      <c r="R10" s="715">
        <f t="shared" si="3"/>
        <v>0.5536875</v>
      </c>
      <c r="S10" s="716">
        <f t="shared" si="4"/>
        <v>0.67100000000000004</v>
      </c>
      <c r="T10" s="716">
        <f t="shared" si="2"/>
        <v>0.57016666666666671</v>
      </c>
    </row>
    <row r="11" spans="1:20" ht="14" x14ac:dyDescent="0.3">
      <c r="A11" s="544" t="s">
        <v>455</v>
      </c>
      <c r="B11" s="32">
        <v>0.40799999999999997</v>
      </c>
      <c r="C11" s="64">
        <v>0.48199999999999998</v>
      </c>
      <c r="D11" s="64">
        <v>0.57699999999999996</v>
      </c>
      <c r="E11" s="64">
        <v>0.64</v>
      </c>
      <c r="F11" s="56">
        <v>0.65100000000000002</v>
      </c>
      <c r="G11" s="56">
        <v>0.67100000000000004</v>
      </c>
      <c r="H11" s="56">
        <v>0.65</v>
      </c>
      <c r="I11" s="56">
        <v>0.65</v>
      </c>
      <c r="J11" s="321">
        <v>0.55000000000000004</v>
      </c>
      <c r="K11" s="56">
        <v>0.52500000000000002</v>
      </c>
      <c r="L11" s="56">
        <v>0.53100000000000003</v>
      </c>
      <c r="M11" s="56">
        <v>0.51500000000000001</v>
      </c>
      <c r="N11" s="56">
        <v>0.5</v>
      </c>
      <c r="O11" s="56">
        <v>0.49299999999999999</v>
      </c>
      <c r="P11" s="56">
        <v>0.50600000000000001</v>
      </c>
      <c r="Q11" s="56">
        <v>0.52900000000000003</v>
      </c>
      <c r="R11" s="715">
        <f t="shared" si="3"/>
        <v>0.55487500000000001</v>
      </c>
      <c r="S11" s="716">
        <f t="shared" si="4"/>
        <v>0.67100000000000004</v>
      </c>
      <c r="T11" s="716">
        <f t="shared" si="2"/>
        <v>0.57016666666666671</v>
      </c>
    </row>
    <row r="12" spans="1:20" ht="14" x14ac:dyDescent="0.3">
      <c r="A12" s="544" t="s">
        <v>160</v>
      </c>
      <c r="B12" s="32">
        <v>0.40899999999999997</v>
      </c>
      <c r="C12" s="64">
        <v>0.51300000000000001</v>
      </c>
      <c r="D12" s="64">
        <v>0.57699999999999996</v>
      </c>
      <c r="E12" s="64">
        <v>0.64</v>
      </c>
      <c r="F12" s="56">
        <v>0.65100000000000002</v>
      </c>
      <c r="G12" s="56">
        <v>0.67</v>
      </c>
      <c r="H12" s="56">
        <v>0.65</v>
      </c>
      <c r="I12" s="56">
        <v>0.65</v>
      </c>
      <c r="J12" s="321">
        <v>0.55000000000000004</v>
      </c>
      <c r="K12" s="56">
        <v>0.52500000000000002</v>
      </c>
      <c r="L12" s="56">
        <v>0.53100000000000003</v>
      </c>
      <c r="M12" s="56">
        <v>0.51500000000000001</v>
      </c>
      <c r="N12" s="56">
        <v>0.5</v>
      </c>
      <c r="O12" s="56">
        <v>0.49199999999999999</v>
      </c>
      <c r="P12" s="56">
        <v>0.50700000000000001</v>
      </c>
      <c r="Q12" s="56">
        <v>0.52900000000000003</v>
      </c>
      <c r="R12" s="715">
        <f t="shared" si="3"/>
        <v>0.55681250000000004</v>
      </c>
      <c r="S12" s="716">
        <f t="shared" si="4"/>
        <v>0.67</v>
      </c>
      <c r="T12" s="716">
        <f t="shared" si="2"/>
        <v>0.57016666666666671</v>
      </c>
    </row>
    <row r="13" spans="1:20" ht="14" x14ac:dyDescent="0.3">
      <c r="A13" s="544" t="s">
        <v>456</v>
      </c>
      <c r="B13" s="32">
        <v>0.42</v>
      </c>
      <c r="C13" s="64">
        <v>0.53</v>
      </c>
      <c r="D13" s="64">
        <v>0.58799999999999997</v>
      </c>
      <c r="E13" s="64">
        <v>0.63800000000000001</v>
      </c>
      <c r="F13" s="56">
        <v>0.65100000000000002</v>
      </c>
      <c r="G13" s="56">
        <v>0.67</v>
      </c>
      <c r="H13" s="56">
        <v>0.65</v>
      </c>
      <c r="I13" s="56">
        <v>0.65</v>
      </c>
      <c r="J13" s="321">
        <v>0.55000000000000004</v>
      </c>
      <c r="K13" s="56">
        <v>0.52600000000000002</v>
      </c>
      <c r="L13" s="56">
        <v>0.53100000000000003</v>
      </c>
      <c r="M13" s="56">
        <v>0.51500000000000001</v>
      </c>
      <c r="N13" s="56">
        <v>0.5</v>
      </c>
      <c r="O13" s="56">
        <v>0.49199999999999999</v>
      </c>
      <c r="P13" s="56">
        <v>0.50700000000000001</v>
      </c>
      <c r="Q13" s="56">
        <v>0.52900000000000003</v>
      </c>
      <c r="R13" s="715">
        <f t="shared" si="3"/>
        <v>0.55918749999999995</v>
      </c>
      <c r="S13" s="716">
        <f t="shared" si="4"/>
        <v>0.67</v>
      </c>
      <c r="T13" s="716">
        <f t="shared" si="2"/>
        <v>0.57033333333333347</v>
      </c>
    </row>
    <row r="14" spans="1:20" ht="14" x14ac:dyDescent="0.3">
      <c r="A14" s="544" t="s">
        <v>161</v>
      </c>
      <c r="B14" s="32">
        <v>0.437</v>
      </c>
      <c r="C14" s="64">
        <v>0.54800000000000004</v>
      </c>
      <c r="D14" s="64">
        <v>0.58799999999999997</v>
      </c>
      <c r="E14" s="64">
        <v>0.63</v>
      </c>
      <c r="F14" s="56">
        <v>0.65100000000000002</v>
      </c>
      <c r="G14" s="56">
        <v>0.67100000000000004</v>
      </c>
      <c r="H14" s="56">
        <v>0.65</v>
      </c>
      <c r="I14" s="56">
        <v>0.65</v>
      </c>
      <c r="J14" s="321">
        <v>0.55000000000000004</v>
      </c>
      <c r="K14" s="56">
        <v>0.52600000000000002</v>
      </c>
      <c r="L14" s="56">
        <v>0.53100000000000003</v>
      </c>
      <c r="M14" s="56">
        <v>0.51500000000000001</v>
      </c>
      <c r="N14" s="56">
        <v>0.5</v>
      </c>
      <c r="O14" s="56">
        <v>0.49299999999999999</v>
      </c>
      <c r="P14" s="56">
        <v>0.50700000000000001</v>
      </c>
      <c r="Q14" s="56">
        <v>0.52900000000000003</v>
      </c>
      <c r="R14" s="715">
        <f t="shared" si="3"/>
        <v>0.56100000000000005</v>
      </c>
      <c r="S14" s="716">
        <f t="shared" si="4"/>
        <v>0.67100000000000004</v>
      </c>
      <c r="T14" s="716">
        <f t="shared" si="2"/>
        <v>0.57033333333333347</v>
      </c>
    </row>
    <row r="15" spans="1:20" ht="14" x14ac:dyDescent="0.3">
      <c r="A15" s="544" t="s">
        <v>162</v>
      </c>
      <c r="B15" s="32">
        <v>0.51</v>
      </c>
      <c r="C15" s="64">
        <v>0.59699999999999998</v>
      </c>
      <c r="D15" s="64">
        <v>0.58699999999999997</v>
      </c>
      <c r="E15" s="64">
        <v>0.64500000000000002</v>
      </c>
      <c r="F15" s="56">
        <v>0.66</v>
      </c>
      <c r="G15" s="56">
        <v>0.67</v>
      </c>
      <c r="H15" s="56">
        <v>0.65</v>
      </c>
      <c r="I15" s="56">
        <v>0.65</v>
      </c>
      <c r="J15" s="321">
        <v>0.55000000000000004</v>
      </c>
      <c r="K15" s="56">
        <v>0.52500000000000002</v>
      </c>
      <c r="L15" s="56">
        <v>0.53100000000000003</v>
      </c>
      <c r="M15" s="56">
        <v>0.51500000000000001</v>
      </c>
      <c r="N15" s="56">
        <v>0.497</v>
      </c>
      <c r="O15" s="56">
        <v>0.49299999999999999</v>
      </c>
      <c r="P15" s="56">
        <v>0.50700000000000001</v>
      </c>
      <c r="Q15" s="56">
        <v>0.53</v>
      </c>
      <c r="R15" s="715">
        <f t="shared" si="3"/>
        <v>0.56981249999999994</v>
      </c>
      <c r="S15" s="716">
        <f t="shared" si="4"/>
        <v>0.67</v>
      </c>
      <c r="T15" s="716">
        <f t="shared" si="2"/>
        <v>0.57016666666666671</v>
      </c>
    </row>
    <row r="16" spans="1:20" ht="14" x14ac:dyDescent="0.3">
      <c r="A16" s="544" t="s">
        <v>163</v>
      </c>
      <c r="B16" s="32">
        <v>0.5454</v>
      </c>
      <c r="C16" s="577">
        <v>0.65</v>
      </c>
      <c r="D16" s="64">
        <v>0.59199999999999997</v>
      </c>
      <c r="E16" s="64">
        <v>0.64800000000000002</v>
      </c>
      <c r="F16" s="56">
        <v>0.66</v>
      </c>
      <c r="G16" s="56">
        <v>0.67100000000000004</v>
      </c>
      <c r="H16" s="56">
        <v>0.65</v>
      </c>
      <c r="I16" s="56">
        <v>0.65</v>
      </c>
      <c r="J16" s="321">
        <v>0.55000000000000004</v>
      </c>
      <c r="K16" s="56">
        <v>0.52500000000000002</v>
      </c>
      <c r="L16" s="56">
        <v>0.53200000000000003</v>
      </c>
      <c r="M16" s="56">
        <v>0.51500000000000001</v>
      </c>
      <c r="N16" s="56">
        <v>0.499</v>
      </c>
      <c r="O16" s="56">
        <v>0.49299999999999999</v>
      </c>
      <c r="P16" s="56">
        <v>0.50700000000000001</v>
      </c>
      <c r="Q16" s="56">
        <v>0.53200000000000003</v>
      </c>
      <c r="R16" s="715">
        <f t="shared" si="3"/>
        <v>0.57621250000000002</v>
      </c>
      <c r="S16" s="716">
        <f t="shared" si="4"/>
        <v>0.67100000000000004</v>
      </c>
      <c r="T16" s="716">
        <f t="shared" si="2"/>
        <v>0.57033333333333336</v>
      </c>
    </row>
    <row r="17" spans="1:20" ht="14" x14ac:dyDescent="0.3">
      <c r="A17" s="544" t="s">
        <v>164</v>
      </c>
      <c r="B17" s="32">
        <v>0.60499999999999998</v>
      </c>
      <c r="C17" s="578">
        <v>0.71299999999999997</v>
      </c>
      <c r="D17" s="64">
        <v>0.59399999999999997</v>
      </c>
      <c r="E17" s="64">
        <v>0.64700000000000002</v>
      </c>
      <c r="F17" s="56">
        <v>0.66</v>
      </c>
      <c r="G17" s="56">
        <v>0.67</v>
      </c>
      <c r="H17" s="56">
        <v>0.65</v>
      </c>
      <c r="I17" s="56">
        <v>0.65</v>
      </c>
      <c r="J17" s="321">
        <v>0.55000000000000004</v>
      </c>
      <c r="K17" s="56">
        <v>0.52500000000000002</v>
      </c>
      <c r="L17" s="56">
        <v>0.53200000000000003</v>
      </c>
      <c r="M17" s="56">
        <v>0.51500000000000001</v>
      </c>
      <c r="N17" s="56">
        <v>0.496</v>
      </c>
      <c r="O17" s="56">
        <v>0.49199999999999999</v>
      </c>
      <c r="P17" s="56">
        <v>0.51</v>
      </c>
      <c r="Q17" s="56">
        <v>0.53300000000000003</v>
      </c>
      <c r="R17" s="715">
        <f t="shared" si="3"/>
        <v>0.58387499999999992</v>
      </c>
      <c r="S17" s="716">
        <f t="shared" si="4"/>
        <v>0.71299999999999997</v>
      </c>
      <c r="T17" s="716">
        <f t="shared" si="2"/>
        <v>0.57033333333333336</v>
      </c>
    </row>
    <row r="18" spans="1:20" ht="14" x14ac:dyDescent="0.3">
      <c r="A18" s="544" t="s">
        <v>165</v>
      </c>
      <c r="B18" s="32">
        <v>0.67</v>
      </c>
      <c r="C18" s="577">
        <v>0.75700000000000001</v>
      </c>
      <c r="D18" s="64">
        <v>0.59799999999999998</v>
      </c>
      <c r="E18" s="64">
        <v>0.60599999999999998</v>
      </c>
      <c r="F18" s="56">
        <v>0.66</v>
      </c>
      <c r="G18" s="56">
        <v>0.67</v>
      </c>
      <c r="H18" s="56">
        <v>0.65</v>
      </c>
      <c r="I18" s="56">
        <v>0.65</v>
      </c>
      <c r="J18" s="321">
        <v>0.55000000000000004</v>
      </c>
      <c r="K18" s="56">
        <v>0.52500000000000002</v>
      </c>
      <c r="L18" s="56">
        <v>0.53200000000000003</v>
      </c>
      <c r="M18" s="56">
        <v>0.51500000000000001</v>
      </c>
      <c r="N18" s="56">
        <v>0.495</v>
      </c>
      <c r="O18" s="56">
        <v>0.49</v>
      </c>
      <c r="P18" s="56">
        <v>0.51900000000000002</v>
      </c>
      <c r="Q18" s="56">
        <v>0.54100000000000004</v>
      </c>
      <c r="R18" s="715">
        <f t="shared" si="3"/>
        <v>0.58925000000000005</v>
      </c>
      <c r="S18" s="716">
        <f t="shared" si="4"/>
        <v>0.75700000000000001</v>
      </c>
      <c r="T18" s="716">
        <f t="shared" si="2"/>
        <v>0.57033333333333336</v>
      </c>
    </row>
    <row r="19" spans="1:20" ht="14" x14ac:dyDescent="0.3">
      <c r="A19" s="544" t="s">
        <v>166</v>
      </c>
      <c r="B19" s="32">
        <v>0.76500000000000001</v>
      </c>
      <c r="C19" s="577">
        <v>0.82</v>
      </c>
      <c r="D19" s="64">
        <v>0.60099999999999998</v>
      </c>
      <c r="E19" s="64">
        <v>0.64700000000000002</v>
      </c>
      <c r="F19" s="56">
        <v>0.66</v>
      </c>
      <c r="G19" s="56">
        <v>0.68</v>
      </c>
      <c r="H19" s="56">
        <v>0.64</v>
      </c>
      <c r="I19" s="56">
        <v>0.65</v>
      </c>
      <c r="J19" s="321">
        <v>0.55000000000000004</v>
      </c>
      <c r="K19" s="56">
        <v>0.52600000000000002</v>
      </c>
      <c r="L19" s="56">
        <v>0.53200000000000003</v>
      </c>
      <c r="M19" s="56">
        <v>0.51600000000000001</v>
      </c>
      <c r="N19" s="56">
        <v>0.49399999999999999</v>
      </c>
      <c r="O19" s="56">
        <v>0.48699999999999999</v>
      </c>
      <c r="P19" s="56">
        <v>0.58799999999999997</v>
      </c>
      <c r="Q19" s="56">
        <v>0.57499999999999996</v>
      </c>
      <c r="R19" s="715">
        <f t="shared" si="3"/>
        <v>0.60818749999999988</v>
      </c>
      <c r="S19" s="716">
        <f t="shared" si="4"/>
        <v>0.82</v>
      </c>
      <c r="T19" s="716">
        <f t="shared" si="2"/>
        <v>0.56900000000000006</v>
      </c>
    </row>
    <row r="20" spans="1:20" ht="14" x14ac:dyDescent="0.3">
      <c r="A20" s="544" t="s">
        <v>188</v>
      </c>
      <c r="B20" s="32">
        <v>0.85</v>
      </c>
      <c r="C20" s="577">
        <v>0.90100000000000002</v>
      </c>
      <c r="D20" s="64">
        <v>0.624</v>
      </c>
      <c r="E20" s="64">
        <v>0.64600000000000002</v>
      </c>
      <c r="F20" s="56">
        <v>0.66</v>
      </c>
      <c r="G20" s="56">
        <v>0.68</v>
      </c>
      <c r="H20" s="56">
        <v>0.63</v>
      </c>
      <c r="I20" s="56">
        <v>0.65</v>
      </c>
      <c r="J20" s="321">
        <v>0.53</v>
      </c>
      <c r="K20" s="56"/>
      <c r="L20" s="56"/>
      <c r="M20" s="56">
        <v>0.52200000000000002</v>
      </c>
      <c r="N20" s="56">
        <v>0.46600000000000003</v>
      </c>
      <c r="O20" s="56">
        <v>0.48399999999999999</v>
      </c>
      <c r="P20" s="56">
        <v>0.751</v>
      </c>
      <c r="Q20" s="56">
        <v>0.73299999999999998</v>
      </c>
      <c r="R20" s="715">
        <f t="shared" si="3"/>
        <v>0.65192857142857152</v>
      </c>
      <c r="S20" s="716">
        <f t="shared" si="4"/>
        <v>0.90100000000000002</v>
      </c>
      <c r="T20" s="716">
        <f t="shared" si="2"/>
        <v>0.58299999999999996</v>
      </c>
    </row>
    <row r="21" spans="1:20" ht="14" x14ac:dyDescent="0.3">
      <c r="A21" s="544" t="s">
        <v>189</v>
      </c>
      <c r="B21" s="192"/>
      <c r="C21" s="577">
        <v>0.92100000000000004</v>
      </c>
      <c r="D21" s="64">
        <v>0.63600000000000001</v>
      </c>
      <c r="E21" s="64">
        <v>0.64800000000000002</v>
      </c>
      <c r="F21" s="56">
        <v>0.66</v>
      </c>
      <c r="G21" s="56"/>
      <c r="H21" s="56">
        <v>0.61</v>
      </c>
      <c r="I21" s="56"/>
      <c r="J21" s="321"/>
      <c r="K21" s="56"/>
      <c r="L21" s="56"/>
      <c r="M21" s="56"/>
      <c r="N21" s="56"/>
      <c r="O21" s="56"/>
      <c r="P21" s="56"/>
      <c r="Q21" s="56"/>
      <c r="R21" s="715"/>
      <c r="S21" s="716"/>
      <c r="T21" s="716">
        <f t="shared" si="2"/>
        <v>0.61</v>
      </c>
    </row>
    <row r="22" spans="1:20" x14ac:dyDescent="0.3">
      <c r="A22" s="544" t="s">
        <v>822</v>
      </c>
      <c r="B22" s="32">
        <f>AVERAGE(B7:B10)</f>
        <v>0.40625</v>
      </c>
      <c r="C22" s="32">
        <f t="shared" ref="C22" si="5">AVERAGE(C7:C10)</f>
        <v>0.43099999999999999</v>
      </c>
      <c r="D22" s="32">
        <f t="shared" ref="D22:E22" si="6">AVERAGE(D7:D10)</f>
        <v>0.57699999999999996</v>
      </c>
      <c r="E22" s="32">
        <f t="shared" si="6"/>
        <v>0.64275000000000004</v>
      </c>
      <c r="F22" s="32">
        <f t="shared" ref="F22:G22" si="7">AVERAGE(F7:F10)</f>
        <v>0.66</v>
      </c>
      <c r="G22" s="32">
        <f t="shared" si="7"/>
        <v>0.67025000000000001</v>
      </c>
      <c r="H22" s="32">
        <f t="shared" ref="H22:I22" si="8">AVERAGE(H7:H10)</f>
        <v>0.65</v>
      </c>
      <c r="I22" s="32">
        <f t="shared" si="8"/>
        <v>0.65</v>
      </c>
      <c r="J22" s="32">
        <f t="shared" ref="J22:K22" si="9">AVERAGE(J7:J10)</f>
        <v>0.55000000000000004</v>
      </c>
      <c r="K22" s="32">
        <f t="shared" si="9"/>
        <v>0.52500000000000002</v>
      </c>
      <c r="L22" s="32">
        <f t="shared" ref="L22:M22" si="10">AVERAGE(L7:L10)</f>
        <v>0.53100000000000003</v>
      </c>
      <c r="M22" s="32">
        <f t="shared" si="10"/>
        <v>0.51424999999999998</v>
      </c>
      <c r="N22" s="32">
        <f t="shared" ref="N22:O22" si="11">AVERAGE(N7:N10)</f>
        <v>0.50024999999999997</v>
      </c>
      <c r="O22" s="32">
        <f t="shared" si="11"/>
        <v>0.49149999999999999</v>
      </c>
      <c r="P22" s="32">
        <f t="shared" ref="P22:Q22" si="12">AVERAGE(P7:P10)</f>
        <v>0.50575000000000003</v>
      </c>
      <c r="Q22" s="32">
        <f t="shared" si="12"/>
        <v>0.52849999999999997</v>
      </c>
      <c r="R22" s="32">
        <f t="shared" ref="R22:T22" si="13">AVERAGE(R7:R10)</f>
        <v>0.55209375000000005</v>
      </c>
      <c r="S22" s="32">
        <f t="shared" si="13"/>
        <v>0.67025000000000001</v>
      </c>
      <c r="T22" s="32">
        <f t="shared" si="13"/>
        <v>0.57004166666666667</v>
      </c>
    </row>
    <row r="23" spans="1:20" x14ac:dyDescent="0.3">
      <c r="A23" s="566" t="s">
        <v>855</v>
      </c>
      <c r="B23" s="32">
        <f>AVERAGE(B7:B21)</f>
        <v>0.51745714285714273</v>
      </c>
      <c r="C23" s="32">
        <f t="shared" ref="C23" si="14">AVERAGE(C7:C21)</f>
        <v>0.61040000000000005</v>
      </c>
      <c r="D23" s="32">
        <f t="shared" ref="D23:E23" si="15">AVERAGE(D7:D21)</f>
        <v>0.59133333333333327</v>
      </c>
      <c r="E23" s="32">
        <f t="shared" si="15"/>
        <v>0.64040000000000008</v>
      </c>
      <c r="F23" s="32">
        <f t="shared" ref="F23:G23" si="16">AVERAGE(F7:F21)</f>
        <v>0.65760000000000007</v>
      </c>
      <c r="G23" s="32">
        <f t="shared" si="16"/>
        <v>0.67171428571428571</v>
      </c>
      <c r="H23" s="32">
        <f t="shared" ref="H23:I23" si="17">AVERAGE(H7:H21)</f>
        <v>0.64533333333333343</v>
      </c>
      <c r="I23" s="32">
        <f t="shared" si="17"/>
        <v>0.65000000000000013</v>
      </c>
      <c r="J23" s="32">
        <f t="shared" ref="J23:K23" si="18">AVERAGE(J7:J21)</f>
        <v>0.54857142857142849</v>
      </c>
      <c r="K23" s="32">
        <f t="shared" si="18"/>
        <v>0.52523076923076928</v>
      </c>
      <c r="L23" s="32">
        <f t="shared" ref="L23:M23" si="19">AVERAGE(L7:L21)</f>
        <v>0.53130769230769226</v>
      </c>
      <c r="M23" s="32">
        <f t="shared" si="19"/>
        <v>0.51535714285714274</v>
      </c>
      <c r="N23" s="32">
        <f t="shared" ref="N23:O23" si="20">AVERAGE(N7:N21)</f>
        <v>0.49628571428571416</v>
      </c>
      <c r="O23" s="32">
        <f t="shared" si="20"/>
        <v>0.49107142857142866</v>
      </c>
      <c r="P23" s="32">
        <f t="shared" ref="P23:Q23" si="21">AVERAGE(P7:P21)</f>
        <v>0.53085714285714281</v>
      </c>
      <c r="Q23" s="32">
        <f t="shared" si="21"/>
        <v>0.54814285714285715</v>
      </c>
      <c r="R23" s="32">
        <f t="shared" ref="R23:T23" si="22">AVERAGE(R7:R21)</f>
        <v>0.57282257653061219</v>
      </c>
      <c r="S23" s="32">
        <f t="shared" si="22"/>
        <v>0.70678571428571435</v>
      </c>
      <c r="T23" s="32">
        <f t="shared" si="22"/>
        <v>0.57362222222222214</v>
      </c>
    </row>
    <row r="24" spans="1:20" ht="15.5" x14ac:dyDescent="0.35">
      <c r="A24" s="798" t="s">
        <v>804</v>
      </c>
      <c r="B24" s="799"/>
      <c r="C24" s="799"/>
      <c r="D24" s="799"/>
      <c r="E24" s="799"/>
      <c r="F24" s="799"/>
      <c r="G24" s="799"/>
      <c r="H24" s="799"/>
      <c r="I24" s="799"/>
      <c r="J24" s="799"/>
      <c r="K24" s="799"/>
      <c r="L24" s="799"/>
      <c r="M24" s="799"/>
      <c r="N24" s="799"/>
      <c r="O24" s="799"/>
      <c r="P24" s="799"/>
      <c r="Q24" s="799"/>
      <c r="R24" s="799"/>
      <c r="S24" s="799"/>
      <c r="T24" s="800"/>
    </row>
    <row r="25" spans="1:20" ht="14" x14ac:dyDescent="0.3">
      <c r="A25" s="544" t="s">
        <v>453</v>
      </c>
      <c r="B25" s="32">
        <v>0.40200000000000002</v>
      </c>
      <c r="C25" s="64">
        <v>0.435</v>
      </c>
      <c r="D25" s="64">
        <v>0.56999999999999995</v>
      </c>
      <c r="E25" s="56">
        <v>0.64</v>
      </c>
      <c r="F25" s="56">
        <v>0.66</v>
      </c>
      <c r="G25" s="56">
        <v>0.67</v>
      </c>
      <c r="H25" s="56">
        <v>0.65</v>
      </c>
      <c r="I25" s="56">
        <v>0.65</v>
      </c>
      <c r="J25" s="56">
        <v>0.55000000000000004</v>
      </c>
      <c r="K25" s="56">
        <v>0.52700000000000002</v>
      </c>
      <c r="L25" s="56">
        <v>0.53200000000000003</v>
      </c>
      <c r="M25" s="56">
        <v>0.51400000000000001</v>
      </c>
      <c r="N25" s="56">
        <v>0.5</v>
      </c>
      <c r="O25" s="56">
        <v>0.49</v>
      </c>
      <c r="P25" s="56">
        <v>0.50700000000000001</v>
      </c>
      <c r="Q25" s="56"/>
      <c r="R25" s="715">
        <f>AVERAGE(B25:Q25)</f>
        <v>0.55313333333333337</v>
      </c>
      <c r="S25" s="716">
        <f>MAX(B25:Q25)</f>
        <v>0.67</v>
      </c>
      <c r="T25" s="716">
        <f t="shared" si="2"/>
        <v>0.57050000000000001</v>
      </c>
    </row>
    <row r="26" spans="1:20" ht="14" x14ac:dyDescent="0.3">
      <c r="A26" s="544" t="s">
        <v>158</v>
      </c>
      <c r="B26" s="32">
        <v>0.40899999999999997</v>
      </c>
      <c r="C26" s="64">
        <v>0.437</v>
      </c>
      <c r="D26" s="64">
        <v>0.56999999999999995</v>
      </c>
      <c r="E26" s="56">
        <v>0.64</v>
      </c>
      <c r="F26" s="56">
        <v>0.66</v>
      </c>
      <c r="G26" s="56">
        <v>0.67</v>
      </c>
      <c r="H26" s="56">
        <v>0.65</v>
      </c>
      <c r="I26" s="56">
        <v>0.65</v>
      </c>
      <c r="J26" s="56">
        <v>0.55000000000000004</v>
      </c>
      <c r="K26" s="56">
        <v>0.52600000000000002</v>
      </c>
      <c r="L26" s="56">
        <v>0.53200000000000003</v>
      </c>
      <c r="M26" s="56">
        <v>0.51400000000000001</v>
      </c>
      <c r="N26" s="56">
        <v>0.499</v>
      </c>
      <c r="O26" s="56">
        <v>0.49099999999999999</v>
      </c>
      <c r="P26" s="56">
        <v>0.50700000000000001</v>
      </c>
      <c r="Q26" s="56"/>
      <c r="R26" s="715">
        <f t="shared" ref="R26:R36" si="23">AVERAGE(B26:Q26)</f>
        <v>0.55366666666666664</v>
      </c>
      <c r="S26" s="716">
        <f t="shared" ref="S26:S36" si="24">MAX(B26:Q26)</f>
        <v>0.67</v>
      </c>
      <c r="T26" s="716">
        <f t="shared" si="2"/>
        <v>0.57033333333333347</v>
      </c>
    </row>
    <row r="27" spans="1:20" ht="14" x14ac:dyDescent="0.3">
      <c r="A27" s="544" t="s">
        <v>454</v>
      </c>
      <c r="B27" s="32">
        <v>0.41</v>
      </c>
      <c r="C27" s="64">
        <v>0.438</v>
      </c>
      <c r="D27" s="64">
        <v>0.56999999999999995</v>
      </c>
      <c r="E27" s="56">
        <v>0.64</v>
      </c>
      <c r="F27" s="56">
        <v>0.66</v>
      </c>
      <c r="G27" s="56">
        <v>0.67</v>
      </c>
      <c r="H27" s="56">
        <v>0.65</v>
      </c>
      <c r="I27" s="56">
        <v>0.65</v>
      </c>
      <c r="J27" s="56">
        <v>0.55000000000000004</v>
      </c>
      <c r="K27" s="56">
        <v>0.52600000000000002</v>
      </c>
      <c r="L27" s="56">
        <v>0.53200000000000003</v>
      </c>
      <c r="M27" s="56">
        <v>0.51400000000000001</v>
      </c>
      <c r="N27" s="56">
        <v>0.5</v>
      </c>
      <c r="O27" s="56">
        <v>0.49199999999999999</v>
      </c>
      <c r="P27" s="56">
        <v>0.50700000000000001</v>
      </c>
      <c r="Q27" s="56"/>
      <c r="R27" s="715">
        <f t="shared" si="23"/>
        <v>0.55393333333333339</v>
      </c>
      <c r="S27" s="716">
        <f t="shared" si="24"/>
        <v>0.67</v>
      </c>
      <c r="T27" s="716">
        <f t="shared" si="2"/>
        <v>0.57033333333333347</v>
      </c>
    </row>
    <row r="28" spans="1:20" ht="14" x14ac:dyDescent="0.3">
      <c r="A28" s="544" t="s">
        <v>159</v>
      </c>
      <c r="B28" s="32">
        <v>0.41899999999999998</v>
      </c>
      <c r="C28" s="64">
        <v>0.44500000000000001</v>
      </c>
      <c r="D28" s="64">
        <v>0.56999999999999995</v>
      </c>
      <c r="E28" s="56">
        <v>0.64</v>
      </c>
      <c r="F28" s="56">
        <v>0.66</v>
      </c>
      <c r="G28" s="56">
        <v>0.67</v>
      </c>
      <c r="H28" s="56">
        <v>0.65</v>
      </c>
      <c r="I28" s="56">
        <v>0.65</v>
      </c>
      <c r="J28" s="56">
        <v>0.55000000000000004</v>
      </c>
      <c r="K28" s="56">
        <v>0.52600000000000002</v>
      </c>
      <c r="L28" s="56">
        <v>0.53200000000000003</v>
      </c>
      <c r="M28" s="56">
        <v>0.51500000000000001</v>
      </c>
      <c r="N28" s="56">
        <v>0.5</v>
      </c>
      <c r="O28" s="56">
        <v>0.49199999999999999</v>
      </c>
      <c r="P28" s="56">
        <v>0.50700000000000001</v>
      </c>
      <c r="Q28" s="56"/>
      <c r="R28" s="715">
        <f t="shared" si="23"/>
        <v>0.55506666666666671</v>
      </c>
      <c r="S28" s="716">
        <f t="shared" si="24"/>
        <v>0.67</v>
      </c>
      <c r="T28" s="716">
        <f t="shared" si="2"/>
        <v>0.57050000000000012</v>
      </c>
    </row>
    <row r="29" spans="1:20" ht="14" x14ac:dyDescent="0.3">
      <c r="A29" s="544" t="s">
        <v>455</v>
      </c>
      <c r="B29" s="32">
        <v>0.434</v>
      </c>
      <c r="C29" s="64">
        <v>0.47299999999999998</v>
      </c>
      <c r="D29" s="64">
        <v>0.56999999999999995</v>
      </c>
      <c r="E29" s="56">
        <v>0.64400000000000002</v>
      </c>
      <c r="F29" s="56">
        <v>0.66</v>
      </c>
      <c r="G29" s="56">
        <v>0.67</v>
      </c>
      <c r="H29" s="56">
        <v>0.65</v>
      </c>
      <c r="I29" s="56">
        <v>0.65</v>
      </c>
      <c r="J29" s="56">
        <v>0.55000000000000004</v>
      </c>
      <c r="K29" s="56">
        <v>0.52600000000000002</v>
      </c>
      <c r="L29" s="56">
        <v>0.53200000000000003</v>
      </c>
      <c r="M29" s="56">
        <v>0.51500000000000001</v>
      </c>
      <c r="N29" s="56">
        <v>0.5</v>
      </c>
      <c r="O29" s="56">
        <v>0.49099999999999999</v>
      </c>
      <c r="P29" s="56">
        <v>0.50700000000000001</v>
      </c>
      <c r="Q29" s="56"/>
      <c r="R29" s="715">
        <f t="shared" si="23"/>
        <v>0.55813333333333337</v>
      </c>
      <c r="S29" s="716">
        <f t="shared" si="24"/>
        <v>0.67</v>
      </c>
      <c r="T29" s="716">
        <f t="shared" si="2"/>
        <v>0.57050000000000012</v>
      </c>
    </row>
    <row r="30" spans="1:20" ht="14" x14ac:dyDescent="0.3">
      <c r="A30" s="544" t="s">
        <v>160</v>
      </c>
      <c r="B30" s="32">
        <v>0.45100000000000001</v>
      </c>
      <c r="C30" s="64">
        <v>0.48599999999999999</v>
      </c>
      <c r="D30" s="64">
        <v>0.56899999999999995</v>
      </c>
      <c r="E30" s="56">
        <v>0.64400000000000002</v>
      </c>
      <c r="F30" s="56">
        <v>0.66</v>
      </c>
      <c r="G30" s="56">
        <v>0.67</v>
      </c>
      <c r="H30" s="56">
        <v>0.65</v>
      </c>
      <c r="I30" s="56">
        <v>0.65</v>
      </c>
      <c r="J30" s="56">
        <v>0.55000000000000004</v>
      </c>
      <c r="K30" s="56">
        <v>0.52600000000000002</v>
      </c>
      <c r="L30" s="56">
        <v>0.53200000000000003</v>
      </c>
      <c r="M30" s="56">
        <v>0.51500000000000001</v>
      </c>
      <c r="N30" s="56">
        <v>0.5</v>
      </c>
      <c r="O30" s="56">
        <v>0.49099999999999999</v>
      </c>
      <c r="P30" s="56">
        <v>0.50800000000000001</v>
      </c>
      <c r="Q30" s="56"/>
      <c r="R30" s="715">
        <f t="shared" si="23"/>
        <v>0.56013333333333326</v>
      </c>
      <c r="S30" s="716">
        <f t="shared" si="24"/>
        <v>0.67</v>
      </c>
      <c r="T30" s="716">
        <f t="shared" si="2"/>
        <v>0.57050000000000012</v>
      </c>
    </row>
    <row r="31" spans="1:20" ht="14" x14ac:dyDescent="0.3">
      <c r="A31" s="544" t="s">
        <v>456</v>
      </c>
      <c r="B31" s="32">
        <v>0.46200000000000002</v>
      </c>
      <c r="C31" s="64">
        <v>0.50800000000000001</v>
      </c>
      <c r="D31" s="64">
        <v>0.56899999999999995</v>
      </c>
      <c r="E31" s="56">
        <v>0.64400000000000002</v>
      </c>
      <c r="F31" s="56">
        <v>0.66</v>
      </c>
      <c r="G31" s="56">
        <v>0.67</v>
      </c>
      <c r="H31" s="56">
        <v>0.65</v>
      </c>
      <c r="I31" s="56">
        <v>0.65</v>
      </c>
      <c r="J31" s="56">
        <v>0.55000000000000004</v>
      </c>
      <c r="K31" s="56">
        <v>0.52700000000000002</v>
      </c>
      <c r="L31" s="56">
        <v>0.53200000000000003</v>
      </c>
      <c r="M31" s="56">
        <v>0.51500000000000001</v>
      </c>
      <c r="N31" s="56">
        <v>0.5</v>
      </c>
      <c r="O31" s="56">
        <v>0.49099999999999999</v>
      </c>
      <c r="P31" s="56">
        <v>0.50700000000000001</v>
      </c>
      <c r="Q31" s="56"/>
      <c r="R31" s="715">
        <f t="shared" si="23"/>
        <v>0.56233333333333335</v>
      </c>
      <c r="S31" s="716">
        <f t="shared" si="24"/>
        <v>0.67</v>
      </c>
      <c r="T31" s="716">
        <f t="shared" si="2"/>
        <v>0.57066666666666677</v>
      </c>
    </row>
    <row r="32" spans="1:20" ht="14" x14ac:dyDescent="0.3">
      <c r="A32" s="544" t="s">
        <v>161</v>
      </c>
      <c r="B32" s="32">
        <v>0.49399999999999999</v>
      </c>
      <c r="C32" s="64">
        <v>0.54600000000000004</v>
      </c>
      <c r="D32" s="64">
        <v>0.56899999999999995</v>
      </c>
      <c r="E32" s="56">
        <v>0.64500000000000002</v>
      </c>
      <c r="F32" s="56">
        <v>0.66</v>
      </c>
      <c r="G32" s="56">
        <v>0.67</v>
      </c>
      <c r="H32" s="56">
        <v>0.65</v>
      </c>
      <c r="I32" s="56">
        <v>0.65</v>
      </c>
      <c r="J32" s="56">
        <v>0.55000000000000004</v>
      </c>
      <c r="K32" s="56">
        <v>0.52700000000000002</v>
      </c>
      <c r="L32" s="56">
        <v>0.53200000000000003</v>
      </c>
      <c r="M32" s="56">
        <v>0.51500000000000001</v>
      </c>
      <c r="N32" s="56">
        <v>0.5</v>
      </c>
      <c r="O32" s="56">
        <v>0.49099999999999999</v>
      </c>
      <c r="P32" s="56">
        <v>0.50900000000000001</v>
      </c>
      <c r="Q32" s="56"/>
      <c r="R32" s="715">
        <f t="shared" si="23"/>
        <v>0.56719999999999993</v>
      </c>
      <c r="S32" s="716">
        <f t="shared" si="24"/>
        <v>0.67</v>
      </c>
      <c r="T32" s="716">
        <f t="shared" si="2"/>
        <v>0.57066666666666677</v>
      </c>
    </row>
    <row r="33" spans="1:20" ht="14" x14ac:dyDescent="0.3">
      <c r="A33" s="544" t="s">
        <v>162</v>
      </c>
      <c r="B33" s="32">
        <v>0.50700000000000001</v>
      </c>
      <c r="C33" s="64">
        <v>0.59099999999999997</v>
      </c>
      <c r="D33" s="64">
        <v>0.56999999999999995</v>
      </c>
      <c r="E33" s="56">
        <v>0.64600000000000002</v>
      </c>
      <c r="F33" s="56">
        <v>0.66</v>
      </c>
      <c r="G33" s="56">
        <v>0.67</v>
      </c>
      <c r="H33" s="56">
        <v>0.65</v>
      </c>
      <c r="I33" s="56">
        <v>0.65</v>
      </c>
      <c r="J33" s="56">
        <v>0.55000000000000004</v>
      </c>
      <c r="K33" s="56">
        <v>0.52700000000000002</v>
      </c>
      <c r="L33" s="56">
        <v>0.53200000000000003</v>
      </c>
      <c r="M33" s="56">
        <v>0.51500000000000001</v>
      </c>
      <c r="N33" s="56">
        <v>0.5</v>
      </c>
      <c r="O33" s="56">
        <v>0.49099999999999999</v>
      </c>
      <c r="P33" s="56">
        <v>0.51200000000000001</v>
      </c>
      <c r="Q33" s="56"/>
      <c r="R33" s="715">
        <f t="shared" si="23"/>
        <v>0.57140000000000002</v>
      </c>
      <c r="S33" s="716">
        <f t="shared" si="24"/>
        <v>0.67</v>
      </c>
      <c r="T33" s="716">
        <f t="shared" si="2"/>
        <v>0.57066666666666677</v>
      </c>
    </row>
    <row r="34" spans="1:20" ht="14" x14ac:dyDescent="0.3">
      <c r="A34" s="544" t="s">
        <v>163</v>
      </c>
      <c r="B34" s="32">
        <v>0.54700000000000004</v>
      </c>
      <c r="C34" s="64">
        <v>0.66200000000000003</v>
      </c>
      <c r="D34" s="64">
        <v>0.59099999999999997</v>
      </c>
      <c r="E34" s="56">
        <v>0.64800000000000002</v>
      </c>
      <c r="F34" s="56">
        <v>0.66</v>
      </c>
      <c r="G34" s="56">
        <v>0.67</v>
      </c>
      <c r="H34" s="56">
        <v>0.65</v>
      </c>
      <c r="I34" s="56">
        <v>0.65</v>
      </c>
      <c r="J34" s="56">
        <v>0.55000000000000004</v>
      </c>
      <c r="K34" s="56">
        <v>0.52700000000000002</v>
      </c>
      <c r="L34" s="56">
        <v>0.53200000000000003</v>
      </c>
      <c r="M34" s="56">
        <v>0.51500000000000001</v>
      </c>
      <c r="N34" s="56">
        <v>0.502</v>
      </c>
      <c r="O34" s="56">
        <v>0.49099999999999999</v>
      </c>
      <c r="P34" s="56">
        <v>0.51</v>
      </c>
      <c r="Q34" s="56"/>
      <c r="R34" s="715">
        <f t="shared" si="23"/>
        <v>0.58033333333333337</v>
      </c>
      <c r="S34" s="716">
        <f t="shared" si="24"/>
        <v>0.67</v>
      </c>
      <c r="T34" s="716">
        <f t="shared" si="2"/>
        <v>0.57066666666666677</v>
      </c>
    </row>
    <row r="35" spans="1:20" ht="14" x14ac:dyDescent="0.3">
      <c r="A35" s="544" t="s">
        <v>164</v>
      </c>
      <c r="B35" s="32">
        <v>0.55000000000000004</v>
      </c>
      <c r="C35" s="64">
        <v>0.72099999999999997</v>
      </c>
      <c r="D35" s="64">
        <v>0.60099999999999998</v>
      </c>
      <c r="E35" s="56">
        <v>0.64600000000000002</v>
      </c>
      <c r="F35" s="56">
        <v>0.66</v>
      </c>
      <c r="G35" s="56">
        <v>0.68</v>
      </c>
      <c r="H35" s="56">
        <v>0.65</v>
      </c>
      <c r="I35" s="56">
        <v>0.65</v>
      </c>
      <c r="J35" s="56">
        <v>0.55000000000000004</v>
      </c>
      <c r="K35" s="56">
        <v>0.52700000000000002</v>
      </c>
      <c r="L35" s="56">
        <v>0.53300000000000003</v>
      </c>
      <c r="M35" s="56">
        <v>0.51500000000000001</v>
      </c>
      <c r="N35" s="56">
        <v>0.498</v>
      </c>
      <c r="O35" s="56">
        <v>0.49099999999999999</v>
      </c>
      <c r="P35" s="56">
        <v>0.51100000000000001</v>
      </c>
      <c r="Q35" s="56"/>
      <c r="R35" s="715">
        <f t="shared" si="23"/>
        <v>0.58553333333333335</v>
      </c>
      <c r="S35" s="716">
        <f t="shared" si="24"/>
        <v>0.72099999999999997</v>
      </c>
      <c r="T35" s="716">
        <f t="shared" si="2"/>
        <v>0.57083333333333341</v>
      </c>
    </row>
    <row r="36" spans="1:20" ht="14" x14ac:dyDescent="0.3">
      <c r="A36" s="544" t="s">
        <v>165</v>
      </c>
      <c r="B36" s="32">
        <v>0.58499999999999996</v>
      </c>
      <c r="C36" s="64">
        <v>0.79</v>
      </c>
      <c r="D36" s="64">
        <v>0.60599999999999998</v>
      </c>
      <c r="E36" s="56">
        <v>0.64800000000000002</v>
      </c>
      <c r="F36" s="56">
        <v>0.66</v>
      </c>
      <c r="G36" s="56">
        <v>0.68</v>
      </c>
      <c r="H36" s="56">
        <v>0.65</v>
      </c>
      <c r="I36" s="56">
        <v>0.65</v>
      </c>
      <c r="J36" s="56">
        <v>0.55000000000000004</v>
      </c>
      <c r="K36" s="56"/>
      <c r="L36" s="56"/>
      <c r="M36" s="56"/>
      <c r="N36" s="56"/>
      <c r="O36" s="56"/>
      <c r="P36" s="56"/>
      <c r="Q36" s="56"/>
      <c r="R36" s="715">
        <f t="shared" si="23"/>
        <v>0.64655555555555566</v>
      </c>
      <c r="S36" s="716">
        <f t="shared" si="24"/>
        <v>0.79</v>
      </c>
      <c r="T36" s="716"/>
    </row>
    <row r="37" spans="1:20" x14ac:dyDescent="0.3">
      <c r="A37" s="544" t="s">
        <v>822</v>
      </c>
      <c r="B37" s="32">
        <f>AVERAGE(B25:B28)</f>
        <v>0.41</v>
      </c>
      <c r="C37" s="32">
        <f t="shared" ref="C37" si="25">AVERAGE(C25:C28)</f>
        <v>0.43875000000000003</v>
      </c>
      <c r="D37" s="32">
        <f t="shared" ref="D37:E37" si="26">AVERAGE(D25:D28)</f>
        <v>0.56999999999999995</v>
      </c>
      <c r="E37" s="32">
        <f t="shared" si="26"/>
        <v>0.64</v>
      </c>
      <c r="F37" s="32">
        <f t="shared" ref="F37:G37" si="27">AVERAGE(F25:F28)</f>
        <v>0.66</v>
      </c>
      <c r="G37" s="32">
        <f t="shared" si="27"/>
        <v>0.67</v>
      </c>
      <c r="H37" s="32">
        <f t="shared" ref="H37:I37" si="28">AVERAGE(H25:H28)</f>
        <v>0.65</v>
      </c>
      <c r="I37" s="32">
        <f t="shared" si="28"/>
        <v>0.65</v>
      </c>
      <c r="J37" s="32">
        <f t="shared" ref="J37:K37" si="29">AVERAGE(J25:J28)</f>
        <v>0.55000000000000004</v>
      </c>
      <c r="K37" s="32">
        <f t="shared" si="29"/>
        <v>0.52625</v>
      </c>
      <c r="L37" s="32">
        <f t="shared" ref="L37:M37" si="30">AVERAGE(L25:L28)</f>
        <v>0.53200000000000003</v>
      </c>
      <c r="M37" s="32">
        <f t="shared" si="30"/>
        <v>0.51424999999999998</v>
      </c>
      <c r="N37" s="32">
        <f t="shared" ref="N37:O37" si="31">AVERAGE(N25:N28)</f>
        <v>0.49975000000000003</v>
      </c>
      <c r="O37" s="32">
        <f t="shared" si="31"/>
        <v>0.49124999999999996</v>
      </c>
      <c r="P37" s="32">
        <f t="shared" ref="P37:T37" si="32">AVERAGE(P25:P28)</f>
        <v>0.50700000000000001</v>
      </c>
      <c r="Q37" s="32"/>
      <c r="R37" s="32">
        <f t="shared" si="32"/>
        <v>0.55395000000000005</v>
      </c>
      <c r="S37" s="32">
        <f t="shared" si="32"/>
        <v>0.67</v>
      </c>
      <c r="T37" s="32">
        <f t="shared" si="32"/>
        <v>0.57041666666666679</v>
      </c>
    </row>
    <row r="38" spans="1:20" x14ac:dyDescent="0.3">
      <c r="A38" s="544" t="s">
        <v>823</v>
      </c>
      <c r="B38" s="32">
        <f>AVERAGE(B25:B36)</f>
        <v>0.47249999999999998</v>
      </c>
      <c r="C38" s="32">
        <f t="shared" ref="C38" si="33">AVERAGE(C25:C36)</f>
        <v>0.54433333333333345</v>
      </c>
      <c r="D38" s="32">
        <f t="shared" ref="D38:E38" si="34">AVERAGE(D25:D36)</f>
        <v>0.57708333333333328</v>
      </c>
      <c r="E38" s="32">
        <f t="shared" si="34"/>
        <v>0.64374999999999993</v>
      </c>
      <c r="F38" s="32">
        <f t="shared" ref="F38:G38" si="35">AVERAGE(F25:F36)</f>
        <v>0.66</v>
      </c>
      <c r="G38" s="32">
        <f t="shared" si="35"/>
        <v>0.67166666666666675</v>
      </c>
      <c r="H38" s="32">
        <f t="shared" ref="H38:I38" si="36">AVERAGE(H25:H36)</f>
        <v>0.65000000000000013</v>
      </c>
      <c r="I38" s="32">
        <f t="shared" si="36"/>
        <v>0.65000000000000013</v>
      </c>
      <c r="J38" s="32">
        <f t="shared" ref="J38:K38" si="37">AVERAGE(J25:J36)</f>
        <v>0.54999999999999993</v>
      </c>
      <c r="K38" s="32">
        <f t="shared" si="37"/>
        <v>0.52654545454545465</v>
      </c>
      <c r="L38" s="32">
        <f t="shared" ref="L38:M38" si="38">AVERAGE(L25:L36)</f>
        <v>0.53209090909090917</v>
      </c>
      <c r="M38" s="32">
        <f t="shared" si="38"/>
        <v>0.51472727272727259</v>
      </c>
      <c r="N38" s="32">
        <f t="shared" ref="N38:O38" si="39">AVERAGE(N25:N36)</f>
        <v>0.49990909090909097</v>
      </c>
      <c r="O38" s="32">
        <f t="shared" si="39"/>
        <v>0.49109090909090902</v>
      </c>
      <c r="P38" s="32">
        <f t="shared" ref="P38:T38" si="40">AVERAGE(P25:P36)</f>
        <v>0.50836363636363635</v>
      </c>
      <c r="Q38" s="32"/>
      <c r="R38" s="32">
        <f t="shared" si="40"/>
        <v>0.57061851851851852</v>
      </c>
      <c r="S38" s="32">
        <f t="shared" si="40"/>
        <v>0.68425000000000002</v>
      </c>
      <c r="T38" s="32">
        <f t="shared" si="40"/>
        <v>0.57056060606060621</v>
      </c>
    </row>
    <row r="39" spans="1:20" ht="15.5" x14ac:dyDescent="0.35">
      <c r="A39" s="798" t="s">
        <v>805</v>
      </c>
      <c r="B39" s="799"/>
      <c r="C39" s="799"/>
      <c r="D39" s="799"/>
      <c r="E39" s="799"/>
      <c r="F39" s="799"/>
      <c r="G39" s="799"/>
      <c r="H39" s="799"/>
      <c r="I39" s="799"/>
      <c r="J39" s="799"/>
      <c r="K39" s="799"/>
      <c r="L39" s="799"/>
      <c r="M39" s="799"/>
      <c r="N39" s="799"/>
      <c r="O39" s="799"/>
      <c r="P39" s="799"/>
      <c r="Q39" s="799"/>
      <c r="R39" s="799"/>
      <c r="S39" s="799"/>
      <c r="T39" s="800"/>
    </row>
    <row r="40" spans="1:20" ht="14" x14ac:dyDescent="0.3">
      <c r="A40" s="544" t="s">
        <v>453</v>
      </c>
      <c r="B40" s="64">
        <v>0.40400000000000003</v>
      </c>
      <c r="C40" s="64">
        <v>0.42599999999999999</v>
      </c>
      <c r="D40" s="64">
        <v>0.58199999999999996</v>
      </c>
      <c r="E40" s="56">
        <v>0.64</v>
      </c>
      <c r="F40" s="56">
        <v>0.66</v>
      </c>
      <c r="G40" s="56">
        <v>0.67</v>
      </c>
      <c r="H40" s="56">
        <v>0.66</v>
      </c>
      <c r="I40" s="56">
        <v>0.65</v>
      </c>
      <c r="J40" s="56">
        <v>0.55000000000000004</v>
      </c>
      <c r="K40" s="56">
        <v>0.52600000000000002</v>
      </c>
      <c r="L40" s="56">
        <v>0.53</v>
      </c>
      <c r="M40" s="56">
        <v>0.51400000000000001</v>
      </c>
      <c r="N40" s="56">
        <v>0.499</v>
      </c>
      <c r="O40" s="56">
        <v>0.49199999999999999</v>
      </c>
      <c r="P40" s="56">
        <v>0.50600000000000001</v>
      </c>
      <c r="Q40" s="56"/>
      <c r="R40" s="715">
        <f t="shared" ref="R40:R48" si="41">AVERAGE(B40:Q40)</f>
        <v>0.55393333333333328</v>
      </c>
      <c r="S40" s="716">
        <f>MAX(B40:Q40)</f>
        <v>0.67</v>
      </c>
      <c r="T40" s="716">
        <f t="shared" si="2"/>
        <v>0.57166666666666677</v>
      </c>
    </row>
    <row r="41" spans="1:20" ht="14" x14ac:dyDescent="0.3">
      <c r="A41" s="544" t="s">
        <v>158</v>
      </c>
      <c r="B41" s="64">
        <v>0.40600000000000003</v>
      </c>
      <c r="C41" s="64">
        <v>0.435</v>
      </c>
      <c r="D41" s="64">
        <v>0.58199999999999996</v>
      </c>
      <c r="E41" s="56">
        <v>0.64</v>
      </c>
      <c r="F41" s="56">
        <v>0.66</v>
      </c>
      <c r="G41" s="56">
        <v>0.67</v>
      </c>
      <c r="H41" s="56">
        <v>0.66</v>
      </c>
      <c r="I41" s="56">
        <v>0.65</v>
      </c>
      <c r="J41" s="56">
        <v>0.55000000000000004</v>
      </c>
      <c r="K41" s="56">
        <v>0.52600000000000002</v>
      </c>
      <c r="L41" s="56">
        <v>0.53200000000000003</v>
      </c>
      <c r="M41" s="56">
        <v>0.51400000000000001</v>
      </c>
      <c r="N41" s="56">
        <v>0.499</v>
      </c>
      <c r="O41" s="56">
        <v>0.49199999999999999</v>
      </c>
      <c r="P41" s="56">
        <v>0.50600000000000001</v>
      </c>
      <c r="Q41" s="56"/>
      <c r="R41" s="715">
        <f t="shared" si="41"/>
        <v>0.55479999999999996</v>
      </c>
      <c r="S41" s="716">
        <f t="shared" ref="S41:S48" si="42">MAX(B41:Q41)</f>
        <v>0.67</v>
      </c>
      <c r="T41" s="716">
        <f t="shared" si="2"/>
        <v>0.57200000000000006</v>
      </c>
    </row>
    <row r="42" spans="1:20" ht="14" x14ac:dyDescent="0.3">
      <c r="A42" s="544" t="s">
        <v>454</v>
      </c>
      <c r="B42" s="32">
        <v>0.41</v>
      </c>
      <c r="C42" s="64">
        <v>0.436</v>
      </c>
      <c r="D42" s="64">
        <v>0.58199999999999996</v>
      </c>
      <c r="E42" s="56">
        <v>0.63400000000000001</v>
      </c>
      <c r="F42" s="56">
        <v>0.66</v>
      </c>
      <c r="G42" s="56">
        <v>0.67</v>
      </c>
      <c r="H42" s="56">
        <v>0.66</v>
      </c>
      <c r="I42" s="56">
        <v>0.65</v>
      </c>
      <c r="J42" s="56">
        <v>0.55000000000000004</v>
      </c>
      <c r="K42" s="56">
        <v>0.52600000000000002</v>
      </c>
      <c r="L42" s="56">
        <v>0.53100000000000003</v>
      </c>
      <c r="M42" s="56">
        <v>0.51400000000000001</v>
      </c>
      <c r="N42" s="56">
        <v>0.496</v>
      </c>
      <c r="O42" s="56">
        <v>0.49</v>
      </c>
      <c r="P42" s="56">
        <v>0.50600000000000001</v>
      </c>
      <c r="Q42" s="56"/>
      <c r="R42" s="715">
        <f t="shared" si="41"/>
        <v>0.55433333333333334</v>
      </c>
      <c r="S42" s="716">
        <f t="shared" si="42"/>
        <v>0.67</v>
      </c>
      <c r="T42" s="716">
        <f t="shared" si="2"/>
        <v>0.5718333333333333</v>
      </c>
    </row>
    <row r="43" spans="1:20" ht="14" x14ac:dyDescent="0.3">
      <c r="A43" s="544" t="s">
        <v>159</v>
      </c>
      <c r="B43" s="64">
        <v>0.40899999999999997</v>
      </c>
      <c r="C43" s="64">
        <v>0.44600000000000001</v>
      </c>
      <c r="D43" s="64">
        <v>0.58699999999999997</v>
      </c>
      <c r="E43" s="56">
        <v>0.63700000000000001</v>
      </c>
      <c r="F43" s="56">
        <v>0.66</v>
      </c>
      <c r="G43" s="56">
        <v>0.67</v>
      </c>
      <c r="H43" s="56">
        <v>0.66</v>
      </c>
      <c r="I43" s="56">
        <v>0.65</v>
      </c>
      <c r="J43" s="56">
        <v>0.55000000000000004</v>
      </c>
      <c r="K43" s="56">
        <v>0.52600000000000002</v>
      </c>
      <c r="L43" s="56">
        <v>0.53100000000000003</v>
      </c>
      <c r="M43" s="56">
        <v>0.51400000000000001</v>
      </c>
      <c r="N43" s="56">
        <v>0.498</v>
      </c>
      <c r="O43" s="56">
        <v>0.49099999999999999</v>
      </c>
      <c r="P43" s="56">
        <v>0.50600000000000001</v>
      </c>
      <c r="Q43" s="56"/>
      <c r="R43" s="715">
        <f t="shared" si="41"/>
        <v>0.55566666666666664</v>
      </c>
      <c r="S43" s="716">
        <f t="shared" si="42"/>
        <v>0.67</v>
      </c>
      <c r="T43" s="716">
        <f t="shared" si="2"/>
        <v>0.5718333333333333</v>
      </c>
    </row>
    <row r="44" spans="1:20" ht="14" x14ac:dyDescent="0.3">
      <c r="A44" s="544" t="s">
        <v>455</v>
      </c>
      <c r="B44" s="64">
        <v>0.42599999999999999</v>
      </c>
      <c r="C44" s="64">
        <v>0.42299999999999999</v>
      </c>
      <c r="D44" s="64">
        <v>0.58599999999999997</v>
      </c>
      <c r="E44" s="56">
        <v>0.64</v>
      </c>
      <c r="F44" s="56">
        <v>0.66</v>
      </c>
      <c r="G44" s="56">
        <v>0.67</v>
      </c>
      <c r="H44" s="56">
        <v>0.66</v>
      </c>
      <c r="I44" s="56">
        <v>0.65</v>
      </c>
      <c r="J44" s="56">
        <v>0.55000000000000004</v>
      </c>
      <c r="K44" s="56">
        <v>0.52600000000000002</v>
      </c>
      <c r="L44" s="56">
        <v>0.53200000000000003</v>
      </c>
      <c r="M44" s="56">
        <v>0.51400000000000001</v>
      </c>
      <c r="N44" s="56">
        <v>0.499</v>
      </c>
      <c r="O44" s="56">
        <v>0.49299999999999999</v>
      </c>
      <c r="P44" s="56">
        <v>0.50700000000000001</v>
      </c>
      <c r="Q44" s="56"/>
      <c r="R44" s="715">
        <f t="shared" si="41"/>
        <v>0.5557333333333333</v>
      </c>
      <c r="S44" s="716">
        <f t="shared" si="42"/>
        <v>0.67</v>
      </c>
      <c r="T44" s="716">
        <f t="shared" si="2"/>
        <v>0.57200000000000006</v>
      </c>
    </row>
    <row r="45" spans="1:20" ht="14" x14ac:dyDescent="0.3">
      <c r="A45" s="544" t="s">
        <v>160</v>
      </c>
      <c r="B45" s="64">
        <v>0.443</v>
      </c>
      <c r="C45" s="64">
        <v>0.505</v>
      </c>
      <c r="D45" s="64">
        <v>0.58699999999999997</v>
      </c>
      <c r="E45" s="56">
        <v>0.64</v>
      </c>
      <c r="F45" s="56">
        <v>0.65</v>
      </c>
      <c r="G45" s="56">
        <v>0.67</v>
      </c>
      <c r="H45" s="56">
        <v>0.66</v>
      </c>
      <c r="I45" s="56">
        <v>0.65</v>
      </c>
      <c r="J45" s="56">
        <v>0.55000000000000004</v>
      </c>
      <c r="K45" s="56">
        <v>0.52600000000000002</v>
      </c>
      <c r="L45" s="56">
        <v>0.53200000000000003</v>
      </c>
      <c r="M45" s="56">
        <v>0.51400000000000001</v>
      </c>
      <c r="N45" s="56">
        <v>0.499</v>
      </c>
      <c r="O45" s="56">
        <v>0.49299999999999999</v>
      </c>
      <c r="P45" s="56">
        <v>0.50700000000000001</v>
      </c>
      <c r="Q45" s="56"/>
      <c r="R45" s="715">
        <f t="shared" si="41"/>
        <v>0.56173333333333331</v>
      </c>
      <c r="S45" s="716">
        <f t="shared" si="42"/>
        <v>0.67</v>
      </c>
      <c r="T45" s="716">
        <f t="shared" si="2"/>
        <v>0.57200000000000006</v>
      </c>
    </row>
    <row r="46" spans="1:20" ht="14" x14ac:dyDescent="0.3">
      <c r="A46" s="544" t="s">
        <v>456</v>
      </c>
      <c r="B46" s="64">
        <v>0.46400000000000002</v>
      </c>
      <c r="C46" s="64">
        <v>0.53400000000000003</v>
      </c>
      <c r="D46" s="64">
        <v>0.59699999999999998</v>
      </c>
      <c r="E46" s="56">
        <v>0.65</v>
      </c>
      <c r="F46" s="56">
        <v>0.66</v>
      </c>
      <c r="G46" s="56">
        <v>0.67</v>
      </c>
      <c r="H46" s="56">
        <v>0.66</v>
      </c>
      <c r="I46" s="56">
        <v>0.65</v>
      </c>
      <c r="J46" s="56">
        <v>0.55000000000000004</v>
      </c>
      <c r="K46" s="56">
        <v>0.52600000000000002</v>
      </c>
      <c r="L46" s="56">
        <v>0.53200000000000003</v>
      </c>
      <c r="M46" s="56">
        <v>0.51400000000000001</v>
      </c>
      <c r="N46" s="56">
        <v>0.496</v>
      </c>
      <c r="O46" s="56">
        <v>0.49399999999999999</v>
      </c>
      <c r="P46" s="56">
        <v>0.50700000000000001</v>
      </c>
      <c r="Q46" s="56"/>
      <c r="R46" s="715">
        <f t="shared" si="41"/>
        <v>0.56693333333333329</v>
      </c>
      <c r="S46" s="716">
        <f t="shared" si="42"/>
        <v>0.67</v>
      </c>
      <c r="T46" s="716">
        <f t="shared" si="2"/>
        <v>0.57200000000000006</v>
      </c>
    </row>
    <row r="47" spans="1:20" ht="14" x14ac:dyDescent="0.3">
      <c r="A47" s="544" t="s">
        <v>161</v>
      </c>
      <c r="B47" s="64">
        <v>0.47399999999999998</v>
      </c>
      <c r="C47" s="64">
        <v>0.55900000000000005</v>
      </c>
      <c r="D47" s="64">
        <v>0.59899999999999998</v>
      </c>
      <c r="E47" s="56">
        <v>0.64500000000000002</v>
      </c>
      <c r="F47" s="56">
        <v>0.66</v>
      </c>
      <c r="G47" s="56">
        <v>0.67</v>
      </c>
      <c r="H47" s="56">
        <v>0.66</v>
      </c>
      <c r="I47" s="56">
        <v>0.65</v>
      </c>
      <c r="J47" s="56">
        <v>0.55000000000000004</v>
      </c>
      <c r="K47" s="56">
        <v>0.52600000000000002</v>
      </c>
      <c r="L47" s="56">
        <v>0.53200000000000003</v>
      </c>
      <c r="M47" s="56">
        <v>0.51400000000000001</v>
      </c>
      <c r="N47" s="56">
        <v>0.496</v>
      </c>
      <c r="O47" s="56">
        <v>0.49399999999999999</v>
      </c>
      <c r="P47" s="56">
        <v>0.50700000000000001</v>
      </c>
      <c r="Q47" s="56"/>
      <c r="R47" s="715">
        <f t="shared" si="41"/>
        <v>0.56906666666666661</v>
      </c>
      <c r="S47" s="716">
        <f t="shared" si="42"/>
        <v>0.67</v>
      </c>
      <c r="T47" s="716">
        <f t="shared" si="2"/>
        <v>0.57200000000000006</v>
      </c>
    </row>
    <row r="48" spans="1:20" ht="14" x14ac:dyDescent="0.3">
      <c r="A48" s="544" t="s">
        <v>162</v>
      </c>
      <c r="B48" s="32">
        <v>0.5</v>
      </c>
      <c r="C48" s="64">
        <v>0.58699999999999997</v>
      </c>
      <c r="D48" s="64">
        <v>0.59899999999999998</v>
      </c>
      <c r="E48" s="56">
        <v>0.64400000000000002</v>
      </c>
      <c r="F48" s="56">
        <v>0.66</v>
      </c>
      <c r="G48" s="56">
        <v>0.67</v>
      </c>
      <c r="H48" s="56">
        <v>0.66</v>
      </c>
      <c r="I48" s="56"/>
      <c r="J48" s="56"/>
      <c r="K48" s="56"/>
      <c r="L48" s="56"/>
      <c r="M48" s="56"/>
      <c r="N48" s="56">
        <v>0.495</v>
      </c>
      <c r="O48" s="56">
        <v>0.49399999999999999</v>
      </c>
      <c r="P48" s="56"/>
      <c r="Q48" s="56"/>
      <c r="R48" s="715">
        <f t="shared" si="41"/>
        <v>0.58988888888888891</v>
      </c>
      <c r="S48" s="716">
        <f t="shared" si="42"/>
        <v>0.67</v>
      </c>
      <c r="T48" s="716">
        <f t="shared" si="2"/>
        <v>0.66</v>
      </c>
    </row>
    <row r="49" spans="1:20" ht="14" x14ac:dyDescent="0.3">
      <c r="A49" s="544" t="s">
        <v>163</v>
      </c>
      <c r="B49" s="64"/>
      <c r="C49" s="64"/>
      <c r="D49" s="64"/>
      <c r="E49" s="56"/>
      <c r="F49" s="56"/>
      <c r="G49" s="56"/>
      <c r="H49" s="56"/>
      <c r="I49" s="56"/>
      <c r="J49" s="56"/>
      <c r="K49" s="56"/>
      <c r="L49" s="56"/>
      <c r="M49" s="56"/>
      <c r="N49" s="56">
        <v>0.496</v>
      </c>
      <c r="O49" s="56"/>
      <c r="P49" s="56"/>
      <c r="Q49" s="56"/>
      <c r="R49" s="715"/>
      <c r="S49" s="716"/>
      <c r="T49" s="716"/>
    </row>
    <row r="50" spans="1:20" x14ac:dyDescent="0.3">
      <c r="A50" s="544" t="s">
        <v>822</v>
      </c>
      <c r="B50" s="32">
        <f>AVERAGE(B40:B43)</f>
        <v>0.40725</v>
      </c>
      <c r="C50" s="32">
        <f t="shared" ref="C50" si="43">AVERAGE(C40:C43)</f>
        <v>0.43574999999999997</v>
      </c>
      <c r="D50" s="32">
        <f t="shared" ref="D50:E50" si="44">AVERAGE(D40:D43)</f>
        <v>0.58325000000000005</v>
      </c>
      <c r="E50" s="32">
        <f t="shared" si="44"/>
        <v>0.63775000000000004</v>
      </c>
      <c r="F50" s="32">
        <f t="shared" ref="F50:G50" si="45">AVERAGE(F40:F43)</f>
        <v>0.66</v>
      </c>
      <c r="G50" s="32">
        <f t="shared" si="45"/>
        <v>0.67</v>
      </c>
      <c r="H50" s="32">
        <f t="shared" ref="H50:I50" si="46">AVERAGE(H40:H43)</f>
        <v>0.66</v>
      </c>
      <c r="I50" s="32">
        <f t="shared" si="46"/>
        <v>0.65</v>
      </c>
      <c r="J50" s="32">
        <f t="shared" ref="J50:K50" si="47">AVERAGE(J40:J43)</f>
        <v>0.55000000000000004</v>
      </c>
      <c r="K50" s="32">
        <f t="shared" si="47"/>
        <v>0.52600000000000002</v>
      </c>
      <c r="L50" s="32">
        <f t="shared" ref="L50:M50" si="48">AVERAGE(L40:L43)</f>
        <v>0.53100000000000003</v>
      </c>
      <c r="M50" s="32">
        <f t="shared" si="48"/>
        <v>0.51400000000000001</v>
      </c>
      <c r="N50" s="32">
        <f t="shared" ref="N50:O50" si="49">AVERAGE(N40:N43)</f>
        <v>0.498</v>
      </c>
      <c r="O50" s="32">
        <f t="shared" si="49"/>
        <v>0.49124999999999996</v>
      </c>
      <c r="P50" s="32">
        <f t="shared" ref="P50:T50" si="50">AVERAGE(P40:P43)</f>
        <v>0.50600000000000001</v>
      </c>
      <c r="Q50" s="32"/>
      <c r="R50" s="32">
        <f t="shared" si="50"/>
        <v>0.55468333333333331</v>
      </c>
      <c r="S50" s="32">
        <f t="shared" si="50"/>
        <v>0.67</v>
      </c>
      <c r="T50" s="32">
        <f t="shared" si="50"/>
        <v>0.5718333333333333</v>
      </c>
    </row>
    <row r="51" spans="1:20" x14ac:dyDescent="0.3">
      <c r="A51" s="544" t="s">
        <v>823</v>
      </c>
      <c r="B51" s="32">
        <f>AVERAGE(B40:B49)</f>
        <v>0.43733333333333335</v>
      </c>
      <c r="C51" s="32">
        <f t="shared" ref="C51" si="51">AVERAGE(C40:C49)</f>
        <v>0.48344444444444445</v>
      </c>
      <c r="D51" s="32">
        <f t="shared" ref="D51:E51" si="52">AVERAGE(D40:D49)</f>
        <v>0.58899999999999997</v>
      </c>
      <c r="E51" s="32">
        <f t="shared" si="52"/>
        <v>0.6411111111111113</v>
      </c>
      <c r="F51" s="32">
        <f t="shared" ref="F51:G51" si="53">AVERAGE(F40:F49)</f>
        <v>0.65888888888888897</v>
      </c>
      <c r="G51" s="32">
        <f t="shared" si="53"/>
        <v>0.67</v>
      </c>
      <c r="H51" s="32">
        <f t="shared" ref="H51:I51" si="54">AVERAGE(H40:H49)</f>
        <v>0.66</v>
      </c>
      <c r="I51" s="32">
        <f t="shared" si="54"/>
        <v>0.65</v>
      </c>
      <c r="J51" s="32">
        <f t="shared" ref="J51:K51" si="55">AVERAGE(J40:J49)</f>
        <v>0.54999999999999993</v>
      </c>
      <c r="K51" s="32">
        <f t="shared" si="55"/>
        <v>0.52599999999999991</v>
      </c>
      <c r="L51" s="32">
        <f t="shared" ref="L51:M51" si="56">AVERAGE(L40:L49)</f>
        <v>0.53150000000000008</v>
      </c>
      <c r="M51" s="32">
        <f t="shared" si="56"/>
        <v>0.51400000000000012</v>
      </c>
      <c r="N51" s="32">
        <f t="shared" ref="N51:O51" si="57">AVERAGE(N40:N49)</f>
        <v>0.49730000000000008</v>
      </c>
      <c r="O51" s="32">
        <f t="shared" si="57"/>
        <v>0.49255555555555541</v>
      </c>
      <c r="P51" s="32">
        <f t="shared" ref="P51:T51" si="58">AVERAGE(P40:P49)</f>
        <v>0.50650000000000006</v>
      </c>
      <c r="Q51" s="32"/>
      <c r="R51" s="32">
        <f t="shared" si="58"/>
        <v>0.56245432098765424</v>
      </c>
      <c r="S51" s="32">
        <f t="shared" si="58"/>
        <v>0.67</v>
      </c>
      <c r="T51" s="32">
        <f t="shared" si="58"/>
        <v>0.58170370370370383</v>
      </c>
    </row>
    <row r="52" spans="1:20" ht="15.5" x14ac:dyDescent="0.35">
      <c r="A52" s="798" t="s">
        <v>806</v>
      </c>
      <c r="B52" s="799"/>
      <c r="C52" s="799"/>
      <c r="D52" s="799"/>
      <c r="E52" s="799"/>
      <c r="F52" s="799"/>
      <c r="G52" s="799"/>
      <c r="H52" s="799"/>
      <c r="I52" s="799"/>
      <c r="J52" s="799"/>
      <c r="K52" s="799"/>
      <c r="L52" s="799"/>
      <c r="M52" s="799"/>
      <c r="N52" s="799"/>
      <c r="O52" s="799"/>
      <c r="P52" s="799"/>
      <c r="Q52" s="799"/>
      <c r="R52" s="799"/>
      <c r="S52" s="799"/>
      <c r="T52" s="800"/>
    </row>
    <row r="53" spans="1:20" ht="14" x14ac:dyDescent="0.3">
      <c r="A53" s="544" t="s">
        <v>453</v>
      </c>
      <c r="B53" s="64">
        <v>0.39200000000000002</v>
      </c>
      <c r="C53" s="64">
        <v>0.44</v>
      </c>
      <c r="D53" s="64">
        <v>0.59499999999999997</v>
      </c>
      <c r="E53" s="56">
        <v>0.65</v>
      </c>
      <c r="F53" s="56">
        <v>0.66</v>
      </c>
      <c r="G53" s="56">
        <v>0.68</v>
      </c>
      <c r="H53" s="56">
        <v>0.66</v>
      </c>
      <c r="I53" s="56">
        <v>0.65</v>
      </c>
      <c r="J53" s="56">
        <v>0.55000000000000004</v>
      </c>
      <c r="K53" s="56">
        <v>0.52600000000000002</v>
      </c>
      <c r="L53" s="56">
        <v>0.53100000000000003</v>
      </c>
      <c r="M53" s="56">
        <v>0.51300000000000001</v>
      </c>
      <c r="N53" s="56">
        <v>0.5</v>
      </c>
      <c r="O53" s="56">
        <v>0.49299999999999999</v>
      </c>
      <c r="P53" s="56">
        <v>0.50700000000000001</v>
      </c>
      <c r="Q53" s="56">
        <v>0.52800000000000002</v>
      </c>
      <c r="R53" s="715">
        <f>AVERAGE(B53:Q53)</f>
        <v>0.5546875</v>
      </c>
      <c r="S53" s="716">
        <f t="shared" ref="S53:S59" si="59">MAX(B53:Q53)</f>
        <v>0.68</v>
      </c>
      <c r="T53" s="716">
        <f t="shared" si="2"/>
        <v>0.57166666666666666</v>
      </c>
    </row>
    <row r="54" spans="1:20" ht="14" x14ac:dyDescent="0.3">
      <c r="A54" s="544" t="s">
        <v>158</v>
      </c>
      <c r="B54" s="64">
        <v>0.40200000000000002</v>
      </c>
      <c r="C54" s="64">
        <v>0.441</v>
      </c>
      <c r="D54" s="64">
        <v>0.59499999999999997</v>
      </c>
      <c r="E54" s="56">
        <v>0.65</v>
      </c>
      <c r="F54" s="56">
        <v>0.66</v>
      </c>
      <c r="G54" s="56">
        <v>0.68</v>
      </c>
      <c r="H54" s="56">
        <v>0.66</v>
      </c>
      <c r="I54" s="56">
        <v>0.65</v>
      </c>
      <c r="J54" s="56">
        <v>0.55000000000000004</v>
      </c>
      <c r="K54" s="56">
        <v>0.52600000000000002</v>
      </c>
      <c r="L54" s="56">
        <v>0.53</v>
      </c>
      <c r="M54" s="56">
        <v>0.51400000000000001</v>
      </c>
      <c r="N54" s="56">
        <v>0.499</v>
      </c>
      <c r="O54" s="56">
        <v>0.49399999999999999</v>
      </c>
      <c r="P54" s="56">
        <v>0.50800000000000001</v>
      </c>
      <c r="Q54" s="56">
        <v>0.52900000000000003</v>
      </c>
      <c r="R54" s="715">
        <f t="shared" ref="R54:R59" si="60">AVERAGE(B54:Q54)</f>
        <v>0.55549999999999999</v>
      </c>
      <c r="S54" s="716">
        <f t="shared" si="59"/>
        <v>0.68</v>
      </c>
      <c r="T54" s="716">
        <f t="shared" si="2"/>
        <v>0.57166666666666677</v>
      </c>
    </row>
    <row r="55" spans="1:20" ht="14" x14ac:dyDescent="0.3">
      <c r="A55" s="544" t="s">
        <v>454</v>
      </c>
      <c r="B55" s="64">
        <v>0.40500000000000003</v>
      </c>
      <c r="C55" s="64">
        <v>0.442</v>
      </c>
      <c r="D55" s="64">
        <v>0.59799999999999998</v>
      </c>
      <c r="E55" s="56">
        <v>0.65</v>
      </c>
      <c r="F55" s="56">
        <v>0.66</v>
      </c>
      <c r="G55" s="56">
        <v>0.68</v>
      </c>
      <c r="H55" s="56">
        <v>0.66</v>
      </c>
      <c r="I55" s="56">
        <v>0.65</v>
      </c>
      <c r="J55" s="56">
        <v>0.55000000000000004</v>
      </c>
      <c r="K55" s="56">
        <v>0.52600000000000002</v>
      </c>
      <c r="L55" s="56">
        <v>0.53</v>
      </c>
      <c r="M55" s="56">
        <v>0.51400000000000001</v>
      </c>
      <c r="N55" s="56">
        <v>0.5</v>
      </c>
      <c r="O55" s="56">
        <v>0.49299999999999999</v>
      </c>
      <c r="P55" s="56">
        <v>0.51100000000000001</v>
      </c>
      <c r="Q55" s="56">
        <v>0.54100000000000004</v>
      </c>
      <c r="R55" s="715">
        <f t="shared" si="60"/>
        <v>0.55687500000000001</v>
      </c>
      <c r="S55" s="716">
        <f t="shared" si="59"/>
        <v>0.68</v>
      </c>
      <c r="T55" s="716">
        <f t="shared" si="2"/>
        <v>0.57166666666666677</v>
      </c>
    </row>
    <row r="56" spans="1:20" ht="14" x14ac:dyDescent="0.3">
      <c r="A56" s="544" t="s">
        <v>159</v>
      </c>
      <c r="B56" s="64">
        <v>0.41899999999999998</v>
      </c>
      <c r="C56" s="64">
        <v>0.45</v>
      </c>
      <c r="D56" s="64">
        <v>0.59699999999999998</v>
      </c>
      <c r="E56" s="56">
        <v>0.68</v>
      </c>
      <c r="F56" s="56">
        <v>0.68</v>
      </c>
      <c r="G56" s="56">
        <v>0.73</v>
      </c>
      <c r="H56" s="56">
        <v>0.66</v>
      </c>
      <c r="I56" s="56">
        <v>0.65</v>
      </c>
      <c r="J56" s="56">
        <v>0.55000000000000004</v>
      </c>
      <c r="K56" s="56">
        <v>0.52600000000000002</v>
      </c>
      <c r="L56" s="56">
        <v>0.53300000000000003</v>
      </c>
      <c r="M56" s="56">
        <v>0.51400000000000001</v>
      </c>
      <c r="N56" s="56">
        <v>0.503</v>
      </c>
      <c r="O56" s="56">
        <v>0.49299999999999999</v>
      </c>
      <c r="P56" s="56">
        <v>0.51</v>
      </c>
      <c r="Q56" s="56"/>
      <c r="R56" s="715">
        <f t="shared" si="60"/>
        <v>0.56633333333333336</v>
      </c>
      <c r="S56" s="716">
        <f t="shared" si="59"/>
        <v>0.73</v>
      </c>
      <c r="T56" s="716">
        <f t="shared" si="2"/>
        <v>0.5721666666666666</v>
      </c>
    </row>
    <row r="57" spans="1:20" ht="14" x14ac:dyDescent="0.3">
      <c r="A57" s="544" t="s">
        <v>455</v>
      </c>
      <c r="B57" s="64">
        <v>0.46899999999999997</v>
      </c>
      <c r="C57" s="64">
        <v>0.47799999999999998</v>
      </c>
      <c r="D57" s="64">
        <v>0.61399999999999999</v>
      </c>
      <c r="E57" s="56">
        <v>0.67</v>
      </c>
      <c r="F57" s="56">
        <v>0.65</v>
      </c>
      <c r="G57" s="56"/>
      <c r="H57" s="56">
        <v>0.66</v>
      </c>
      <c r="I57" s="56">
        <v>0.65</v>
      </c>
      <c r="J57" s="56">
        <v>0.55000000000000004</v>
      </c>
      <c r="K57" s="56">
        <v>0.52700000000000002</v>
      </c>
      <c r="L57" s="56"/>
      <c r="M57" s="56">
        <v>0.51400000000000001</v>
      </c>
      <c r="N57" s="56">
        <v>0.503</v>
      </c>
      <c r="O57" s="56">
        <v>0.49399999999999999</v>
      </c>
      <c r="P57" s="56"/>
      <c r="Q57" s="56"/>
      <c r="R57" s="715">
        <f t="shared" si="60"/>
        <v>0.56491666666666662</v>
      </c>
      <c r="S57" s="716">
        <f t="shared" si="59"/>
        <v>0.67</v>
      </c>
      <c r="T57" s="716">
        <f t="shared" si="2"/>
        <v>0.58019999999999994</v>
      </c>
    </row>
    <row r="58" spans="1:20" ht="14" x14ac:dyDescent="0.3">
      <c r="A58" s="544" t="s">
        <v>160</v>
      </c>
      <c r="B58" s="64"/>
      <c r="C58" s="64">
        <v>0.52200000000000002</v>
      </c>
      <c r="D58" s="64"/>
      <c r="E58" s="56">
        <v>0.71</v>
      </c>
      <c r="F58" s="56">
        <v>0.65</v>
      </c>
      <c r="G58" s="56"/>
      <c r="H58" s="56">
        <v>0.66</v>
      </c>
      <c r="I58" s="56">
        <v>0.65</v>
      </c>
      <c r="J58" s="56">
        <v>0.55000000000000004</v>
      </c>
      <c r="K58" s="56">
        <v>0.52900000000000003</v>
      </c>
      <c r="L58" s="56"/>
      <c r="M58" s="56">
        <v>0.51600000000000001</v>
      </c>
      <c r="N58" s="56"/>
      <c r="O58" s="56">
        <v>0.495</v>
      </c>
      <c r="P58" s="56"/>
      <c r="Q58" s="56"/>
      <c r="R58" s="715">
        <f t="shared" si="60"/>
        <v>0.5868888888888889</v>
      </c>
      <c r="S58" s="716">
        <f t="shared" si="59"/>
        <v>0.71</v>
      </c>
      <c r="T58" s="716">
        <f t="shared" si="2"/>
        <v>0.58100000000000007</v>
      </c>
    </row>
    <row r="59" spans="1:20" ht="14" x14ac:dyDescent="0.3">
      <c r="A59" s="544" t="s">
        <v>456</v>
      </c>
      <c r="B59" s="64"/>
      <c r="C59" s="64">
        <v>0.54</v>
      </c>
      <c r="D59" s="64"/>
      <c r="E59" s="56">
        <v>0.75</v>
      </c>
      <c r="F59" s="56">
        <v>0.65</v>
      </c>
      <c r="G59" s="56"/>
      <c r="H59" s="56">
        <v>0.66</v>
      </c>
      <c r="I59" s="56">
        <v>0.67</v>
      </c>
      <c r="J59" s="56"/>
      <c r="K59" s="56"/>
      <c r="L59" s="56"/>
      <c r="M59" s="56"/>
      <c r="N59" s="56"/>
      <c r="O59" s="56">
        <v>0.497</v>
      </c>
      <c r="P59" s="56"/>
      <c r="Q59" s="56"/>
      <c r="R59" s="715">
        <f t="shared" si="60"/>
        <v>0.62783333333333335</v>
      </c>
      <c r="S59" s="716">
        <f t="shared" si="59"/>
        <v>0.75</v>
      </c>
      <c r="T59" s="716">
        <f t="shared" si="2"/>
        <v>0.66500000000000004</v>
      </c>
    </row>
    <row r="60" spans="1:20" ht="14" x14ac:dyDescent="0.3">
      <c r="A60" s="544" t="s">
        <v>161</v>
      </c>
      <c r="B60" s="64"/>
      <c r="C60" s="64"/>
      <c r="D60" s="64"/>
      <c r="E60" s="56"/>
      <c r="F60" s="56"/>
      <c r="G60" s="56"/>
      <c r="H60" s="56">
        <v>0.69</v>
      </c>
      <c r="I60" s="56"/>
      <c r="J60" s="56"/>
      <c r="K60" s="56"/>
      <c r="L60" s="56"/>
      <c r="M60" s="56"/>
      <c r="N60" s="56"/>
      <c r="O60" s="56"/>
      <c r="P60" s="56"/>
      <c r="Q60" s="56"/>
      <c r="R60" s="715"/>
      <c r="S60" s="716"/>
      <c r="T60" s="716">
        <f t="shared" si="2"/>
        <v>0.69</v>
      </c>
    </row>
    <row r="61" spans="1:20" x14ac:dyDescent="0.3">
      <c r="A61" s="544" t="s">
        <v>822</v>
      </c>
      <c r="B61" s="32">
        <f t="shared" ref="B61:O61" si="61">AVERAGE(B53:B56)</f>
        <v>0.40450000000000003</v>
      </c>
      <c r="C61" s="32">
        <f t="shared" si="61"/>
        <v>0.44324999999999998</v>
      </c>
      <c r="D61" s="32">
        <f t="shared" si="61"/>
        <v>0.59624999999999995</v>
      </c>
      <c r="E61" s="32">
        <f t="shared" si="61"/>
        <v>0.65750000000000008</v>
      </c>
      <c r="F61" s="32">
        <f t="shared" si="61"/>
        <v>0.66500000000000004</v>
      </c>
      <c r="G61" s="32">
        <f t="shared" si="61"/>
        <v>0.6925</v>
      </c>
      <c r="H61" s="32">
        <f t="shared" si="61"/>
        <v>0.66</v>
      </c>
      <c r="I61" s="32">
        <f t="shared" si="61"/>
        <v>0.65</v>
      </c>
      <c r="J61" s="32">
        <f t="shared" si="61"/>
        <v>0.55000000000000004</v>
      </c>
      <c r="K61" s="32">
        <f t="shared" si="61"/>
        <v>0.52600000000000002</v>
      </c>
      <c r="L61" s="32">
        <f t="shared" si="61"/>
        <v>0.53100000000000003</v>
      </c>
      <c r="M61" s="32">
        <f t="shared" si="61"/>
        <v>0.51375000000000004</v>
      </c>
      <c r="N61" s="32">
        <f t="shared" si="61"/>
        <v>0.50050000000000006</v>
      </c>
      <c r="O61" s="32">
        <f t="shared" si="61"/>
        <v>0.49324999999999997</v>
      </c>
      <c r="P61" s="32">
        <f t="shared" ref="P61:Q61" si="62">AVERAGE(P53:P56)</f>
        <v>0.50900000000000012</v>
      </c>
      <c r="Q61" s="32">
        <f t="shared" si="62"/>
        <v>0.53266666666666662</v>
      </c>
      <c r="R61" s="32">
        <f t="shared" ref="R61:T61" si="63">AVERAGE(R53:R56)</f>
        <v>0.55834895833333331</v>
      </c>
      <c r="S61" s="32">
        <f t="shared" si="63"/>
        <v>0.6925</v>
      </c>
      <c r="T61" s="32">
        <f t="shared" si="63"/>
        <v>0.5717916666666667</v>
      </c>
    </row>
    <row r="62" spans="1:20" x14ac:dyDescent="0.3">
      <c r="A62" s="544" t="s">
        <v>823</v>
      </c>
      <c r="B62" s="32">
        <f>AVERAGE(B53:B60)</f>
        <v>0.41740000000000005</v>
      </c>
      <c r="C62" s="32">
        <f t="shared" ref="C62" si="64">AVERAGE(C53:C60)</f>
        <v>0.47328571428571425</v>
      </c>
      <c r="D62" s="32">
        <f t="shared" ref="D62:E62" si="65">AVERAGE(D53:D60)</f>
        <v>0.59979999999999989</v>
      </c>
      <c r="E62" s="32">
        <f t="shared" si="65"/>
        <v>0.67999999999999994</v>
      </c>
      <c r="F62" s="32">
        <f t="shared" ref="F62:G62" si="66">AVERAGE(F53:F60)</f>
        <v>0.65857142857142859</v>
      </c>
      <c r="G62" s="32">
        <f t="shared" si="66"/>
        <v>0.6925</v>
      </c>
      <c r="H62" s="32">
        <f t="shared" ref="H62:I62" si="67">AVERAGE(H53:H60)</f>
        <v>0.66375000000000006</v>
      </c>
      <c r="I62" s="32">
        <f t="shared" si="67"/>
        <v>0.65285714285714291</v>
      </c>
      <c r="J62" s="32">
        <f t="shared" ref="J62:K62" si="68">AVERAGE(J53:J60)</f>
        <v>0.54999999999999993</v>
      </c>
      <c r="K62" s="32">
        <f t="shared" si="68"/>
        <v>0.52666666666666673</v>
      </c>
      <c r="L62" s="32">
        <f t="shared" ref="L62:M62" si="69">AVERAGE(L53:L60)</f>
        <v>0.53100000000000003</v>
      </c>
      <c r="M62" s="32">
        <f t="shared" si="69"/>
        <v>0.51416666666666666</v>
      </c>
      <c r="N62" s="32">
        <f t="shared" ref="N62:O62" si="70">AVERAGE(N53:N60)</f>
        <v>0.50100000000000011</v>
      </c>
      <c r="O62" s="32">
        <f t="shared" si="70"/>
        <v>0.49414285714285711</v>
      </c>
      <c r="P62" s="32">
        <f t="shared" ref="P62:Q62" si="71">AVERAGE(P53:P60)</f>
        <v>0.50900000000000012</v>
      </c>
      <c r="Q62" s="32">
        <f t="shared" si="71"/>
        <v>0.53266666666666662</v>
      </c>
      <c r="R62" s="32">
        <f t="shared" ref="R62:T62" si="72">AVERAGE(R53:R60)</f>
        <v>0.57329067460317451</v>
      </c>
      <c r="S62" s="32">
        <f t="shared" si="72"/>
        <v>0.70000000000000007</v>
      </c>
      <c r="T62" s="32">
        <f t="shared" si="72"/>
        <v>0.6004208333333334</v>
      </c>
    </row>
    <row r="63" spans="1:20" ht="15.5" x14ac:dyDescent="0.35">
      <c r="A63" s="798" t="s">
        <v>807</v>
      </c>
      <c r="B63" s="799"/>
      <c r="C63" s="799"/>
      <c r="D63" s="799"/>
      <c r="E63" s="799"/>
      <c r="F63" s="799"/>
      <c r="G63" s="799"/>
      <c r="H63" s="799"/>
      <c r="I63" s="799"/>
      <c r="J63" s="799"/>
      <c r="K63" s="799"/>
      <c r="L63" s="799"/>
      <c r="M63" s="799"/>
      <c r="N63" s="799"/>
      <c r="O63" s="799"/>
      <c r="P63" s="799"/>
      <c r="Q63" s="799"/>
      <c r="R63" s="799"/>
      <c r="S63" s="799"/>
      <c r="T63" s="800"/>
    </row>
    <row r="64" spans="1:20" ht="14" x14ac:dyDescent="0.3">
      <c r="A64" s="544" t="s">
        <v>453</v>
      </c>
      <c r="B64" s="32">
        <v>0.38800000000000001</v>
      </c>
      <c r="C64" s="32">
        <v>0.42799999999999999</v>
      </c>
      <c r="D64" s="32">
        <v>0.57599999999999996</v>
      </c>
      <c r="E64" s="392">
        <v>0.65</v>
      </c>
      <c r="F64" s="392">
        <v>0.66</v>
      </c>
      <c r="G64" s="392">
        <v>0.66</v>
      </c>
      <c r="H64" s="392">
        <v>0.66</v>
      </c>
      <c r="I64" s="392">
        <v>0.65</v>
      </c>
      <c r="J64" s="392">
        <v>0.55000000000000004</v>
      </c>
      <c r="K64" s="392">
        <v>0.52600000000000002</v>
      </c>
      <c r="L64" s="392">
        <v>0.53100000000000003</v>
      </c>
      <c r="M64" s="392">
        <v>0.51300000000000001</v>
      </c>
      <c r="N64" s="392">
        <v>0.497</v>
      </c>
      <c r="O64" s="392">
        <v>0.49299999999999999</v>
      </c>
      <c r="P64" s="392">
        <v>0.501</v>
      </c>
      <c r="Q64" s="392">
        <v>0.53</v>
      </c>
      <c r="R64" s="715">
        <f>AVERAGE(B64:Q64)</f>
        <v>0.55081249999999993</v>
      </c>
      <c r="S64" s="716">
        <f t="shared" ref="S64:S73" si="73">MAX(B64:Q64)</f>
        <v>0.66</v>
      </c>
      <c r="T64" s="716">
        <f t="shared" si="2"/>
        <v>0.57166666666666666</v>
      </c>
    </row>
    <row r="65" spans="1:20" ht="14" x14ac:dyDescent="0.3">
      <c r="A65" s="544" t="s">
        <v>158</v>
      </c>
      <c r="B65" s="32">
        <v>0.40300000000000002</v>
      </c>
      <c r="C65" s="32">
        <v>0.43099999999999999</v>
      </c>
      <c r="D65" s="32">
        <v>0.57599999999999996</v>
      </c>
      <c r="E65" s="392">
        <v>0.64</v>
      </c>
      <c r="F65" s="392">
        <v>0.66</v>
      </c>
      <c r="G65" s="392">
        <v>0.66</v>
      </c>
      <c r="H65" s="392">
        <v>0.66</v>
      </c>
      <c r="I65" s="392">
        <v>0.65</v>
      </c>
      <c r="J65" s="392">
        <v>0.55000000000000004</v>
      </c>
      <c r="K65" s="392">
        <v>0.52600000000000002</v>
      </c>
      <c r="L65" s="392">
        <v>0.53100000000000003</v>
      </c>
      <c r="M65" s="392">
        <v>0.51400000000000001</v>
      </c>
      <c r="N65" s="392">
        <v>0.497</v>
      </c>
      <c r="O65" s="392">
        <v>0.48899999999999999</v>
      </c>
      <c r="P65" s="392">
        <v>0.501</v>
      </c>
      <c r="Q65" s="392">
        <v>0.52700000000000002</v>
      </c>
      <c r="R65" s="715">
        <f t="shared" ref="R65:R73" si="74">AVERAGE(B65:Q65)</f>
        <v>0.55093749999999997</v>
      </c>
      <c r="S65" s="716">
        <f t="shared" si="73"/>
        <v>0.66</v>
      </c>
      <c r="T65" s="716">
        <f t="shared" si="2"/>
        <v>0.5718333333333333</v>
      </c>
    </row>
    <row r="66" spans="1:20" ht="14" x14ac:dyDescent="0.3">
      <c r="A66" s="544" t="s">
        <v>454</v>
      </c>
      <c r="B66" s="32">
        <v>0.41</v>
      </c>
      <c r="C66" s="32">
        <v>0.438</v>
      </c>
      <c r="D66" s="32">
        <v>0.57599999999999996</v>
      </c>
      <c r="E66" s="392">
        <v>0.64</v>
      </c>
      <c r="F66" s="392">
        <v>0.66</v>
      </c>
      <c r="G66" s="392">
        <v>0.67</v>
      </c>
      <c r="H66" s="392">
        <v>0.66</v>
      </c>
      <c r="I66" s="392">
        <v>0.65</v>
      </c>
      <c r="J66" s="392">
        <v>0.55000000000000004</v>
      </c>
      <c r="K66" s="392">
        <v>0.52600000000000002</v>
      </c>
      <c r="L66" s="392">
        <v>0.53</v>
      </c>
      <c r="M66" s="392">
        <v>0.51400000000000001</v>
      </c>
      <c r="N66" s="392">
        <v>0.497</v>
      </c>
      <c r="O66" s="392">
        <v>0.48799999999999999</v>
      </c>
      <c r="P66" s="392">
        <v>0.502</v>
      </c>
      <c r="Q66" s="392">
        <v>0.52800000000000002</v>
      </c>
      <c r="R66" s="715">
        <f t="shared" si="74"/>
        <v>0.55243750000000014</v>
      </c>
      <c r="S66" s="716">
        <f t="shared" si="73"/>
        <v>0.67</v>
      </c>
      <c r="T66" s="716">
        <f t="shared" si="2"/>
        <v>0.57166666666666677</v>
      </c>
    </row>
    <row r="67" spans="1:20" ht="14" x14ac:dyDescent="0.3">
      <c r="A67" s="544" t="s">
        <v>159</v>
      </c>
      <c r="B67" s="32">
        <v>0.42699999999999999</v>
      </c>
      <c r="C67" s="32">
        <v>0.44400000000000001</v>
      </c>
      <c r="D67" s="32">
        <v>0.57599999999999996</v>
      </c>
      <c r="E67" s="392">
        <v>0.64</v>
      </c>
      <c r="F67" s="392">
        <v>0.66</v>
      </c>
      <c r="G67" s="392">
        <v>0.67</v>
      </c>
      <c r="H67" s="392">
        <v>0.66</v>
      </c>
      <c r="I67" s="392">
        <v>0.65</v>
      </c>
      <c r="J67" s="392">
        <v>0.55000000000000004</v>
      </c>
      <c r="K67" s="392">
        <v>0.52600000000000002</v>
      </c>
      <c r="L67" s="392">
        <v>0.53300000000000003</v>
      </c>
      <c r="M67" s="392">
        <v>0.51400000000000001</v>
      </c>
      <c r="N67" s="392">
        <v>0.497</v>
      </c>
      <c r="O67" s="392">
        <v>0.49</v>
      </c>
      <c r="P67" s="392">
        <v>0.502</v>
      </c>
      <c r="Q67" s="392">
        <v>0.52900000000000003</v>
      </c>
      <c r="R67" s="715">
        <f t="shared" si="74"/>
        <v>0.55425000000000002</v>
      </c>
      <c r="S67" s="716">
        <f t="shared" si="73"/>
        <v>0.67</v>
      </c>
      <c r="T67" s="716">
        <f t="shared" si="2"/>
        <v>0.5721666666666666</v>
      </c>
    </row>
    <row r="68" spans="1:20" ht="14" x14ac:dyDescent="0.3">
      <c r="A68" s="544" t="s">
        <v>455</v>
      </c>
      <c r="B68" s="32">
        <v>0.43099999999999999</v>
      </c>
      <c r="C68" s="32">
        <v>0.47</v>
      </c>
      <c r="D68" s="32">
        <v>0.57599999999999996</v>
      </c>
      <c r="E68" s="392">
        <v>0.64</v>
      </c>
      <c r="F68" s="392">
        <v>0.66</v>
      </c>
      <c r="G68" s="392">
        <v>0.67</v>
      </c>
      <c r="H68" s="392">
        <v>0.66</v>
      </c>
      <c r="I68" s="392">
        <v>0.65</v>
      </c>
      <c r="J68" s="392">
        <v>0.55000000000000004</v>
      </c>
      <c r="K68" s="392">
        <v>0.52600000000000002</v>
      </c>
      <c r="L68" s="392">
        <v>0.53100000000000003</v>
      </c>
      <c r="M68" s="392">
        <v>0.51300000000000001</v>
      </c>
      <c r="N68" s="392">
        <v>0.497</v>
      </c>
      <c r="O68" s="392">
        <v>0.49</v>
      </c>
      <c r="P68" s="392">
        <v>0.502</v>
      </c>
      <c r="Q68" s="392">
        <v>0.52900000000000003</v>
      </c>
      <c r="R68" s="715">
        <f t="shared" si="74"/>
        <v>0.55593749999999997</v>
      </c>
      <c r="S68" s="716">
        <f t="shared" si="73"/>
        <v>0.67</v>
      </c>
      <c r="T68" s="716">
        <f t="shared" ref="T68:T73" si="75">AVERAGE(H68:M68)</f>
        <v>0.57166666666666666</v>
      </c>
    </row>
    <row r="69" spans="1:20" ht="14" x14ac:dyDescent="0.3">
      <c r="A69" s="544" t="s">
        <v>160</v>
      </c>
      <c r="B69" s="32">
        <v>0.45800000000000002</v>
      </c>
      <c r="C69" s="32">
        <v>0.499</v>
      </c>
      <c r="D69" s="32">
        <v>0.57499999999999996</v>
      </c>
      <c r="E69" s="392">
        <v>0.63700000000000001</v>
      </c>
      <c r="F69" s="392">
        <v>0.66</v>
      </c>
      <c r="G69" s="392">
        <v>0.67</v>
      </c>
      <c r="H69" s="392">
        <v>0.66</v>
      </c>
      <c r="I69" s="392">
        <v>0.65</v>
      </c>
      <c r="J69" s="392">
        <v>0.55000000000000004</v>
      </c>
      <c r="K69" s="392">
        <v>0.52600000000000002</v>
      </c>
      <c r="L69" s="392">
        <v>0.53</v>
      </c>
      <c r="M69" s="392">
        <v>0.51300000000000001</v>
      </c>
      <c r="N69" s="392">
        <v>0.497</v>
      </c>
      <c r="O69" s="392">
        <v>0.48899999999999999</v>
      </c>
      <c r="P69" s="392">
        <v>0.502</v>
      </c>
      <c r="Q69" s="392">
        <v>0.53</v>
      </c>
      <c r="R69" s="715">
        <f t="shared" si="74"/>
        <v>0.55912499999999998</v>
      </c>
      <c r="S69" s="716">
        <f t="shared" si="73"/>
        <v>0.67</v>
      </c>
      <c r="T69" s="716">
        <f t="shared" si="75"/>
        <v>0.57150000000000001</v>
      </c>
    </row>
    <row r="70" spans="1:20" ht="14" x14ac:dyDescent="0.3">
      <c r="A70" s="544" t="s">
        <v>456</v>
      </c>
      <c r="B70" s="32">
        <v>0.46800000000000003</v>
      </c>
      <c r="C70" s="32">
        <v>0.52600000000000002</v>
      </c>
      <c r="D70" s="32">
        <v>0.57499999999999996</v>
      </c>
      <c r="E70" s="392">
        <v>0.66</v>
      </c>
      <c r="F70" s="392">
        <v>0.65</v>
      </c>
      <c r="G70" s="392">
        <v>0.67</v>
      </c>
      <c r="H70" s="392">
        <v>0.66</v>
      </c>
      <c r="I70" s="392">
        <v>0.65</v>
      </c>
      <c r="J70" s="392">
        <v>0.55000000000000004</v>
      </c>
      <c r="K70" s="392">
        <v>0.52600000000000002</v>
      </c>
      <c r="L70" s="392">
        <v>0.53</v>
      </c>
      <c r="M70" s="392">
        <v>0.51300000000000001</v>
      </c>
      <c r="N70" s="392">
        <v>0.497</v>
      </c>
      <c r="O70" s="392">
        <v>0.48899999999999999</v>
      </c>
      <c r="P70" s="392">
        <v>0.502</v>
      </c>
      <c r="Q70" s="392">
        <v>0.52900000000000003</v>
      </c>
      <c r="R70" s="715">
        <f t="shared" si="74"/>
        <v>0.56218749999999995</v>
      </c>
      <c r="S70" s="716">
        <f t="shared" si="73"/>
        <v>0.67</v>
      </c>
      <c r="T70" s="716">
        <f t="shared" si="75"/>
        <v>0.57150000000000001</v>
      </c>
    </row>
    <row r="71" spans="1:20" ht="14" x14ac:dyDescent="0.3">
      <c r="A71" s="544" t="s">
        <v>161</v>
      </c>
      <c r="B71" s="32">
        <v>0.47699999999999998</v>
      </c>
      <c r="C71" s="32">
        <v>0.55400000000000005</v>
      </c>
      <c r="D71" s="32">
        <v>0.57499999999999996</v>
      </c>
      <c r="E71" s="392">
        <v>0.65100000000000002</v>
      </c>
      <c r="F71" s="392">
        <v>0.65</v>
      </c>
      <c r="G71" s="392">
        <v>0.67</v>
      </c>
      <c r="H71" s="392">
        <v>0.65</v>
      </c>
      <c r="I71" s="392">
        <v>0.65</v>
      </c>
      <c r="J71" s="392">
        <v>0.55000000000000004</v>
      </c>
      <c r="K71" s="392">
        <v>0.52600000000000002</v>
      </c>
      <c r="L71" s="392">
        <v>0.53</v>
      </c>
      <c r="M71" s="392">
        <v>0.51300000000000001</v>
      </c>
      <c r="N71" s="392">
        <v>0.497</v>
      </c>
      <c r="O71" s="392">
        <v>0.48899999999999999</v>
      </c>
      <c r="P71" s="392">
        <v>0.502</v>
      </c>
      <c r="Q71" s="392">
        <v>0.53</v>
      </c>
      <c r="R71" s="715">
        <f t="shared" si="74"/>
        <v>0.56337499999999996</v>
      </c>
      <c r="S71" s="716">
        <f t="shared" si="73"/>
        <v>0.67</v>
      </c>
      <c r="T71" s="716">
        <f t="shared" si="75"/>
        <v>0.56983333333333341</v>
      </c>
    </row>
    <row r="72" spans="1:20" ht="14" x14ac:dyDescent="0.3">
      <c r="A72" s="544" t="s">
        <v>162</v>
      </c>
      <c r="B72" s="32">
        <v>0.51</v>
      </c>
      <c r="C72" s="32">
        <v>0.66300000000000003</v>
      </c>
      <c r="D72" s="32">
        <v>0.57499999999999996</v>
      </c>
      <c r="E72" s="392">
        <v>0.65200000000000002</v>
      </c>
      <c r="F72" s="392">
        <v>0.65</v>
      </c>
      <c r="G72" s="392">
        <v>0.67</v>
      </c>
      <c r="H72" s="392">
        <v>0.65</v>
      </c>
      <c r="I72" s="392">
        <v>0.65</v>
      </c>
      <c r="J72" s="392">
        <v>0.55000000000000004</v>
      </c>
      <c r="K72" s="392">
        <v>0.52500000000000002</v>
      </c>
      <c r="L72" s="392">
        <v>0.53</v>
      </c>
      <c r="M72" s="392">
        <v>0.51300000000000001</v>
      </c>
      <c r="N72" s="392">
        <v>0.46500000000000002</v>
      </c>
      <c r="O72" s="392">
        <v>0.49</v>
      </c>
      <c r="P72" s="392">
        <v>0.501</v>
      </c>
      <c r="Q72" s="392">
        <v>0.53100000000000003</v>
      </c>
      <c r="R72" s="715">
        <f t="shared" si="74"/>
        <v>0.5703125</v>
      </c>
      <c r="S72" s="716">
        <f t="shared" si="73"/>
        <v>0.67</v>
      </c>
      <c r="T72" s="716">
        <f t="shared" si="75"/>
        <v>0.56966666666666665</v>
      </c>
    </row>
    <row r="73" spans="1:20" ht="14" x14ac:dyDescent="0.3">
      <c r="A73" s="544" t="s">
        <v>163</v>
      </c>
      <c r="B73" s="32">
        <v>0.54800000000000004</v>
      </c>
      <c r="C73" s="32">
        <v>0.68100000000000005</v>
      </c>
      <c r="D73" s="32">
        <v>0.6</v>
      </c>
      <c r="E73" s="392">
        <v>0.64800000000000002</v>
      </c>
      <c r="F73" s="392">
        <v>0.65</v>
      </c>
      <c r="G73" s="392">
        <v>0.67</v>
      </c>
      <c r="H73" s="392">
        <v>0.62</v>
      </c>
      <c r="I73" s="392">
        <v>0.65</v>
      </c>
      <c r="J73" s="392"/>
      <c r="K73" s="392"/>
      <c r="L73" s="392"/>
      <c r="M73" s="392"/>
      <c r="N73" s="392"/>
      <c r="O73" s="392">
        <v>0.48499999999999999</v>
      </c>
      <c r="P73" s="392"/>
      <c r="Q73" s="392">
        <v>0.54800000000000004</v>
      </c>
      <c r="R73" s="715">
        <f t="shared" si="74"/>
        <v>0.6100000000000001</v>
      </c>
      <c r="S73" s="716">
        <f t="shared" si="73"/>
        <v>0.68100000000000005</v>
      </c>
      <c r="T73" s="716">
        <f t="shared" si="75"/>
        <v>0.63500000000000001</v>
      </c>
    </row>
    <row r="74" spans="1:20" x14ac:dyDescent="0.3">
      <c r="A74" s="544" t="s">
        <v>822</v>
      </c>
      <c r="B74" s="32">
        <f>AVERAGE(B64:B67)</f>
        <v>0.40700000000000003</v>
      </c>
      <c r="C74" s="32">
        <f t="shared" ref="C74" si="76">AVERAGE(C64:C67)</f>
        <v>0.43524999999999997</v>
      </c>
      <c r="D74" s="32">
        <f t="shared" ref="D74:E74" si="77">AVERAGE(D64:D67)</f>
        <v>0.57599999999999996</v>
      </c>
      <c r="E74" s="32">
        <f t="shared" si="77"/>
        <v>0.64250000000000007</v>
      </c>
      <c r="F74" s="32">
        <f t="shared" ref="F74:G74" si="78">AVERAGE(F64:F67)</f>
        <v>0.66</v>
      </c>
      <c r="G74" s="32">
        <f t="shared" si="78"/>
        <v>0.66500000000000004</v>
      </c>
      <c r="H74" s="32">
        <f t="shared" ref="H74:I74" si="79">AVERAGE(H64:H67)</f>
        <v>0.66</v>
      </c>
      <c r="I74" s="32">
        <f t="shared" si="79"/>
        <v>0.65</v>
      </c>
      <c r="J74" s="32">
        <f t="shared" ref="J74:K74" si="80">AVERAGE(J64:J67)</f>
        <v>0.55000000000000004</v>
      </c>
      <c r="K74" s="32">
        <f t="shared" si="80"/>
        <v>0.52600000000000002</v>
      </c>
      <c r="L74" s="32">
        <f t="shared" ref="L74:M74" si="81">AVERAGE(L64:L67)</f>
        <v>0.53125</v>
      </c>
      <c r="M74" s="32">
        <f t="shared" si="81"/>
        <v>0.51375000000000004</v>
      </c>
      <c r="N74" s="32">
        <f t="shared" ref="N74:O74" si="82">AVERAGE(N64:N67)</f>
        <v>0.497</v>
      </c>
      <c r="O74" s="32">
        <f t="shared" si="82"/>
        <v>0.49</v>
      </c>
      <c r="P74" s="32">
        <f t="shared" ref="P74:Q74" si="83">AVERAGE(P64:P67)</f>
        <v>0.50150000000000006</v>
      </c>
      <c r="Q74" s="32">
        <f t="shared" si="83"/>
        <v>0.52849999999999997</v>
      </c>
      <c r="R74" s="32">
        <f t="shared" ref="R74:T74" si="84">AVERAGE(R64:R67)</f>
        <v>0.55210937500000001</v>
      </c>
      <c r="S74" s="32">
        <f t="shared" si="84"/>
        <v>0.66500000000000004</v>
      </c>
      <c r="T74" s="32">
        <f t="shared" si="84"/>
        <v>0.5718333333333333</v>
      </c>
    </row>
    <row r="75" spans="1:20" x14ac:dyDescent="0.3">
      <c r="A75" s="544" t="s">
        <v>823</v>
      </c>
      <c r="B75" s="32">
        <f t="shared" ref="B75:O75" si="85">AVERAGE(B64:B73)</f>
        <v>0.45200000000000007</v>
      </c>
      <c r="C75" s="32">
        <f t="shared" si="85"/>
        <v>0.51340000000000008</v>
      </c>
      <c r="D75" s="32">
        <f t="shared" si="85"/>
        <v>0.57800000000000007</v>
      </c>
      <c r="E75" s="32">
        <f t="shared" si="85"/>
        <v>0.64580000000000004</v>
      </c>
      <c r="F75" s="32">
        <f t="shared" si="85"/>
        <v>0.65600000000000014</v>
      </c>
      <c r="G75" s="32">
        <f t="shared" si="85"/>
        <v>0.66799999999999993</v>
      </c>
      <c r="H75" s="32">
        <f t="shared" si="85"/>
        <v>0.65400000000000014</v>
      </c>
      <c r="I75" s="32">
        <f t="shared" si="85"/>
        <v>0.65000000000000013</v>
      </c>
      <c r="J75" s="32">
        <f t="shared" si="85"/>
        <v>0.54999999999999993</v>
      </c>
      <c r="K75" s="32">
        <f t="shared" si="85"/>
        <v>0.52588888888888885</v>
      </c>
      <c r="L75" s="32">
        <f t="shared" si="85"/>
        <v>0.53066666666666673</v>
      </c>
      <c r="M75" s="32">
        <f t="shared" si="85"/>
        <v>0.51333333333333331</v>
      </c>
      <c r="N75" s="32">
        <f t="shared" si="85"/>
        <v>0.49344444444444441</v>
      </c>
      <c r="O75" s="32">
        <f t="shared" si="85"/>
        <v>0.48920000000000002</v>
      </c>
      <c r="P75" s="32">
        <f t="shared" ref="P75:Q75" si="86">AVERAGE(P64:P73)</f>
        <v>0.50166666666666659</v>
      </c>
      <c r="Q75" s="32">
        <f t="shared" si="86"/>
        <v>0.53110000000000002</v>
      </c>
      <c r="R75" s="32">
        <f t="shared" ref="R75:T75" si="87">AVERAGE(R64:R73)</f>
        <v>0.56293750000000009</v>
      </c>
      <c r="S75" s="32">
        <f t="shared" si="87"/>
        <v>0.66910000000000003</v>
      </c>
      <c r="T75" s="32">
        <f t="shared" si="87"/>
        <v>0.57765</v>
      </c>
    </row>
  </sheetData>
  <mergeCells count="6">
    <mergeCell ref="A63:T63"/>
    <mergeCell ref="A24:T24"/>
    <mergeCell ref="A39:T39"/>
    <mergeCell ref="A52:T52"/>
    <mergeCell ref="A1:Q1"/>
    <mergeCell ref="A6:T6"/>
  </mergeCells>
  <phoneticPr fontId="0" type="noConversion"/>
  <pageMargins left="0.75" right="0.75" top="1" bottom="1" header="0.5" footer="0.5"/>
  <pageSetup scale="63"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fitToPage="1"/>
  </sheetPr>
  <dimension ref="A1:Z74"/>
  <sheetViews>
    <sheetView topLeftCell="A13" zoomScale="75" zoomScaleNormal="75" workbookViewId="0">
      <selection activeCell="B5" sqref="B5:Q5"/>
    </sheetView>
  </sheetViews>
  <sheetFormatPr defaultRowHeight="13" x14ac:dyDescent="0.3"/>
  <cols>
    <col min="1" max="1" width="31.6328125" style="1" bestFit="1" customWidth="1"/>
    <col min="2" max="2" width="9.36328125" bestFit="1" customWidth="1"/>
    <col min="3" max="3" width="9.08984375" bestFit="1" customWidth="1"/>
    <col min="4" max="4" width="9.36328125" bestFit="1" customWidth="1"/>
    <col min="5" max="5" width="9.08984375" bestFit="1" customWidth="1"/>
    <col min="6" max="6" width="9.6328125" bestFit="1" customWidth="1"/>
    <col min="7" max="7" width="9.36328125" bestFit="1" customWidth="1"/>
    <col min="8" max="10" width="9.453125" bestFit="1" customWidth="1"/>
    <col min="11" max="11" width="9.6328125" bestFit="1" customWidth="1"/>
    <col min="12" max="12" width="9.36328125" bestFit="1" customWidth="1"/>
    <col min="13" max="13" width="9.6328125" bestFit="1" customWidth="1"/>
    <col min="14" max="14" width="9.6328125" customWidth="1"/>
    <col min="15" max="15" width="9.36328125" bestFit="1" customWidth="1"/>
    <col min="16" max="16" width="9.453125" bestFit="1" customWidth="1"/>
    <col min="17" max="17" width="9.36328125" bestFit="1" customWidth="1"/>
    <col min="18" max="18" width="11" customWidth="1"/>
    <col min="19" max="19" width="7" bestFit="1" customWidth="1"/>
    <col min="20" max="20" width="11.54296875" bestFit="1" customWidth="1"/>
    <col min="21" max="21" width="10.90625" customWidth="1"/>
    <col min="22" max="22" width="11.36328125" customWidth="1"/>
    <col min="23" max="23" width="10.90625" customWidth="1"/>
    <col min="24" max="24" width="11.36328125" customWidth="1"/>
    <col min="25" max="25" width="10.36328125" customWidth="1"/>
    <col min="26" max="26" width="10.90625" bestFit="1" customWidth="1"/>
  </cols>
  <sheetData>
    <row r="1" spans="1:26" ht="15.5" x14ac:dyDescent="0.35">
      <c r="A1" s="788" t="s">
        <v>157</v>
      </c>
      <c r="B1" s="788"/>
      <c r="C1" s="788"/>
      <c r="D1" s="788"/>
      <c r="E1" s="788"/>
      <c r="F1" s="788"/>
      <c r="G1" s="788"/>
      <c r="H1" s="788"/>
      <c r="I1" s="788"/>
      <c r="J1" s="788"/>
      <c r="K1" s="788"/>
      <c r="L1" s="788"/>
      <c r="M1" s="788"/>
      <c r="N1" s="788"/>
      <c r="O1" s="788"/>
      <c r="P1" s="788"/>
      <c r="Q1" s="788"/>
    </row>
    <row r="2" spans="1:26" ht="26" x14ac:dyDescent="0.3">
      <c r="A2" s="81"/>
      <c r="B2" s="212">
        <v>40911</v>
      </c>
      <c r="C2" s="212">
        <v>40949</v>
      </c>
      <c r="D2" s="212">
        <v>40994</v>
      </c>
      <c r="E2" s="212">
        <v>41022</v>
      </c>
      <c r="F2" s="212">
        <v>41050</v>
      </c>
      <c r="G2" s="212">
        <v>41085</v>
      </c>
      <c r="H2" s="213">
        <v>41099</v>
      </c>
      <c r="I2" s="213">
        <v>41113</v>
      </c>
      <c r="J2" s="213">
        <v>41127</v>
      </c>
      <c r="K2" s="212">
        <v>41148</v>
      </c>
      <c r="L2" s="212">
        <v>41162</v>
      </c>
      <c r="M2" s="214">
        <v>41177</v>
      </c>
      <c r="N2" s="214">
        <v>41197</v>
      </c>
      <c r="O2" s="214">
        <v>41204</v>
      </c>
      <c r="P2" s="214">
        <v>41239</v>
      </c>
      <c r="Q2" s="213">
        <v>41257</v>
      </c>
      <c r="R2" s="82" t="s">
        <v>91</v>
      </c>
      <c r="S2" s="83" t="s">
        <v>83</v>
      </c>
      <c r="T2" s="83" t="s">
        <v>109</v>
      </c>
    </row>
    <row r="3" spans="1:26" ht="14" x14ac:dyDescent="0.3">
      <c r="A3" s="84" t="s">
        <v>818</v>
      </c>
      <c r="B3" s="64">
        <v>8.32</v>
      </c>
      <c r="C3" s="64">
        <v>8.3000000000000007</v>
      </c>
      <c r="D3" s="64">
        <v>8.26</v>
      </c>
      <c r="E3" s="64">
        <v>8.42</v>
      </c>
      <c r="F3" s="64">
        <v>8.1999999999999993</v>
      </c>
      <c r="G3" s="64">
        <v>7.84</v>
      </c>
      <c r="H3" s="64">
        <v>8.14</v>
      </c>
      <c r="I3" s="64">
        <v>8.18</v>
      </c>
      <c r="J3" s="566">
        <v>7.75</v>
      </c>
      <c r="K3" s="64">
        <v>8.32</v>
      </c>
      <c r="L3" s="64">
        <v>7.86</v>
      </c>
      <c r="M3" s="64">
        <v>8.51</v>
      </c>
      <c r="N3" s="64"/>
      <c r="O3" s="64">
        <v>7.68</v>
      </c>
      <c r="P3" s="64">
        <v>7.96</v>
      </c>
      <c r="Q3" s="64">
        <v>7.89</v>
      </c>
      <c r="R3" s="129">
        <f>AVERAGE(B3:Q3)</f>
        <v>8.1086666666666662</v>
      </c>
      <c r="S3" s="130">
        <f>MAX(B3:Q3)</f>
        <v>8.51</v>
      </c>
      <c r="T3" s="130">
        <f>AVERAGE(H3:M3)</f>
        <v>8.1266666666666669</v>
      </c>
    </row>
    <row r="4" spans="1:26" s="7" customFormat="1" ht="14" x14ac:dyDescent="0.3">
      <c r="A4" s="85" t="s">
        <v>819</v>
      </c>
      <c r="B4" s="64">
        <v>7.78</v>
      </c>
      <c r="C4" s="64">
        <v>7.96</v>
      </c>
      <c r="D4" s="64">
        <v>8.56</v>
      </c>
      <c r="E4" s="64">
        <v>7.76</v>
      </c>
      <c r="F4" s="64">
        <v>7.76</v>
      </c>
      <c r="G4" s="64">
        <v>7.8</v>
      </c>
      <c r="H4" s="64">
        <v>7.89</v>
      </c>
      <c r="I4" s="64">
        <v>8.09</v>
      </c>
      <c r="J4" s="566">
        <v>8.75</v>
      </c>
      <c r="K4" s="64">
        <v>8.81</v>
      </c>
      <c r="L4" s="64">
        <v>8.16</v>
      </c>
      <c r="M4" s="64">
        <v>7.69</v>
      </c>
      <c r="N4" s="64"/>
      <c r="O4" s="64">
        <v>8.43</v>
      </c>
      <c r="P4" s="64">
        <v>8.41</v>
      </c>
      <c r="Q4" s="64">
        <v>8.7899999999999991</v>
      </c>
      <c r="R4" s="129">
        <f t="shared" ref="R4:R5" si="0">AVERAGE(B4:Q4)</f>
        <v>8.1759999999999984</v>
      </c>
      <c r="S4" s="130">
        <f t="shared" ref="S4:S5" si="1">MAX(B4:Q4)</f>
        <v>8.81</v>
      </c>
      <c r="T4" s="130">
        <f t="shared" ref="T4:T66" si="2">AVERAGE(H4:M4)</f>
        <v>8.2316666666666674</v>
      </c>
    </row>
    <row r="5" spans="1:26" ht="14" x14ac:dyDescent="0.3">
      <c r="A5" s="85" t="s">
        <v>820</v>
      </c>
      <c r="B5" s="64">
        <v>8.11</v>
      </c>
      <c r="C5" s="64">
        <v>8.27</v>
      </c>
      <c r="D5" s="64">
        <v>8.33</v>
      </c>
      <c r="E5" s="64">
        <v>8.48</v>
      </c>
      <c r="F5" s="64">
        <v>8.41</v>
      </c>
      <c r="G5" s="64">
        <v>8.2799999999999994</v>
      </c>
      <c r="H5" s="64">
        <v>7.98</v>
      </c>
      <c r="I5" s="64">
        <v>8.6</v>
      </c>
      <c r="J5" s="566">
        <v>8.39</v>
      </c>
      <c r="K5" s="64">
        <v>8.81</v>
      </c>
      <c r="L5" s="64">
        <v>8.2799999999999994</v>
      </c>
      <c r="M5" s="64">
        <v>8.26</v>
      </c>
      <c r="N5" s="64"/>
      <c r="O5" s="64">
        <v>8.7799999999999994</v>
      </c>
      <c r="P5" s="64">
        <v>8.6199999999999992</v>
      </c>
      <c r="Q5" s="64">
        <v>8.61</v>
      </c>
      <c r="R5" s="129">
        <f t="shared" si="0"/>
        <v>8.4139999999999997</v>
      </c>
      <c r="S5" s="130">
        <f t="shared" si="1"/>
        <v>8.81</v>
      </c>
      <c r="T5" s="130">
        <f t="shared" si="2"/>
        <v>8.3866666666666667</v>
      </c>
      <c r="U5" s="6"/>
      <c r="V5" s="6"/>
      <c r="W5" s="6"/>
      <c r="X5" s="6"/>
      <c r="Y5" s="6"/>
      <c r="Z5" s="6"/>
    </row>
    <row r="6" spans="1:26" ht="15.5" x14ac:dyDescent="0.35">
      <c r="A6" s="801" t="s">
        <v>803</v>
      </c>
      <c r="B6" s="802"/>
      <c r="C6" s="802"/>
      <c r="D6" s="802"/>
      <c r="E6" s="802"/>
      <c r="F6" s="802"/>
      <c r="G6" s="802"/>
      <c r="H6" s="802"/>
      <c r="I6" s="802"/>
      <c r="J6" s="802"/>
      <c r="K6" s="802"/>
      <c r="L6" s="802"/>
      <c r="M6" s="802"/>
      <c r="N6" s="802"/>
      <c r="O6" s="802"/>
      <c r="P6" s="802"/>
      <c r="Q6" s="802"/>
      <c r="R6" s="802"/>
      <c r="S6" s="802"/>
      <c r="T6" s="803"/>
      <c r="U6" s="6"/>
      <c r="V6" s="6"/>
      <c r="W6" s="6"/>
      <c r="X6" s="6"/>
      <c r="Y6" s="6"/>
      <c r="Z6" s="6"/>
    </row>
    <row r="7" spans="1:26" ht="14" x14ac:dyDescent="0.3">
      <c r="A7" s="544" t="s">
        <v>453</v>
      </c>
      <c r="B7" s="64">
        <v>7.66</v>
      </c>
      <c r="C7" s="64">
        <v>7.91</v>
      </c>
      <c r="D7" s="64">
        <v>8.15</v>
      </c>
      <c r="E7" s="64">
        <v>8.5299999999999994</v>
      </c>
      <c r="F7" s="64">
        <v>8.44</v>
      </c>
      <c r="G7" s="64">
        <v>8.6999999999999993</v>
      </c>
      <c r="H7" s="64">
        <v>8.4700000000000006</v>
      </c>
      <c r="I7" s="64">
        <v>8.6999999999999993</v>
      </c>
      <c r="J7" s="402">
        <v>8.7100000000000009</v>
      </c>
      <c r="K7" s="64">
        <v>9.17</v>
      </c>
      <c r="L7" s="64">
        <v>8.34</v>
      </c>
      <c r="M7" s="64">
        <v>8.7200000000000006</v>
      </c>
      <c r="N7" s="64">
        <v>9.02</v>
      </c>
      <c r="O7" s="64">
        <v>9.19</v>
      </c>
      <c r="P7" s="64">
        <v>9.18</v>
      </c>
      <c r="Q7" s="64">
        <v>9.2200000000000006</v>
      </c>
      <c r="R7" s="129">
        <f>AVERAGE(B7:Q7)</f>
        <v>8.6318750000000009</v>
      </c>
      <c r="S7" s="130">
        <f>MAX(B7:Q7)</f>
        <v>9.2200000000000006</v>
      </c>
      <c r="T7" s="130">
        <f t="shared" si="2"/>
        <v>8.6850000000000005</v>
      </c>
      <c r="U7" s="6"/>
      <c r="V7" s="6"/>
      <c r="W7" s="6"/>
      <c r="X7" s="6"/>
      <c r="Y7" s="6"/>
      <c r="Z7" s="6"/>
    </row>
    <row r="8" spans="1:26" ht="14" x14ac:dyDescent="0.3">
      <c r="A8" s="544" t="s">
        <v>158</v>
      </c>
      <c r="B8" s="64">
        <v>7.73</v>
      </c>
      <c r="C8" s="64">
        <v>7.89</v>
      </c>
      <c r="D8" s="64">
        <v>8.0299999999999994</v>
      </c>
      <c r="E8" s="64">
        <v>8.5299999999999994</v>
      </c>
      <c r="F8" s="64">
        <v>8.43</v>
      </c>
      <c r="G8" s="64">
        <v>8.7100000000000009</v>
      </c>
      <c r="H8" s="64">
        <v>8.49</v>
      </c>
      <c r="I8" s="64">
        <v>8.6999999999999993</v>
      </c>
      <c r="J8" s="402">
        <v>8.68</v>
      </c>
      <c r="K8" s="64">
        <v>9.1300000000000008</v>
      </c>
      <c r="L8" s="64">
        <v>8.36</v>
      </c>
      <c r="M8" s="64">
        <v>8.73</v>
      </c>
      <c r="N8" s="64">
        <v>8.92</v>
      </c>
      <c r="O8" s="64">
        <v>9.19</v>
      </c>
      <c r="P8" s="64">
        <v>9.15</v>
      </c>
      <c r="Q8" s="64">
        <v>9.07</v>
      </c>
      <c r="R8" s="129">
        <f t="shared" ref="R8:R21" si="3">AVERAGE(B8:Q8)</f>
        <v>8.6087499999999988</v>
      </c>
      <c r="S8" s="130">
        <f t="shared" ref="S8:S21" si="4">MAX(B8:Q8)</f>
        <v>9.19</v>
      </c>
      <c r="T8" s="130">
        <f t="shared" si="2"/>
        <v>8.6816666666666666</v>
      </c>
      <c r="U8" s="6"/>
      <c r="V8" s="6"/>
      <c r="W8" s="6"/>
      <c r="X8" s="6"/>
      <c r="Y8" s="6"/>
      <c r="Z8" s="6"/>
    </row>
    <row r="9" spans="1:26" ht="14" x14ac:dyDescent="0.3">
      <c r="A9" s="544" t="s">
        <v>454</v>
      </c>
      <c r="B9" s="64">
        <v>7.74</v>
      </c>
      <c r="C9" s="64">
        <v>7.89</v>
      </c>
      <c r="D9" s="64">
        <v>8.02</v>
      </c>
      <c r="E9" s="64">
        <v>8.4499999999999993</v>
      </c>
      <c r="F9" s="64">
        <v>8.4</v>
      </c>
      <c r="G9" s="64">
        <v>8.69</v>
      </c>
      <c r="H9" s="64">
        <v>8.49</v>
      </c>
      <c r="I9" s="64">
        <v>8.69</v>
      </c>
      <c r="J9" s="402">
        <v>8.68</v>
      </c>
      <c r="K9" s="64">
        <v>9.18</v>
      </c>
      <c r="L9" s="64">
        <v>8.34</v>
      </c>
      <c r="M9" s="64">
        <v>8.7200000000000006</v>
      </c>
      <c r="N9" s="64">
        <v>8.91</v>
      </c>
      <c r="O9" s="64">
        <v>9.1999999999999993</v>
      </c>
      <c r="P9" s="64">
        <v>9.16</v>
      </c>
      <c r="Q9" s="64">
        <v>9.02</v>
      </c>
      <c r="R9" s="129">
        <f t="shared" si="3"/>
        <v>8.5987500000000008</v>
      </c>
      <c r="S9" s="130">
        <f t="shared" si="4"/>
        <v>9.1999999999999993</v>
      </c>
      <c r="T9" s="130">
        <f t="shared" si="2"/>
        <v>8.6833333333333318</v>
      </c>
      <c r="U9" s="6"/>
      <c r="V9" s="6"/>
      <c r="W9" s="6"/>
      <c r="X9" s="6"/>
      <c r="Y9" s="6"/>
      <c r="Z9" s="6"/>
    </row>
    <row r="10" spans="1:26" ht="14" x14ac:dyDescent="0.3">
      <c r="A10" s="544" t="s">
        <v>159</v>
      </c>
      <c r="B10" s="64">
        <v>7.75</v>
      </c>
      <c r="C10" s="64">
        <v>7.93</v>
      </c>
      <c r="D10" s="64">
        <v>7.99</v>
      </c>
      <c r="E10" s="64">
        <v>8.4600000000000009</v>
      </c>
      <c r="F10" s="64">
        <v>8.4</v>
      </c>
      <c r="G10" s="64">
        <v>8.7200000000000006</v>
      </c>
      <c r="H10" s="64">
        <v>8.49</v>
      </c>
      <c r="I10" s="64">
        <v>8.6999999999999993</v>
      </c>
      <c r="J10" s="402">
        <v>8.6999999999999993</v>
      </c>
      <c r="K10" s="64">
        <v>9.17</v>
      </c>
      <c r="L10" s="64">
        <v>8.34</v>
      </c>
      <c r="M10" s="64">
        <v>8.73</v>
      </c>
      <c r="N10" s="64">
        <v>8.91</v>
      </c>
      <c r="O10" s="64">
        <v>9.1999999999999993</v>
      </c>
      <c r="P10" s="64">
        <v>9.17</v>
      </c>
      <c r="Q10" s="64">
        <v>9.06</v>
      </c>
      <c r="R10" s="129">
        <f t="shared" si="3"/>
        <v>8.6074999999999999</v>
      </c>
      <c r="S10" s="130">
        <f t="shared" si="4"/>
        <v>9.1999999999999993</v>
      </c>
      <c r="T10" s="130">
        <f t="shared" si="2"/>
        <v>8.6883333333333326</v>
      </c>
    </row>
    <row r="11" spans="1:26" ht="14" x14ac:dyDescent="0.3">
      <c r="A11" s="544" t="s">
        <v>455</v>
      </c>
      <c r="B11" s="64">
        <v>7.76</v>
      </c>
      <c r="C11" s="64">
        <v>7.88</v>
      </c>
      <c r="D11" s="64">
        <v>7.95</v>
      </c>
      <c r="E11" s="64">
        <v>8.48</v>
      </c>
      <c r="F11" s="64">
        <v>8.3800000000000008</v>
      </c>
      <c r="G11" s="64">
        <v>8.6999999999999993</v>
      </c>
      <c r="H11" s="64">
        <v>8.48</v>
      </c>
      <c r="I11" s="64">
        <v>8.7100000000000009</v>
      </c>
      <c r="J11" s="402">
        <v>8.69</v>
      </c>
      <c r="K11" s="64">
        <v>9.1999999999999993</v>
      </c>
      <c r="L11" s="64">
        <v>8.34</v>
      </c>
      <c r="M11" s="64">
        <v>8.7100000000000009</v>
      </c>
      <c r="N11" s="64">
        <v>8.9</v>
      </c>
      <c r="O11" s="64">
        <v>9.1999999999999993</v>
      </c>
      <c r="P11" s="64">
        <v>9.18</v>
      </c>
      <c r="Q11" s="64">
        <v>9.02</v>
      </c>
      <c r="R11" s="129">
        <f t="shared" si="3"/>
        <v>8.5987500000000008</v>
      </c>
      <c r="S11" s="130">
        <f t="shared" si="4"/>
        <v>9.1999999999999993</v>
      </c>
      <c r="T11" s="130">
        <f t="shared" si="2"/>
        <v>8.6883333333333344</v>
      </c>
    </row>
    <row r="12" spans="1:26" ht="14" x14ac:dyDescent="0.3">
      <c r="A12" s="544" t="s">
        <v>160</v>
      </c>
      <c r="B12" s="64">
        <v>7.76</v>
      </c>
      <c r="C12" s="64">
        <v>7.76</v>
      </c>
      <c r="D12" s="64">
        <v>7.85</v>
      </c>
      <c r="E12" s="64">
        <v>8.41</v>
      </c>
      <c r="F12" s="64">
        <v>8.35</v>
      </c>
      <c r="G12" s="64">
        <v>8.69</v>
      </c>
      <c r="H12" s="64">
        <v>8.48</v>
      </c>
      <c r="I12" s="64">
        <v>8.6999999999999993</v>
      </c>
      <c r="J12" s="402">
        <v>8.66</v>
      </c>
      <c r="K12" s="64">
        <v>9.18</v>
      </c>
      <c r="L12" s="64">
        <v>8.34</v>
      </c>
      <c r="M12" s="64">
        <v>8.7100000000000009</v>
      </c>
      <c r="N12" s="64">
        <v>8.91</v>
      </c>
      <c r="O12" s="64">
        <v>9.19</v>
      </c>
      <c r="P12" s="64">
        <v>9.18</v>
      </c>
      <c r="Q12" s="64">
        <v>8.99</v>
      </c>
      <c r="R12" s="129">
        <f t="shared" si="3"/>
        <v>8.5725000000000016</v>
      </c>
      <c r="S12" s="130">
        <f t="shared" si="4"/>
        <v>9.19</v>
      </c>
      <c r="T12" s="130">
        <f t="shared" si="2"/>
        <v>8.6783333333333328</v>
      </c>
    </row>
    <row r="13" spans="1:26" ht="14" x14ac:dyDescent="0.3">
      <c r="A13" s="544" t="s">
        <v>456</v>
      </c>
      <c r="B13" s="64">
        <v>7.78</v>
      </c>
      <c r="C13" s="64">
        <v>7.73</v>
      </c>
      <c r="D13" s="64">
        <v>7.85</v>
      </c>
      <c r="E13" s="64">
        <v>8.34</v>
      </c>
      <c r="F13" s="64">
        <v>8.3000000000000007</v>
      </c>
      <c r="G13" s="64">
        <v>8.7200000000000006</v>
      </c>
      <c r="H13" s="64">
        <v>8.4700000000000006</v>
      </c>
      <c r="I13" s="64">
        <v>8.67</v>
      </c>
      <c r="J13" s="402">
        <v>8.66</v>
      </c>
      <c r="K13" s="64">
        <v>9.2100000000000009</v>
      </c>
      <c r="L13" s="64">
        <v>8.33</v>
      </c>
      <c r="M13" s="64">
        <v>8.7100000000000009</v>
      </c>
      <c r="N13" s="64">
        <v>8.89</v>
      </c>
      <c r="O13" s="64">
        <v>9.19</v>
      </c>
      <c r="P13" s="64">
        <v>9.17</v>
      </c>
      <c r="Q13" s="64">
        <v>8.9700000000000006</v>
      </c>
      <c r="R13" s="129">
        <f t="shared" si="3"/>
        <v>8.5618749999999988</v>
      </c>
      <c r="S13" s="130">
        <f t="shared" si="4"/>
        <v>9.2100000000000009</v>
      </c>
      <c r="T13" s="130">
        <f t="shared" si="2"/>
        <v>8.6750000000000007</v>
      </c>
    </row>
    <row r="14" spans="1:26" ht="14" x14ac:dyDescent="0.3">
      <c r="A14" s="544" t="s">
        <v>161</v>
      </c>
      <c r="B14" s="64">
        <v>7.76</v>
      </c>
      <c r="C14" s="64">
        <v>7.76</v>
      </c>
      <c r="D14" s="64">
        <v>7.92</v>
      </c>
      <c r="E14" s="64">
        <v>8.31</v>
      </c>
      <c r="F14" s="64">
        <v>8.24</v>
      </c>
      <c r="G14" s="64">
        <v>8.7100000000000009</v>
      </c>
      <c r="H14" s="64">
        <v>8.48</v>
      </c>
      <c r="I14" s="64">
        <v>8.67</v>
      </c>
      <c r="J14" s="402">
        <v>8.66</v>
      </c>
      <c r="K14" s="64">
        <v>9.19</v>
      </c>
      <c r="L14" s="64">
        <v>8.33</v>
      </c>
      <c r="M14" s="64">
        <v>8.7100000000000009</v>
      </c>
      <c r="N14" s="64">
        <v>8.85</v>
      </c>
      <c r="O14" s="64">
        <v>9.15</v>
      </c>
      <c r="P14" s="64">
        <v>9.18</v>
      </c>
      <c r="Q14" s="64">
        <v>9</v>
      </c>
      <c r="R14" s="129">
        <f t="shared" si="3"/>
        <v>8.557500000000001</v>
      </c>
      <c r="S14" s="130">
        <f t="shared" si="4"/>
        <v>9.19</v>
      </c>
      <c r="T14" s="130">
        <f t="shared" si="2"/>
        <v>8.6733333333333338</v>
      </c>
    </row>
    <row r="15" spans="1:26" ht="14" x14ac:dyDescent="0.3">
      <c r="A15" s="544" t="s">
        <v>162</v>
      </c>
      <c r="B15" s="64">
        <v>7.68</v>
      </c>
      <c r="C15" s="64">
        <v>7.59</v>
      </c>
      <c r="D15" s="64">
        <v>7.9</v>
      </c>
      <c r="E15" s="64">
        <v>8.2899999999999991</v>
      </c>
      <c r="F15" s="64">
        <v>8.14</v>
      </c>
      <c r="G15" s="64">
        <v>8.6999999999999993</v>
      </c>
      <c r="H15" s="64">
        <v>8.4700000000000006</v>
      </c>
      <c r="I15" s="64">
        <v>8.6999999999999993</v>
      </c>
      <c r="J15" s="402">
        <v>8.64</v>
      </c>
      <c r="K15" s="64">
        <v>9.1199999999999992</v>
      </c>
      <c r="L15" s="64">
        <v>8.33</v>
      </c>
      <c r="M15" s="64">
        <v>8.7100000000000009</v>
      </c>
      <c r="N15" s="64">
        <v>8.8699999999999992</v>
      </c>
      <c r="O15" s="64">
        <v>9.18</v>
      </c>
      <c r="P15" s="64">
        <v>9.19</v>
      </c>
      <c r="Q15" s="64">
        <v>8.94</v>
      </c>
      <c r="R15" s="129">
        <f t="shared" si="3"/>
        <v>8.5281250000000011</v>
      </c>
      <c r="S15" s="130">
        <f t="shared" si="4"/>
        <v>9.19</v>
      </c>
      <c r="T15" s="130">
        <f t="shared" si="2"/>
        <v>8.6616666666666671</v>
      </c>
    </row>
    <row r="16" spans="1:26" ht="14" x14ac:dyDescent="0.3">
      <c r="A16" s="544" t="s">
        <v>163</v>
      </c>
      <c r="B16" s="576">
        <v>7.68</v>
      </c>
      <c r="C16" s="577">
        <v>7.58</v>
      </c>
      <c r="D16" s="64">
        <v>7.86</v>
      </c>
      <c r="E16" s="64">
        <v>8.18</v>
      </c>
      <c r="F16" s="64">
        <v>8.0299999999999994</v>
      </c>
      <c r="G16" s="64">
        <v>8.6999999999999993</v>
      </c>
      <c r="H16" s="64">
        <v>8.4700000000000006</v>
      </c>
      <c r="I16" s="64">
        <v>8.7100000000000009</v>
      </c>
      <c r="J16" s="402">
        <v>8.6</v>
      </c>
      <c r="K16" s="64">
        <v>9.2100000000000009</v>
      </c>
      <c r="L16" s="64">
        <v>8.33</v>
      </c>
      <c r="M16" s="64">
        <v>8.7200000000000006</v>
      </c>
      <c r="N16" s="64">
        <v>8.86</v>
      </c>
      <c r="O16" s="64">
        <v>9.15</v>
      </c>
      <c r="P16" s="64">
        <v>9.17</v>
      </c>
      <c r="Q16" s="64">
        <v>8.9499999999999993</v>
      </c>
      <c r="R16" s="129">
        <f t="shared" si="3"/>
        <v>8.5125000000000011</v>
      </c>
      <c r="S16" s="130">
        <f t="shared" si="4"/>
        <v>9.2100000000000009</v>
      </c>
      <c r="T16" s="130">
        <f t="shared" si="2"/>
        <v>8.6733333333333338</v>
      </c>
    </row>
    <row r="17" spans="1:20" ht="14" x14ac:dyDescent="0.3">
      <c r="A17" s="544" t="s">
        <v>164</v>
      </c>
      <c r="B17" s="576">
        <v>7.53</v>
      </c>
      <c r="C17" s="578">
        <v>7.53</v>
      </c>
      <c r="D17" s="64">
        <v>7.82</v>
      </c>
      <c r="E17" s="64">
        <v>7.96</v>
      </c>
      <c r="F17" s="64">
        <v>7.95</v>
      </c>
      <c r="G17" s="64">
        <v>8.68</v>
      </c>
      <c r="H17" s="64">
        <v>8.4700000000000006</v>
      </c>
      <c r="I17" s="64">
        <v>8.6999999999999993</v>
      </c>
      <c r="J17" s="402">
        <v>8.61</v>
      </c>
      <c r="K17" s="64">
        <v>9.2100000000000009</v>
      </c>
      <c r="L17" s="64">
        <v>8.33</v>
      </c>
      <c r="M17" s="64">
        <v>8.73</v>
      </c>
      <c r="N17" s="64">
        <v>8.8699999999999992</v>
      </c>
      <c r="O17" s="64">
        <v>9.15</v>
      </c>
      <c r="P17" s="64">
        <v>9.18</v>
      </c>
      <c r="Q17" s="64">
        <v>8.9</v>
      </c>
      <c r="R17" s="129">
        <f t="shared" si="3"/>
        <v>8.4762500000000021</v>
      </c>
      <c r="S17" s="130">
        <f t="shared" si="4"/>
        <v>9.2100000000000009</v>
      </c>
      <c r="T17" s="130">
        <f t="shared" si="2"/>
        <v>8.6749999999999989</v>
      </c>
    </row>
    <row r="18" spans="1:20" ht="14" x14ac:dyDescent="0.3">
      <c r="A18" s="544" t="s">
        <v>165</v>
      </c>
      <c r="B18" s="576">
        <v>7.46</v>
      </c>
      <c r="C18" s="577">
        <v>7.42</v>
      </c>
      <c r="D18" s="64">
        <v>7.75</v>
      </c>
      <c r="E18" s="64">
        <v>7.9</v>
      </c>
      <c r="F18" s="64">
        <v>7.82</v>
      </c>
      <c r="G18" s="64">
        <v>8.67</v>
      </c>
      <c r="H18" s="64">
        <v>8.43</v>
      </c>
      <c r="I18" s="64">
        <v>8.7100000000000009</v>
      </c>
      <c r="J18" s="402">
        <v>8.61</v>
      </c>
      <c r="K18" s="64">
        <v>9.2200000000000006</v>
      </c>
      <c r="L18" s="64">
        <v>8.3699999999999992</v>
      </c>
      <c r="M18" s="64">
        <v>8.7200000000000006</v>
      </c>
      <c r="N18" s="64">
        <v>8.83</v>
      </c>
      <c r="O18" s="64">
        <v>9.1199999999999992</v>
      </c>
      <c r="P18" s="64">
        <v>9.16</v>
      </c>
      <c r="Q18" s="64">
        <v>8.8800000000000008</v>
      </c>
      <c r="R18" s="129">
        <f t="shared" si="3"/>
        <v>8.4418749999999996</v>
      </c>
      <c r="S18" s="130">
        <f t="shared" si="4"/>
        <v>9.2200000000000006</v>
      </c>
      <c r="T18" s="130">
        <f t="shared" si="2"/>
        <v>8.6766666666666659</v>
      </c>
    </row>
    <row r="19" spans="1:20" ht="14" x14ac:dyDescent="0.3">
      <c r="A19" s="544" t="s">
        <v>166</v>
      </c>
      <c r="B19" s="576">
        <v>7.36</v>
      </c>
      <c r="C19" s="577">
        <v>7.4</v>
      </c>
      <c r="D19" s="64">
        <v>7.7</v>
      </c>
      <c r="E19" s="64">
        <v>7.82</v>
      </c>
      <c r="F19" s="64">
        <v>7.71</v>
      </c>
      <c r="G19" s="64">
        <v>8.6199999999999992</v>
      </c>
      <c r="H19" s="64">
        <v>8.41</v>
      </c>
      <c r="I19" s="64">
        <v>8.66</v>
      </c>
      <c r="J19" s="402">
        <v>8.59</v>
      </c>
      <c r="K19" s="64">
        <v>9.4499999999999993</v>
      </c>
      <c r="L19" s="64">
        <v>8.39</v>
      </c>
      <c r="M19" s="64">
        <v>8.74</v>
      </c>
      <c r="N19" s="64">
        <v>8.81</v>
      </c>
      <c r="O19" s="64">
        <v>9.09</v>
      </c>
      <c r="P19" s="64">
        <v>8.9</v>
      </c>
      <c r="Q19" s="64">
        <v>8.7899999999999991</v>
      </c>
      <c r="R19" s="129">
        <f t="shared" si="3"/>
        <v>8.4024999999999999</v>
      </c>
      <c r="S19" s="130">
        <f t="shared" si="4"/>
        <v>9.4499999999999993</v>
      </c>
      <c r="T19" s="130">
        <f t="shared" si="2"/>
        <v>8.706666666666667</v>
      </c>
    </row>
    <row r="20" spans="1:20" ht="14" x14ac:dyDescent="0.3">
      <c r="A20" s="544" t="s">
        <v>188</v>
      </c>
      <c r="B20" s="576">
        <v>7.33</v>
      </c>
      <c r="C20" s="577">
        <v>7.39</v>
      </c>
      <c r="D20" s="64">
        <v>7.63</v>
      </c>
      <c r="E20" s="64">
        <v>7.7</v>
      </c>
      <c r="F20" s="64">
        <v>7.66</v>
      </c>
      <c r="G20" s="64">
        <v>8.51</v>
      </c>
      <c r="H20" s="64">
        <v>8.4</v>
      </c>
      <c r="I20" s="64">
        <v>8.65</v>
      </c>
      <c r="J20" s="402">
        <v>8.5500000000000007</v>
      </c>
      <c r="K20" s="64"/>
      <c r="L20" s="64"/>
      <c r="M20" s="64">
        <v>8.67</v>
      </c>
      <c r="N20" s="64">
        <v>8.77</v>
      </c>
      <c r="O20" s="64">
        <v>8.77</v>
      </c>
      <c r="P20" s="64">
        <v>8.6300000000000008</v>
      </c>
      <c r="Q20" s="64">
        <v>8.56</v>
      </c>
      <c r="R20" s="129">
        <f t="shared" si="3"/>
        <v>8.2299999999999986</v>
      </c>
      <c r="S20" s="130">
        <f t="shared" si="4"/>
        <v>8.77</v>
      </c>
      <c r="T20" s="130">
        <f t="shared" si="2"/>
        <v>8.5675000000000008</v>
      </c>
    </row>
    <row r="21" spans="1:20" ht="14" x14ac:dyDescent="0.3">
      <c r="A21" s="544" t="s">
        <v>189</v>
      </c>
      <c r="B21" s="576"/>
      <c r="C21" s="577">
        <v>7.39</v>
      </c>
      <c r="D21" s="64">
        <v>7.59</v>
      </c>
      <c r="E21" s="64">
        <v>7.62</v>
      </c>
      <c r="F21" s="64">
        <v>7.6</v>
      </c>
      <c r="G21" s="64"/>
      <c r="H21" s="64">
        <v>8.31</v>
      </c>
      <c r="I21" s="64"/>
      <c r="J21" s="402"/>
      <c r="K21" s="64"/>
      <c r="L21" s="64"/>
      <c r="M21" s="64"/>
      <c r="N21" s="64"/>
      <c r="O21" s="64"/>
      <c r="P21" s="64"/>
      <c r="Q21" s="64"/>
      <c r="R21" s="129">
        <f t="shared" si="3"/>
        <v>7.7020000000000008</v>
      </c>
      <c r="S21" s="130">
        <f t="shared" si="4"/>
        <v>8.31</v>
      </c>
      <c r="T21" s="130">
        <f t="shared" si="2"/>
        <v>8.31</v>
      </c>
    </row>
    <row r="22" spans="1:20" x14ac:dyDescent="0.3">
      <c r="A22" s="566" t="s">
        <v>854</v>
      </c>
      <c r="B22" s="576">
        <f>AVERAGE(B7:B10)</f>
        <v>7.7200000000000006</v>
      </c>
      <c r="C22" s="576">
        <f t="shared" ref="C22" si="5">AVERAGE(C7:C10)</f>
        <v>7.9050000000000002</v>
      </c>
      <c r="D22" s="576">
        <f t="shared" ref="D22:E22" si="6">AVERAGE(D7:D10)</f>
        <v>8.0474999999999994</v>
      </c>
      <c r="E22" s="576">
        <f t="shared" si="6"/>
        <v>8.4924999999999997</v>
      </c>
      <c r="F22" s="576">
        <f t="shared" ref="F22:G22" si="7">AVERAGE(F7:F10)</f>
        <v>8.4174999999999986</v>
      </c>
      <c r="G22" s="576">
        <f t="shared" si="7"/>
        <v>8.7050000000000001</v>
      </c>
      <c r="H22" s="576">
        <f t="shared" ref="H22:I22" si="8">AVERAGE(H7:H10)</f>
        <v>8.4850000000000012</v>
      </c>
      <c r="I22" s="576">
        <f t="shared" si="8"/>
        <v>8.697499999999998</v>
      </c>
      <c r="J22" s="576">
        <f t="shared" ref="J22:K22" si="9">AVERAGE(J7:J10)</f>
        <v>8.692499999999999</v>
      </c>
      <c r="K22" s="576">
        <f t="shared" si="9"/>
        <v>9.1624999999999996</v>
      </c>
      <c r="L22" s="576">
        <f t="shared" ref="L22:M22" si="10">AVERAGE(L7:L10)</f>
        <v>8.3449999999999989</v>
      </c>
      <c r="M22" s="576">
        <f t="shared" si="10"/>
        <v>8.7250000000000014</v>
      </c>
      <c r="N22" s="576">
        <f t="shared" ref="N22:O22" si="11">AVERAGE(N7:N10)</f>
        <v>8.94</v>
      </c>
      <c r="O22" s="576">
        <f t="shared" si="11"/>
        <v>9.1950000000000003</v>
      </c>
      <c r="P22" s="576">
        <f t="shared" ref="P22:Q22" si="12">AVERAGE(P7:P10)</f>
        <v>9.1649999999999991</v>
      </c>
      <c r="Q22" s="576">
        <f t="shared" si="12"/>
        <v>9.0924999999999994</v>
      </c>
      <c r="R22" s="576">
        <f t="shared" ref="R22:T22" si="13">AVERAGE(R7:R10)</f>
        <v>8.6117187500000014</v>
      </c>
      <c r="S22" s="576">
        <f t="shared" si="13"/>
        <v>9.2025000000000006</v>
      </c>
      <c r="T22" s="576">
        <f t="shared" si="13"/>
        <v>8.6845833333333324</v>
      </c>
    </row>
    <row r="23" spans="1:20" x14ac:dyDescent="0.3">
      <c r="A23" s="566" t="s">
        <v>855</v>
      </c>
      <c r="B23" s="576">
        <f>AVERAGE(B7:B21)</f>
        <v>7.6414285714285715</v>
      </c>
      <c r="C23" s="576">
        <f t="shared" ref="C23" si="14">AVERAGE(C7:C21)</f>
        <v>7.67</v>
      </c>
      <c r="D23" s="576">
        <f t="shared" ref="D23:E23" si="15">AVERAGE(D7:D21)</f>
        <v>7.8673333333333337</v>
      </c>
      <c r="E23" s="576">
        <f t="shared" si="15"/>
        <v>8.1986666666666697</v>
      </c>
      <c r="F23" s="576">
        <f t="shared" ref="F23:G23" si="16">AVERAGE(F7:F21)</f>
        <v>8.1233333333333313</v>
      </c>
      <c r="G23" s="576">
        <f t="shared" si="16"/>
        <v>8.6800000000000015</v>
      </c>
      <c r="H23" s="576">
        <f t="shared" ref="H23:I23" si="17">AVERAGE(H7:H21)</f>
        <v>8.4540000000000006</v>
      </c>
      <c r="I23" s="576">
        <f t="shared" si="17"/>
        <v>8.6907142857142841</v>
      </c>
      <c r="J23" s="576">
        <f t="shared" ref="J23:K23" si="18">AVERAGE(J7:J21)</f>
        <v>8.6457142857142841</v>
      </c>
      <c r="K23" s="576">
        <f t="shared" si="18"/>
        <v>9.2030769230769227</v>
      </c>
      <c r="L23" s="576">
        <f t="shared" ref="L23:M23" si="19">AVERAGE(L7:L21)</f>
        <v>8.3438461538461546</v>
      </c>
      <c r="M23" s="576">
        <f t="shared" si="19"/>
        <v>8.7164285714285725</v>
      </c>
      <c r="N23" s="576">
        <f t="shared" ref="N23:O23" si="20">AVERAGE(N7:N21)</f>
        <v>8.879999999999999</v>
      </c>
      <c r="O23" s="576">
        <f t="shared" si="20"/>
        <v>9.1407142857142869</v>
      </c>
      <c r="P23" s="576">
        <f t="shared" ref="P23:Q23" si="21">AVERAGE(P7:P21)</f>
        <v>9.1142857142857139</v>
      </c>
      <c r="Q23" s="576">
        <f t="shared" si="21"/>
        <v>8.9550000000000001</v>
      </c>
      <c r="R23" s="576">
        <f t="shared" ref="R23:T23" si="22">AVERAGE(R7:R21)</f>
        <v>8.4687166666666691</v>
      </c>
      <c r="S23" s="576">
        <f t="shared" si="22"/>
        <v>9.1306666666666665</v>
      </c>
      <c r="T23" s="576">
        <f t="shared" si="22"/>
        <v>8.6482777777777748</v>
      </c>
    </row>
    <row r="24" spans="1:20" ht="15.5" x14ac:dyDescent="0.35">
      <c r="A24" s="798" t="s">
        <v>804</v>
      </c>
      <c r="B24" s="799"/>
      <c r="C24" s="799"/>
      <c r="D24" s="799"/>
      <c r="E24" s="799"/>
      <c r="F24" s="799"/>
      <c r="G24" s="799"/>
      <c r="H24" s="799"/>
      <c r="I24" s="799"/>
      <c r="J24" s="799"/>
      <c r="K24" s="799"/>
      <c r="L24" s="799"/>
      <c r="M24" s="799"/>
      <c r="N24" s="799"/>
      <c r="O24" s="799"/>
      <c r="P24" s="799"/>
      <c r="Q24" s="799"/>
      <c r="R24" s="799"/>
      <c r="S24" s="799"/>
      <c r="T24" s="800"/>
    </row>
    <row r="25" spans="1:20" ht="14" x14ac:dyDescent="0.3">
      <c r="A25" s="544" t="s">
        <v>453</v>
      </c>
      <c r="B25" s="64">
        <v>8.61</v>
      </c>
      <c r="C25" s="64">
        <v>8.02</v>
      </c>
      <c r="D25" s="64">
        <v>7.97</v>
      </c>
      <c r="E25" s="56">
        <v>8.64</v>
      </c>
      <c r="F25" s="56">
        <v>8.43</v>
      </c>
      <c r="G25" s="56">
        <v>8.73</v>
      </c>
      <c r="H25" s="56">
        <v>8.4700000000000006</v>
      </c>
      <c r="I25" s="56">
        <v>8.7799999999999994</v>
      </c>
      <c r="J25" s="56">
        <v>8.68</v>
      </c>
      <c r="K25" s="56">
        <v>9.26</v>
      </c>
      <c r="L25" s="56">
        <v>8.3699999999999992</v>
      </c>
      <c r="M25" s="56">
        <v>8.8000000000000007</v>
      </c>
      <c r="N25" s="56">
        <v>9.1</v>
      </c>
      <c r="O25" s="56">
        <v>9.17</v>
      </c>
      <c r="P25" s="56">
        <v>9.16</v>
      </c>
      <c r="Q25" s="56"/>
      <c r="R25" s="129">
        <f>AVERAGE(B25:Q25)</f>
        <v>8.679333333333334</v>
      </c>
      <c r="S25" s="130">
        <f>MAX(B25:Q25)</f>
        <v>9.26</v>
      </c>
      <c r="T25" s="130">
        <f t="shared" si="2"/>
        <v>8.7266666666666666</v>
      </c>
    </row>
    <row r="26" spans="1:20" ht="14" x14ac:dyDescent="0.3">
      <c r="A26" s="544" t="s">
        <v>158</v>
      </c>
      <c r="B26" s="64">
        <v>8.44</v>
      </c>
      <c r="C26" s="64">
        <v>8.07</v>
      </c>
      <c r="D26" s="64">
        <v>7.99</v>
      </c>
      <c r="E26" s="56">
        <v>8.6199999999999992</v>
      </c>
      <c r="F26" s="56">
        <v>8.4700000000000006</v>
      </c>
      <c r="G26" s="56">
        <v>8.7200000000000006</v>
      </c>
      <c r="H26" s="56">
        <v>8.4700000000000006</v>
      </c>
      <c r="I26" s="56">
        <v>8.76</v>
      </c>
      <c r="J26" s="56">
        <v>8.69</v>
      </c>
      <c r="K26" s="56">
        <v>9.2200000000000006</v>
      </c>
      <c r="L26" s="56">
        <v>8.3800000000000008</v>
      </c>
      <c r="M26" s="56">
        <v>8.7200000000000006</v>
      </c>
      <c r="N26" s="56">
        <v>9.09</v>
      </c>
      <c r="O26" s="56">
        <v>9.16</v>
      </c>
      <c r="P26" s="56">
        <v>9.14</v>
      </c>
      <c r="Q26" s="56"/>
      <c r="R26" s="129">
        <f t="shared" ref="R26:R36" si="23">AVERAGE(B26:Q26)</f>
        <v>8.6626666666666665</v>
      </c>
      <c r="S26" s="130">
        <f t="shared" ref="S26:S36" si="24">MAX(B26:Q26)</f>
        <v>9.2200000000000006</v>
      </c>
      <c r="T26" s="130">
        <f t="shared" si="2"/>
        <v>8.706666666666667</v>
      </c>
    </row>
    <row r="27" spans="1:20" ht="14" x14ac:dyDescent="0.3">
      <c r="A27" s="544" t="s">
        <v>454</v>
      </c>
      <c r="B27" s="64">
        <v>8.39</v>
      </c>
      <c r="C27" s="64">
        <v>8.0399999999999991</v>
      </c>
      <c r="D27" s="64">
        <v>7.99</v>
      </c>
      <c r="E27" s="56">
        <v>8.5500000000000007</v>
      </c>
      <c r="F27" s="56">
        <v>8.4499999999999993</v>
      </c>
      <c r="G27" s="56">
        <v>8.73</v>
      </c>
      <c r="H27" s="56">
        <v>8.4700000000000006</v>
      </c>
      <c r="I27" s="56">
        <v>8.73</v>
      </c>
      <c r="J27" s="56">
        <v>8.65</v>
      </c>
      <c r="K27" s="56">
        <v>9.2100000000000009</v>
      </c>
      <c r="L27" s="56">
        <v>8.34</v>
      </c>
      <c r="M27" s="56">
        <v>8.76</v>
      </c>
      <c r="N27" s="56">
        <v>8.93</v>
      </c>
      <c r="O27" s="56">
        <v>9.1999999999999993</v>
      </c>
      <c r="P27" s="56">
        <v>9.16</v>
      </c>
      <c r="Q27" s="56"/>
      <c r="R27" s="129">
        <f t="shared" si="23"/>
        <v>8.6400000000000023</v>
      </c>
      <c r="S27" s="130">
        <f t="shared" si="24"/>
        <v>9.2100000000000009</v>
      </c>
      <c r="T27" s="130">
        <f t="shared" si="2"/>
        <v>8.6933333333333334</v>
      </c>
    </row>
    <row r="28" spans="1:20" ht="14" x14ac:dyDescent="0.3">
      <c r="A28" s="544" t="s">
        <v>159</v>
      </c>
      <c r="B28" s="64">
        <v>8.24</v>
      </c>
      <c r="C28" s="64">
        <v>7.97</v>
      </c>
      <c r="D28" s="64">
        <v>7.98</v>
      </c>
      <c r="E28" s="56">
        <v>8.48</v>
      </c>
      <c r="F28" s="56">
        <v>8.4499999999999993</v>
      </c>
      <c r="G28" s="56">
        <v>8.73</v>
      </c>
      <c r="H28" s="56">
        <v>8.4600000000000009</v>
      </c>
      <c r="I28" s="56">
        <v>8.7200000000000006</v>
      </c>
      <c r="J28" s="56">
        <v>8.65</v>
      </c>
      <c r="K28" s="56">
        <v>9.19</v>
      </c>
      <c r="L28" s="56">
        <v>8.35</v>
      </c>
      <c r="M28" s="56">
        <v>8.73</v>
      </c>
      <c r="N28" s="56">
        <v>8.94</v>
      </c>
      <c r="O28" s="56">
        <v>9.18</v>
      </c>
      <c r="P28" s="56">
        <v>9.16</v>
      </c>
      <c r="Q28" s="56"/>
      <c r="R28" s="129">
        <f t="shared" si="23"/>
        <v>8.615333333333334</v>
      </c>
      <c r="S28" s="130">
        <f t="shared" si="24"/>
        <v>9.19</v>
      </c>
      <c r="T28" s="130">
        <f t="shared" si="2"/>
        <v>8.6833333333333318</v>
      </c>
    </row>
    <row r="29" spans="1:20" ht="14" x14ac:dyDescent="0.3">
      <c r="A29" s="544" t="s">
        <v>455</v>
      </c>
      <c r="B29" s="64">
        <v>8.0299999999999994</v>
      </c>
      <c r="C29" s="64">
        <v>7.95</v>
      </c>
      <c r="D29" s="64">
        <v>7.98</v>
      </c>
      <c r="E29" s="56">
        <v>8.4499999999999993</v>
      </c>
      <c r="F29" s="56">
        <v>8.41</v>
      </c>
      <c r="G29" s="56">
        <v>8.73</v>
      </c>
      <c r="H29" s="56">
        <v>8.4700000000000006</v>
      </c>
      <c r="I29" s="56">
        <v>8.69</v>
      </c>
      <c r="J29" s="56">
        <v>8.64</v>
      </c>
      <c r="K29" s="56">
        <v>9.18</v>
      </c>
      <c r="L29" s="56">
        <v>8.32</v>
      </c>
      <c r="M29" s="56">
        <v>8.73</v>
      </c>
      <c r="N29" s="56">
        <v>8.92</v>
      </c>
      <c r="O29" s="56">
        <v>9.2200000000000006</v>
      </c>
      <c r="P29" s="56">
        <v>9.18</v>
      </c>
      <c r="Q29" s="56"/>
      <c r="R29" s="129">
        <f t="shared" si="23"/>
        <v>8.5933333333333337</v>
      </c>
      <c r="S29" s="130">
        <f t="shared" si="24"/>
        <v>9.2200000000000006</v>
      </c>
      <c r="T29" s="130">
        <f t="shared" si="2"/>
        <v>8.6716666666666669</v>
      </c>
    </row>
    <row r="30" spans="1:20" ht="14" x14ac:dyDescent="0.3">
      <c r="A30" s="544" t="s">
        <v>160</v>
      </c>
      <c r="B30" s="64">
        <v>8</v>
      </c>
      <c r="C30" s="64">
        <v>7.85</v>
      </c>
      <c r="D30" s="64">
        <v>7.97</v>
      </c>
      <c r="E30" s="56">
        <v>8.39</v>
      </c>
      <c r="F30" s="56">
        <v>8.2899999999999991</v>
      </c>
      <c r="G30" s="56">
        <v>8.7200000000000006</v>
      </c>
      <c r="H30" s="56">
        <v>8.4499999999999993</v>
      </c>
      <c r="I30" s="56">
        <v>8.69</v>
      </c>
      <c r="J30" s="56">
        <v>8.6199999999999992</v>
      </c>
      <c r="K30" s="56">
        <v>9.19</v>
      </c>
      <c r="L30" s="56">
        <v>8.3000000000000007</v>
      </c>
      <c r="M30" s="56">
        <v>8.73</v>
      </c>
      <c r="N30" s="56">
        <v>8.91</v>
      </c>
      <c r="O30" s="56">
        <v>9.18</v>
      </c>
      <c r="P30" s="56">
        <v>9.19</v>
      </c>
      <c r="Q30" s="56"/>
      <c r="R30" s="129">
        <f t="shared" si="23"/>
        <v>8.5653333333333332</v>
      </c>
      <c r="S30" s="130">
        <f t="shared" si="24"/>
        <v>9.19</v>
      </c>
      <c r="T30" s="130">
        <f t="shared" si="2"/>
        <v>8.663333333333334</v>
      </c>
    </row>
    <row r="31" spans="1:20" ht="14" x14ac:dyDescent="0.3">
      <c r="A31" s="544" t="s">
        <v>456</v>
      </c>
      <c r="B31" s="64">
        <v>7.95</v>
      </c>
      <c r="C31" s="64">
        <v>7.81</v>
      </c>
      <c r="D31" s="64">
        <v>7.99</v>
      </c>
      <c r="E31" s="56">
        <v>8.36</v>
      </c>
      <c r="F31" s="56">
        <v>8.2200000000000006</v>
      </c>
      <c r="G31" s="56">
        <v>8.69</v>
      </c>
      <c r="H31" s="56">
        <v>8.44</v>
      </c>
      <c r="I31" s="56">
        <v>8.69</v>
      </c>
      <c r="J31" s="56">
        <v>8.6300000000000008</v>
      </c>
      <c r="K31" s="56">
        <v>9.17</v>
      </c>
      <c r="L31" s="56">
        <v>8.32</v>
      </c>
      <c r="M31" s="56">
        <v>8.74</v>
      </c>
      <c r="N31" s="56">
        <v>8.91</v>
      </c>
      <c r="O31" s="56">
        <v>9.18</v>
      </c>
      <c r="P31" s="56">
        <v>9.2200000000000006</v>
      </c>
      <c r="Q31" s="56"/>
      <c r="R31" s="129">
        <f t="shared" si="23"/>
        <v>8.5546666666666642</v>
      </c>
      <c r="S31" s="130">
        <f t="shared" si="24"/>
        <v>9.2200000000000006</v>
      </c>
      <c r="T31" s="130">
        <f t="shared" si="2"/>
        <v>8.6650000000000009</v>
      </c>
    </row>
    <row r="32" spans="1:20" ht="14" x14ac:dyDescent="0.3">
      <c r="A32" s="544" t="s">
        <v>161</v>
      </c>
      <c r="B32" s="64">
        <v>9.92</v>
      </c>
      <c r="C32" s="64">
        <v>7.77</v>
      </c>
      <c r="D32" s="64">
        <v>7.99</v>
      </c>
      <c r="E32" s="56">
        <v>8.31</v>
      </c>
      <c r="F32" s="56">
        <v>8.16</v>
      </c>
      <c r="G32" s="56">
        <v>9.67</v>
      </c>
      <c r="H32" s="56">
        <v>8.4499999999999993</v>
      </c>
      <c r="I32" s="56">
        <v>8.68</v>
      </c>
      <c r="J32" s="56">
        <v>8.6199999999999992</v>
      </c>
      <c r="K32" s="56">
        <v>9.16</v>
      </c>
      <c r="L32" s="56">
        <v>8.31</v>
      </c>
      <c r="M32" s="56">
        <v>8.74</v>
      </c>
      <c r="N32" s="56">
        <v>8.91</v>
      </c>
      <c r="O32" s="56">
        <v>9.19</v>
      </c>
      <c r="P32" s="56">
        <v>9.17</v>
      </c>
      <c r="Q32" s="56"/>
      <c r="R32" s="129">
        <f t="shared" si="23"/>
        <v>8.7366666666666681</v>
      </c>
      <c r="S32" s="130">
        <f t="shared" si="24"/>
        <v>9.92</v>
      </c>
      <c r="T32" s="130">
        <f t="shared" si="2"/>
        <v>8.66</v>
      </c>
    </row>
    <row r="33" spans="1:20" ht="14" x14ac:dyDescent="0.3">
      <c r="A33" s="544" t="s">
        <v>162</v>
      </c>
      <c r="B33" s="64">
        <v>7.85</v>
      </c>
      <c r="C33" s="64">
        <v>7.69</v>
      </c>
      <c r="D33" s="64">
        <v>7.97</v>
      </c>
      <c r="E33" s="56">
        <v>8.27</v>
      </c>
      <c r="F33" s="56">
        <v>8.1199999999999992</v>
      </c>
      <c r="G33" s="56">
        <v>8.67</v>
      </c>
      <c r="H33" s="56">
        <v>8.44</v>
      </c>
      <c r="I33" s="56">
        <v>8.66</v>
      </c>
      <c r="J33" s="56">
        <v>8.6</v>
      </c>
      <c r="K33" s="56">
        <v>9.17</v>
      </c>
      <c r="L33" s="56">
        <v>8.32</v>
      </c>
      <c r="M33" s="56">
        <v>8.74</v>
      </c>
      <c r="N33" s="56">
        <v>8.8699999999999992</v>
      </c>
      <c r="O33" s="56">
        <v>9.1999999999999993</v>
      </c>
      <c r="P33" s="56">
        <v>9.16</v>
      </c>
      <c r="Q33" s="56"/>
      <c r="R33" s="129">
        <f t="shared" si="23"/>
        <v>8.5153333333333325</v>
      </c>
      <c r="S33" s="130">
        <f t="shared" si="24"/>
        <v>9.1999999999999993</v>
      </c>
      <c r="T33" s="130">
        <f t="shared" si="2"/>
        <v>8.6550000000000011</v>
      </c>
    </row>
    <row r="34" spans="1:20" ht="14" x14ac:dyDescent="0.3">
      <c r="A34" s="544" t="s">
        <v>163</v>
      </c>
      <c r="B34" s="64">
        <v>7.75</v>
      </c>
      <c r="C34" s="64">
        <v>7.61</v>
      </c>
      <c r="D34" s="64">
        <v>7.82</v>
      </c>
      <c r="E34" s="56">
        <v>8.17</v>
      </c>
      <c r="F34" s="56">
        <v>8.0299999999999994</v>
      </c>
      <c r="G34" s="56">
        <v>8.67</v>
      </c>
      <c r="H34" s="56">
        <v>8.43</v>
      </c>
      <c r="I34" s="56">
        <v>8.66</v>
      </c>
      <c r="J34" s="56">
        <v>8.59</v>
      </c>
      <c r="K34" s="56">
        <v>9.18</v>
      </c>
      <c r="L34" s="56">
        <v>8.3000000000000007</v>
      </c>
      <c r="M34" s="56">
        <v>8.74</v>
      </c>
      <c r="N34" s="56">
        <v>8.8000000000000007</v>
      </c>
      <c r="O34" s="56">
        <v>9.1999999999999993</v>
      </c>
      <c r="P34" s="56">
        <v>9.16</v>
      </c>
      <c r="Q34" s="56"/>
      <c r="R34" s="129">
        <f t="shared" si="23"/>
        <v>8.4739999999999984</v>
      </c>
      <c r="S34" s="130">
        <f t="shared" si="24"/>
        <v>9.1999999999999993</v>
      </c>
      <c r="T34" s="130">
        <f t="shared" si="2"/>
        <v>8.65</v>
      </c>
    </row>
    <row r="35" spans="1:20" ht="14" x14ac:dyDescent="0.3">
      <c r="A35" s="544" t="s">
        <v>164</v>
      </c>
      <c r="B35" s="64">
        <v>7.67</v>
      </c>
      <c r="C35" s="64">
        <v>7.45</v>
      </c>
      <c r="D35" s="64">
        <v>7.71</v>
      </c>
      <c r="E35" s="56">
        <v>7.98</v>
      </c>
      <c r="F35" s="56">
        <v>7.91</v>
      </c>
      <c r="G35" s="56">
        <v>8.65</v>
      </c>
      <c r="H35" s="56">
        <v>8.43</v>
      </c>
      <c r="I35" s="56">
        <v>8.65</v>
      </c>
      <c r="J35" s="56">
        <v>8.57</v>
      </c>
      <c r="K35" s="56">
        <v>9.19</v>
      </c>
      <c r="L35" s="56">
        <v>8.2799999999999994</v>
      </c>
      <c r="M35" s="56">
        <v>8.7200000000000006</v>
      </c>
      <c r="N35" s="56"/>
      <c r="O35" s="56">
        <v>9.17</v>
      </c>
      <c r="P35" s="56">
        <v>9.1199999999999992</v>
      </c>
      <c r="Q35" s="56"/>
      <c r="R35" s="129">
        <f t="shared" si="23"/>
        <v>8.3928571428571441</v>
      </c>
      <c r="S35" s="130">
        <f t="shared" si="24"/>
        <v>9.19</v>
      </c>
      <c r="T35" s="130">
        <f t="shared" si="2"/>
        <v>8.6399999999999988</v>
      </c>
    </row>
    <row r="36" spans="1:20" ht="14" x14ac:dyDescent="0.3">
      <c r="A36" s="544" t="s">
        <v>165</v>
      </c>
      <c r="B36" s="64">
        <v>7.56</v>
      </c>
      <c r="C36" s="64">
        <v>7.37</v>
      </c>
      <c r="D36" s="64">
        <v>7.62</v>
      </c>
      <c r="E36" s="56">
        <v>7.85</v>
      </c>
      <c r="F36" s="56">
        <v>7.75</v>
      </c>
      <c r="G36" s="56">
        <v>8.5299999999999994</v>
      </c>
      <c r="H36" s="56">
        <v>8.43</v>
      </c>
      <c r="I36" s="56">
        <v>8.57</v>
      </c>
      <c r="J36" s="56">
        <v>8.5299999999999994</v>
      </c>
      <c r="K36" s="56"/>
      <c r="L36" s="56"/>
      <c r="M36" s="56"/>
      <c r="N36" s="56"/>
      <c r="O36" s="56">
        <v>9.14</v>
      </c>
      <c r="P36" s="56"/>
      <c r="Q36" s="56"/>
      <c r="R36" s="129">
        <f t="shared" si="23"/>
        <v>8.1349999999999998</v>
      </c>
      <c r="S36" s="130">
        <f t="shared" si="24"/>
        <v>9.14</v>
      </c>
      <c r="T36" s="130">
        <f t="shared" si="2"/>
        <v>8.51</v>
      </c>
    </row>
    <row r="37" spans="1:20" x14ac:dyDescent="0.3">
      <c r="A37" s="566" t="s">
        <v>854</v>
      </c>
      <c r="B37" s="576">
        <f>AVERAGE(B25:B28)</f>
        <v>8.42</v>
      </c>
      <c r="C37" s="576">
        <f t="shared" ref="C37" si="25">AVERAGE(C25:C28)</f>
        <v>8.0250000000000004</v>
      </c>
      <c r="D37" s="576">
        <f t="shared" ref="D37:E37" si="26">AVERAGE(D25:D28)</f>
        <v>7.9825000000000008</v>
      </c>
      <c r="E37" s="576">
        <f t="shared" si="26"/>
        <v>8.5724999999999998</v>
      </c>
      <c r="F37" s="576">
        <f t="shared" ref="F37:G37" si="27">AVERAGE(F25:F28)</f>
        <v>8.4499999999999993</v>
      </c>
      <c r="G37" s="576">
        <f t="shared" si="27"/>
        <v>8.7275000000000009</v>
      </c>
      <c r="H37" s="576">
        <f t="shared" ref="H37:I37" si="28">AVERAGE(H25:H28)</f>
        <v>8.4675000000000011</v>
      </c>
      <c r="I37" s="576">
        <f t="shared" si="28"/>
        <v>8.7475000000000005</v>
      </c>
      <c r="J37" s="576">
        <f t="shared" ref="J37:K37" si="29">AVERAGE(J25:J28)</f>
        <v>8.6674999999999986</v>
      </c>
      <c r="K37" s="576">
        <f t="shared" si="29"/>
        <v>9.2200000000000006</v>
      </c>
      <c r="L37" s="576">
        <f t="shared" ref="L37:M37" si="30">AVERAGE(L25:L28)</f>
        <v>8.36</v>
      </c>
      <c r="M37" s="576">
        <f t="shared" si="30"/>
        <v>8.7525000000000013</v>
      </c>
      <c r="N37" s="576">
        <f t="shared" ref="N37:O37" si="31">AVERAGE(N25:N28)</f>
        <v>9.0149999999999988</v>
      </c>
      <c r="O37" s="576">
        <f t="shared" si="31"/>
        <v>9.1774999999999984</v>
      </c>
      <c r="P37" s="576">
        <f t="shared" ref="P37:T37" si="32">AVERAGE(P25:P28)</f>
        <v>9.1550000000000011</v>
      </c>
      <c r="Q37" s="576"/>
      <c r="R37" s="576">
        <f t="shared" si="32"/>
        <v>8.6493333333333329</v>
      </c>
      <c r="S37" s="576">
        <f t="shared" si="32"/>
        <v>9.2200000000000006</v>
      </c>
      <c r="T37" s="576">
        <f t="shared" si="32"/>
        <v>8.7024999999999988</v>
      </c>
    </row>
    <row r="38" spans="1:20" x14ac:dyDescent="0.3">
      <c r="A38" s="566" t="s">
        <v>855</v>
      </c>
      <c r="B38" s="576">
        <f>AVERAGE(B25:B36)</f>
        <v>8.2008333333333336</v>
      </c>
      <c r="C38" s="576">
        <f t="shared" ref="C38" si="33">AVERAGE(C25:C36)</f>
        <v>7.8000000000000007</v>
      </c>
      <c r="D38" s="576">
        <f t="shared" ref="D38:E38" si="34">AVERAGE(D25:D36)</f>
        <v>7.915</v>
      </c>
      <c r="E38" s="576">
        <f t="shared" si="34"/>
        <v>8.3391666666666655</v>
      </c>
      <c r="F38" s="576">
        <f t="shared" ref="F38:G38" si="35">AVERAGE(F25:F36)</f>
        <v>8.2241666666666671</v>
      </c>
      <c r="G38" s="576">
        <f t="shared" si="35"/>
        <v>8.7700000000000014</v>
      </c>
      <c r="H38" s="576">
        <f t="shared" ref="H38:I38" si="36">AVERAGE(H25:H36)</f>
        <v>8.4508333333333354</v>
      </c>
      <c r="I38" s="576">
        <f t="shared" si="36"/>
        <v>8.69</v>
      </c>
      <c r="J38" s="576">
        <f t="shared" ref="J38:K38" si="37">AVERAGE(J25:J36)</f>
        <v>8.6225000000000005</v>
      </c>
      <c r="K38" s="576">
        <f t="shared" si="37"/>
        <v>9.1927272727272733</v>
      </c>
      <c r="L38" s="576">
        <f t="shared" ref="L38:M38" si="38">AVERAGE(L25:L36)</f>
        <v>8.3263636363636362</v>
      </c>
      <c r="M38" s="576">
        <f t="shared" si="38"/>
        <v>8.7409090909090921</v>
      </c>
      <c r="N38" s="576">
        <f t="shared" ref="N38:O38" si="39">AVERAGE(N25:N36)</f>
        <v>8.9379999999999988</v>
      </c>
      <c r="O38" s="576">
        <f t="shared" si="39"/>
        <v>9.1824999999999992</v>
      </c>
      <c r="P38" s="576">
        <f t="shared" ref="P38:T38" si="40">AVERAGE(P25:P36)</f>
        <v>9.165454545454546</v>
      </c>
      <c r="Q38" s="576"/>
      <c r="R38" s="576">
        <f t="shared" si="40"/>
        <v>8.5470436507936505</v>
      </c>
      <c r="S38" s="576">
        <f t="shared" si="40"/>
        <v>9.2633333333333336</v>
      </c>
      <c r="T38" s="576">
        <f t="shared" si="40"/>
        <v>8.6604166666666682</v>
      </c>
    </row>
    <row r="39" spans="1:20" ht="15.5" x14ac:dyDescent="0.35">
      <c r="A39" s="798" t="s">
        <v>805</v>
      </c>
      <c r="B39" s="799"/>
      <c r="C39" s="799"/>
      <c r="D39" s="799"/>
      <c r="E39" s="799"/>
      <c r="F39" s="799"/>
      <c r="G39" s="799"/>
      <c r="H39" s="799"/>
      <c r="I39" s="799"/>
      <c r="J39" s="799"/>
      <c r="K39" s="799"/>
      <c r="L39" s="799"/>
      <c r="M39" s="799"/>
      <c r="N39" s="799"/>
      <c r="O39" s="799"/>
      <c r="P39" s="799"/>
      <c r="Q39" s="799"/>
      <c r="R39" s="799"/>
      <c r="S39" s="799"/>
      <c r="T39" s="800"/>
    </row>
    <row r="40" spans="1:20" ht="14" x14ac:dyDescent="0.3">
      <c r="A40" s="544" t="s">
        <v>453</v>
      </c>
      <c r="B40" s="64">
        <v>8.08</v>
      </c>
      <c r="C40" s="64">
        <v>7.98</v>
      </c>
      <c r="D40" s="64">
        <v>7.79</v>
      </c>
      <c r="E40" s="56">
        <v>8.5299999999999994</v>
      </c>
      <c r="F40" s="56">
        <v>8.3800000000000008</v>
      </c>
      <c r="G40" s="56">
        <v>8.7100000000000009</v>
      </c>
      <c r="H40" s="56">
        <v>8.4700000000000006</v>
      </c>
      <c r="I40" s="56">
        <v>8.77</v>
      </c>
      <c r="J40" s="56">
        <v>8.69</v>
      </c>
      <c r="K40" s="56">
        <v>9.11</v>
      </c>
      <c r="L40" s="56">
        <v>8.33</v>
      </c>
      <c r="M40" s="56">
        <v>8.74</v>
      </c>
      <c r="N40" s="56">
        <v>8.89</v>
      </c>
      <c r="O40" s="56">
        <v>9.26</v>
      </c>
      <c r="P40" s="56">
        <v>9.26</v>
      </c>
      <c r="Q40" s="56"/>
      <c r="R40" s="129">
        <f>AVERAGE(B40:Q40)</f>
        <v>8.5993333333333339</v>
      </c>
      <c r="S40" s="130">
        <f>MAX(B40:Q40)</f>
        <v>9.26</v>
      </c>
      <c r="T40" s="130">
        <f t="shared" si="2"/>
        <v>8.6850000000000005</v>
      </c>
    </row>
    <row r="41" spans="1:20" ht="14" x14ac:dyDescent="0.3">
      <c r="A41" s="544" t="s">
        <v>158</v>
      </c>
      <c r="B41" s="64">
        <v>7.98</v>
      </c>
      <c r="C41" s="64">
        <v>7.84</v>
      </c>
      <c r="D41" s="64">
        <v>7.82</v>
      </c>
      <c r="E41" s="56">
        <v>8.5299999999999994</v>
      </c>
      <c r="F41" s="56">
        <v>8.4</v>
      </c>
      <c r="G41" s="56">
        <v>8.73</v>
      </c>
      <c r="H41" s="56">
        <v>8.4600000000000009</v>
      </c>
      <c r="I41" s="56">
        <v>8.76</v>
      </c>
      <c r="J41" s="56">
        <v>8.73</v>
      </c>
      <c r="K41" s="56">
        <v>9.19</v>
      </c>
      <c r="L41" s="56">
        <v>8.34</v>
      </c>
      <c r="M41" s="56">
        <v>8.74</v>
      </c>
      <c r="N41" s="56">
        <v>8.86</v>
      </c>
      <c r="O41" s="56">
        <v>9.2200000000000006</v>
      </c>
      <c r="P41" s="56">
        <v>9.24</v>
      </c>
      <c r="Q41" s="56"/>
      <c r="R41" s="129">
        <f t="shared" ref="R41:R48" si="41">AVERAGE(B41:Q41)</f>
        <v>8.5893333333333342</v>
      </c>
      <c r="S41" s="130">
        <f t="shared" ref="S41:S48" si="42">MAX(B41:Q41)</f>
        <v>9.24</v>
      </c>
      <c r="T41" s="130">
        <f t="shared" si="2"/>
        <v>8.7033333333333349</v>
      </c>
    </row>
    <row r="42" spans="1:20" ht="14" x14ac:dyDescent="0.3">
      <c r="A42" s="544" t="s">
        <v>454</v>
      </c>
      <c r="B42" s="64">
        <v>7.93</v>
      </c>
      <c r="C42" s="64">
        <v>7.82</v>
      </c>
      <c r="D42" s="64">
        <v>7.81</v>
      </c>
      <c r="E42" s="56">
        <v>8.51</v>
      </c>
      <c r="F42" s="56">
        <v>8.39</v>
      </c>
      <c r="G42" s="56">
        <v>8.7100000000000009</v>
      </c>
      <c r="H42" s="56">
        <v>8.49</v>
      </c>
      <c r="I42" s="56">
        <v>8.75</v>
      </c>
      <c r="J42" s="56">
        <v>8.69</v>
      </c>
      <c r="K42" s="56">
        <v>9.18</v>
      </c>
      <c r="L42" s="56">
        <v>8.32</v>
      </c>
      <c r="M42" s="56">
        <v>8.7200000000000006</v>
      </c>
      <c r="N42" s="56">
        <v>8.8699999999999992</v>
      </c>
      <c r="O42" s="56">
        <v>9.2200000000000006</v>
      </c>
      <c r="P42" s="56">
        <v>9.1999999999999993</v>
      </c>
      <c r="Q42" s="56"/>
      <c r="R42" s="129">
        <f t="shared" si="41"/>
        <v>8.5739999999999998</v>
      </c>
      <c r="S42" s="130">
        <f t="shared" si="42"/>
        <v>9.2200000000000006</v>
      </c>
      <c r="T42" s="130">
        <f t="shared" si="2"/>
        <v>8.6916666666666664</v>
      </c>
    </row>
    <row r="43" spans="1:20" ht="14" x14ac:dyDescent="0.3">
      <c r="A43" s="544" t="s">
        <v>159</v>
      </c>
      <c r="B43" s="64">
        <v>7.94</v>
      </c>
      <c r="C43" s="64">
        <v>7.81</v>
      </c>
      <c r="D43" s="64">
        <v>7.82</v>
      </c>
      <c r="E43" s="56">
        <v>8.48</v>
      </c>
      <c r="F43" s="56">
        <v>8.39</v>
      </c>
      <c r="G43" s="56">
        <v>8.7200000000000006</v>
      </c>
      <c r="H43" s="56">
        <v>8.4600000000000009</v>
      </c>
      <c r="I43" s="56">
        <v>8.7799999999999994</v>
      </c>
      <c r="J43" s="56">
        <v>8.73</v>
      </c>
      <c r="K43" s="56">
        <v>9.2219999999999995</v>
      </c>
      <c r="L43" s="56">
        <v>8.34</v>
      </c>
      <c r="M43" s="56">
        <v>8.74</v>
      </c>
      <c r="N43" s="56">
        <v>8.89</v>
      </c>
      <c r="O43" s="56">
        <v>9.2100000000000009</v>
      </c>
      <c r="P43" s="56">
        <v>9.2200000000000006</v>
      </c>
      <c r="Q43" s="56"/>
      <c r="R43" s="129">
        <f t="shared" si="41"/>
        <v>8.5834666666666646</v>
      </c>
      <c r="S43" s="130">
        <f t="shared" si="42"/>
        <v>9.2219999999999995</v>
      </c>
      <c r="T43" s="130">
        <f t="shared" si="2"/>
        <v>8.7119999999999997</v>
      </c>
    </row>
    <row r="44" spans="1:20" ht="14" x14ac:dyDescent="0.3">
      <c r="A44" s="544" t="s">
        <v>455</v>
      </c>
      <c r="B44" s="64">
        <v>7.87</v>
      </c>
      <c r="C44" s="64">
        <v>7.74</v>
      </c>
      <c r="D44" s="64">
        <v>7.76</v>
      </c>
      <c r="E44" s="56">
        <v>8.4700000000000006</v>
      </c>
      <c r="F44" s="56">
        <v>8.34</v>
      </c>
      <c r="G44" s="56">
        <v>8.7200000000000006</v>
      </c>
      <c r="H44" s="56">
        <v>8.4600000000000009</v>
      </c>
      <c r="I44" s="56">
        <v>8.75</v>
      </c>
      <c r="J44" s="56">
        <v>8.6199999999999992</v>
      </c>
      <c r="K44" s="56">
        <v>9.19</v>
      </c>
      <c r="L44" s="56">
        <v>8.32</v>
      </c>
      <c r="M44" s="56">
        <v>8.75</v>
      </c>
      <c r="N44" s="56">
        <v>8.86</v>
      </c>
      <c r="O44" s="56">
        <v>9.1999999999999993</v>
      </c>
      <c r="P44" s="56">
        <v>9.18</v>
      </c>
      <c r="Q44" s="56"/>
      <c r="R44" s="129">
        <f t="shared" si="41"/>
        <v>8.5486666666666657</v>
      </c>
      <c r="S44" s="130">
        <f t="shared" si="42"/>
        <v>9.1999999999999993</v>
      </c>
      <c r="T44" s="130">
        <f t="shared" si="2"/>
        <v>8.6816666666666666</v>
      </c>
    </row>
    <row r="45" spans="1:20" ht="14" x14ac:dyDescent="0.3">
      <c r="A45" s="544" t="s">
        <v>160</v>
      </c>
      <c r="B45" s="64">
        <v>7.85</v>
      </c>
      <c r="C45" s="64">
        <v>7.6</v>
      </c>
      <c r="D45" s="64">
        <v>7.75</v>
      </c>
      <c r="E45" s="56">
        <v>8.4499999999999993</v>
      </c>
      <c r="F45" s="56">
        <v>8.31</v>
      </c>
      <c r="G45" s="56">
        <v>8.6999999999999993</v>
      </c>
      <c r="H45" s="56">
        <v>8.48</v>
      </c>
      <c r="I45" s="56">
        <v>8.7100000000000009</v>
      </c>
      <c r="J45" s="56">
        <v>8.6199999999999992</v>
      </c>
      <c r="K45" s="56">
        <v>9.1999999999999993</v>
      </c>
      <c r="L45" s="56">
        <v>8.3000000000000007</v>
      </c>
      <c r="M45" s="56">
        <v>8.73</v>
      </c>
      <c r="N45" s="56">
        <v>8.8699999999999992</v>
      </c>
      <c r="O45" s="56">
        <v>9.1999999999999993</v>
      </c>
      <c r="P45" s="56">
        <v>9.1999999999999993</v>
      </c>
      <c r="Q45" s="56"/>
      <c r="R45" s="129">
        <f t="shared" si="41"/>
        <v>8.5313333333333343</v>
      </c>
      <c r="S45" s="130">
        <f t="shared" si="42"/>
        <v>9.1999999999999993</v>
      </c>
      <c r="T45" s="130">
        <f t="shared" si="2"/>
        <v>8.6733333333333338</v>
      </c>
    </row>
    <row r="46" spans="1:20" ht="14" x14ac:dyDescent="0.3">
      <c r="A46" s="544" t="s">
        <v>456</v>
      </c>
      <c r="B46" s="64">
        <v>7.79</v>
      </c>
      <c r="C46" s="64">
        <v>7.51</v>
      </c>
      <c r="D46" s="64">
        <v>7.77</v>
      </c>
      <c r="E46" s="56">
        <v>8.42</v>
      </c>
      <c r="F46" s="56">
        <v>8.27</v>
      </c>
      <c r="G46" s="56">
        <v>8.6999999999999993</v>
      </c>
      <c r="H46" s="56">
        <v>8.48</v>
      </c>
      <c r="I46" s="56">
        <v>8.69</v>
      </c>
      <c r="J46" s="56">
        <v>8.65</v>
      </c>
      <c r="K46" s="56">
        <v>9.2200000000000006</v>
      </c>
      <c r="L46" s="56">
        <v>8.2899999999999991</v>
      </c>
      <c r="M46" s="56">
        <v>8.73</v>
      </c>
      <c r="N46" s="56">
        <v>8.86</v>
      </c>
      <c r="O46" s="56">
        <v>9.19</v>
      </c>
      <c r="P46" s="56">
        <v>9.18</v>
      </c>
      <c r="Q46" s="56"/>
      <c r="R46" s="129">
        <f t="shared" si="41"/>
        <v>8.5166666666666693</v>
      </c>
      <c r="S46" s="130">
        <f t="shared" si="42"/>
        <v>9.2200000000000006</v>
      </c>
      <c r="T46" s="130">
        <f t="shared" si="2"/>
        <v>8.6766666666666676</v>
      </c>
    </row>
    <row r="47" spans="1:20" ht="14" x14ac:dyDescent="0.3">
      <c r="A47" s="544" t="s">
        <v>161</v>
      </c>
      <c r="B47" s="64">
        <v>7.73</v>
      </c>
      <c r="C47" s="64">
        <v>7.47</v>
      </c>
      <c r="D47" s="64">
        <v>7.63</v>
      </c>
      <c r="E47" s="56">
        <v>8.39</v>
      </c>
      <c r="F47" s="56">
        <v>8.23</v>
      </c>
      <c r="G47" s="56">
        <v>8.68</v>
      </c>
      <c r="H47" s="56">
        <v>8.48</v>
      </c>
      <c r="I47" s="56">
        <v>8.68</v>
      </c>
      <c r="J47" s="56">
        <v>8.6199999999999992</v>
      </c>
      <c r="K47" s="56">
        <v>9.18</v>
      </c>
      <c r="L47" s="56">
        <v>8.2899999999999991</v>
      </c>
      <c r="M47" s="56">
        <v>8.73</v>
      </c>
      <c r="N47" s="56">
        <v>8.83</v>
      </c>
      <c r="O47" s="56">
        <v>9.1999999999999993</v>
      </c>
      <c r="P47" s="56">
        <v>9.1999999999999993</v>
      </c>
      <c r="Q47" s="56"/>
      <c r="R47" s="129">
        <f t="shared" si="41"/>
        <v>8.4893333333333327</v>
      </c>
      <c r="S47" s="130">
        <f t="shared" si="42"/>
        <v>9.1999999999999993</v>
      </c>
      <c r="T47" s="130">
        <f t="shared" si="2"/>
        <v>8.663333333333334</v>
      </c>
    </row>
    <row r="48" spans="1:20" ht="14" x14ac:dyDescent="0.3">
      <c r="A48" s="544" t="s">
        <v>162</v>
      </c>
      <c r="B48" s="64">
        <v>7.65</v>
      </c>
      <c r="C48" s="64">
        <v>7.39</v>
      </c>
      <c r="D48" s="64">
        <v>7.67</v>
      </c>
      <c r="E48" s="56">
        <v>8.25</v>
      </c>
      <c r="F48" s="56">
        <v>8.1199999999999992</v>
      </c>
      <c r="G48" s="56">
        <v>8.66</v>
      </c>
      <c r="H48" s="56">
        <v>8.4499999999999993</v>
      </c>
      <c r="I48" s="56"/>
      <c r="J48" s="56"/>
      <c r="K48" s="56"/>
      <c r="L48" s="56"/>
      <c r="M48" s="56"/>
      <c r="N48" s="56">
        <v>8.81</v>
      </c>
      <c r="O48" s="56">
        <v>9.19</v>
      </c>
      <c r="P48" s="56"/>
      <c r="Q48" s="56"/>
      <c r="R48" s="129">
        <f t="shared" si="41"/>
        <v>8.2433333333333323</v>
      </c>
      <c r="S48" s="130">
        <f t="shared" si="42"/>
        <v>9.19</v>
      </c>
      <c r="T48" s="130">
        <f t="shared" si="2"/>
        <v>8.4499999999999993</v>
      </c>
    </row>
    <row r="49" spans="1:20" x14ac:dyDescent="0.3">
      <c r="A49" s="566" t="s">
        <v>854</v>
      </c>
      <c r="B49" s="576">
        <f>AVERAGE(B40:B43)</f>
        <v>7.9825000000000008</v>
      </c>
      <c r="C49" s="576">
        <f t="shared" ref="C49" si="43">AVERAGE(C40:C43)</f>
        <v>7.8624999999999998</v>
      </c>
      <c r="D49" s="576">
        <f t="shared" ref="D49:E49" si="44">AVERAGE(D40:D43)</f>
        <v>7.81</v>
      </c>
      <c r="E49" s="576">
        <f t="shared" si="44"/>
        <v>8.5124999999999993</v>
      </c>
      <c r="F49" s="576">
        <f t="shared" ref="F49:G49" si="45">AVERAGE(F40:F43)</f>
        <v>8.39</v>
      </c>
      <c r="G49" s="576">
        <f t="shared" si="45"/>
        <v>8.7175000000000011</v>
      </c>
      <c r="H49" s="576">
        <f t="shared" ref="H49:I49" si="46">AVERAGE(H40:H43)</f>
        <v>8.4700000000000006</v>
      </c>
      <c r="I49" s="576">
        <f t="shared" si="46"/>
        <v>8.7650000000000006</v>
      </c>
      <c r="J49" s="576">
        <f t="shared" ref="J49:K49" si="47">AVERAGE(J40:J43)</f>
        <v>8.7100000000000009</v>
      </c>
      <c r="K49" s="576">
        <f t="shared" si="47"/>
        <v>9.1754999999999995</v>
      </c>
      <c r="L49" s="576">
        <f t="shared" ref="L49:M49" si="48">AVERAGE(L40:L43)</f>
        <v>8.3324999999999996</v>
      </c>
      <c r="M49" s="576">
        <f t="shared" si="48"/>
        <v>8.7350000000000012</v>
      </c>
      <c r="N49" s="576">
        <f t="shared" ref="N49:O49" si="49">AVERAGE(N40:N43)</f>
        <v>8.8774999999999995</v>
      </c>
      <c r="O49" s="576">
        <f t="shared" si="49"/>
        <v>9.2275000000000009</v>
      </c>
      <c r="P49" s="576">
        <f t="shared" ref="P49:T49" si="50">AVERAGE(P40:P43)</f>
        <v>9.23</v>
      </c>
      <c r="Q49" s="576"/>
      <c r="R49" s="576">
        <f t="shared" si="50"/>
        <v>8.5865333333333336</v>
      </c>
      <c r="S49" s="576">
        <f t="shared" si="50"/>
        <v>9.2355</v>
      </c>
      <c r="T49" s="576">
        <f t="shared" si="50"/>
        <v>8.6980000000000004</v>
      </c>
    </row>
    <row r="50" spans="1:20" x14ac:dyDescent="0.3">
      <c r="A50" s="544" t="s">
        <v>823</v>
      </c>
      <c r="B50" s="576">
        <f t="shared" ref="B50:O50" si="51">AVERAGE(B40:B48)</f>
        <v>7.8688888888888897</v>
      </c>
      <c r="C50" s="576">
        <f t="shared" si="51"/>
        <v>7.684444444444444</v>
      </c>
      <c r="D50" s="576">
        <f t="shared" si="51"/>
        <v>7.7577777777777772</v>
      </c>
      <c r="E50" s="576">
        <f t="shared" si="51"/>
        <v>8.4477777777777785</v>
      </c>
      <c r="F50" s="576">
        <f t="shared" si="51"/>
        <v>8.3144444444444456</v>
      </c>
      <c r="G50" s="576">
        <f t="shared" si="51"/>
        <v>8.7033333333333349</v>
      </c>
      <c r="H50" s="576">
        <f t="shared" si="51"/>
        <v>8.4700000000000024</v>
      </c>
      <c r="I50" s="576">
        <f t="shared" si="51"/>
        <v>8.7362500000000001</v>
      </c>
      <c r="J50" s="576">
        <f t="shared" si="51"/>
        <v>8.6687499999999993</v>
      </c>
      <c r="K50" s="576">
        <f t="shared" si="51"/>
        <v>9.1864999999999988</v>
      </c>
      <c r="L50" s="576">
        <f t="shared" si="51"/>
        <v>8.3162500000000001</v>
      </c>
      <c r="M50" s="576">
        <f t="shared" si="51"/>
        <v>8.7350000000000012</v>
      </c>
      <c r="N50" s="576">
        <f t="shared" si="51"/>
        <v>8.86</v>
      </c>
      <c r="O50" s="576">
        <f t="shared" si="51"/>
        <v>9.2100000000000009</v>
      </c>
      <c r="P50" s="576">
        <f t="shared" ref="P50:T50" si="52">AVERAGE(P40:P48)</f>
        <v>9.2099999999999991</v>
      </c>
      <c r="Q50" s="576"/>
      <c r="R50" s="576">
        <f t="shared" si="52"/>
        <v>8.5194962962962961</v>
      </c>
      <c r="S50" s="576">
        <f t="shared" si="52"/>
        <v>9.2168888888888887</v>
      </c>
      <c r="T50" s="576">
        <f t="shared" si="52"/>
        <v>8.6596666666666664</v>
      </c>
    </row>
    <row r="51" spans="1:20" ht="15.5" x14ac:dyDescent="0.35">
      <c r="A51" s="798" t="s">
        <v>806</v>
      </c>
      <c r="B51" s="799"/>
      <c r="C51" s="799"/>
      <c r="D51" s="799"/>
      <c r="E51" s="799"/>
      <c r="F51" s="799"/>
      <c r="G51" s="799"/>
      <c r="H51" s="799"/>
      <c r="I51" s="799"/>
      <c r="J51" s="799"/>
      <c r="K51" s="799"/>
      <c r="L51" s="799"/>
      <c r="M51" s="799"/>
      <c r="N51" s="799"/>
      <c r="O51" s="799"/>
      <c r="P51" s="799"/>
      <c r="Q51" s="799"/>
      <c r="R51" s="799"/>
      <c r="S51" s="799"/>
      <c r="T51" s="800"/>
    </row>
    <row r="52" spans="1:20" ht="14" x14ac:dyDescent="0.3">
      <c r="A52" s="544" t="s">
        <v>453</v>
      </c>
      <c r="B52" s="64">
        <v>8.67</v>
      </c>
      <c r="C52" s="64">
        <v>8.56</v>
      </c>
      <c r="D52" s="64">
        <v>7.87</v>
      </c>
      <c r="E52" s="56">
        <v>8.5399999999999991</v>
      </c>
      <c r="F52" s="56">
        <v>8.42</v>
      </c>
      <c r="G52" s="56">
        <v>8.8000000000000007</v>
      </c>
      <c r="H52" s="56">
        <v>8.56</v>
      </c>
      <c r="I52" s="56">
        <v>8.7899999999999991</v>
      </c>
      <c r="J52" s="56">
        <v>8.7899999999999991</v>
      </c>
      <c r="K52" s="56">
        <v>9.1999999999999993</v>
      </c>
      <c r="L52" s="56">
        <v>8.4600000000000009</v>
      </c>
      <c r="M52" s="56">
        <v>8.76</v>
      </c>
      <c r="N52" s="56">
        <v>8.99</v>
      </c>
      <c r="O52" s="56">
        <v>9.1999999999999993</v>
      </c>
      <c r="P52" s="56">
        <v>9.24</v>
      </c>
      <c r="Q52" s="56">
        <v>8.83</v>
      </c>
      <c r="R52" s="129">
        <f>AVERAGE(B52:Q52)</f>
        <v>8.73</v>
      </c>
      <c r="S52" s="130">
        <f>MAX(B52:Q52)</f>
        <v>9.24</v>
      </c>
      <c r="T52" s="130">
        <f t="shared" si="2"/>
        <v>8.76</v>
      </c>
    </row>
    <row r="53" spans="1:20" ht="14" x14ac:dyDescent="0.3">
      <c r="A53" s="544" t="s">
        <v>158</v>
      </c>
      <c r="B53" s="64">
        <v>8.32</v>
      </c>
      <c r="C53" s="64">
        <v>8.58</v>
      </c>
      <c r="D53" s="64">
        <v>7.89</v>
      </c>
      <c r="E53" s="56">
        <v>8.52</v>
      </c>
      <c r="F53" s="56">
        <v>8.43</v>
      </c>
      <c r="G53" s="56">
        <v>9</v>
      </c>
      <c r="H53" s="56">
        <v>8.52</v>
      </c>
      <c r="I53" s="56">
        <v>8.8000000000000007</v>
      </c>
      <c r="J53" s="56">
        <v>8.86</v>
      </c>
      <c r="K53" s="56">
        <v>9.2200000000000006</v>
      </c>
      <c r="L53" s="56">
        <v>8.4600000000000009</v>
      </c>
      <c r="M53" s="56">
        <v>8.7799999999999994</v>
      </c>
      <c r="N53" s="56">
        <v>8.86</v>
      </c>
      <c r="O53" s="56">
        <v>9.19</v>
      </c>
      <c r="P53" s="56">
        <v>9.19</v>
      </c>
      <c r="Q53" s="56">
        <v>8.83</v>
      </c>
      <c r="R53" s="129">
        <f t="shared" ref="R53:R59" si="53">AVERAGE(B53:Q53)</f>
        <v>8.7156250000000011</v>
      </c>
      <c r="S53" s="130">
        <f t="shared" ref="S53:S59" si="54">MAX(B53:Q53)</f>
        <v>9.2200000000000006</v>
      </c>
      <c r="T53" s="130">
        <f t="shared" si="2"/>
        <v>8.7733333333333334</v>
      </c>
    </row>
    <row r="54" spans="1:20" ht="14" x14ac:dyDescent="0.3">
      <c r="A54" s="544" t="s">
        <v>454</v>
      </c>
      <c r="B54" s="64">
        <v>8.26</v>
      </c>
      <c r="C54" s="64">
        <v>8.35</v>
      </c>
      <c r="D54" s="64">
        <v>7.88</v>
      </c>
      <c r="E54" s="56">
        <v>8.51</v>
      </c>
      <c r="F54" s="56">
        <v>8.43</v>
      </c>
      <c r="G54" s="56">
        <v>8.6</v>
      </c>
      <c r="H54" s="56">
        <v>8.5</v>
      </c>
      <c r="I54" s="56">
        <v>8.83</v>
      </c>
      <c r="J54" s="56">
        <v>8.81</v>
      </c>
      <c r="K54" s="56">
        <v>9.2219999999999995</v>
      </c>
      <c r="L54" s="56">
        <v>8.4600000000000009</v>
      </c>
      <c r="M54" s="56">
        <v>8.76</v>
      </c>
      <c r="N54" s="56">
        <v>8.84</v>
      </c>
      <c r="O54" s="56">
        <v>9.19</v>
      </c>
      <c r="P54" s="56">
        <v>9.2200000000000006</v>
      </c>
      <c r="Q54" s="56">
        <v>8.83</v>
      </c>
      <c r="R54" s="129">
        <f t="shared" si="53"/>
        <v>8.6682500000000022</v>
      </c>
      <c r="S54" s="130">
        <f t="shared" si="54"/>
        <v>9.2219999999999995</v>
      </c>
      <c r="T54" s="130">
        <f t="shared" si="2"/>
        <v>8.7636666666666674</v>
      </c>
    </row>
    <row r="55" spans="1:20" ht="14" x14ac:dyDescent="0.3">
      <c r="A55" s="544" t="s">
        <v>159</v>
      </c>
      <c r="B55" s="64">
        <v>8.1999999999999993</v>
      </c>
      <c r="C55" s="64">
        <v>8.2200000000000006</v>
      </c>
      <c r="D55" s="64">
        <v>7.87</v>
      </c>
      <c r="E55" s="56">
        <v>8.5399999999999991</v>
      </c>
      <c r="F55" s="56">
        <v>8.44</v>
      </c>
      <c r="G55" s="56">
        <v>9.0500000000000007</v>
      </c>
      <c r="H55" s="56">
        <v>8.49</v>
      </c>
      <c r="I55" s="56">
        <v>8.83</v>
      </c>
      <c r="J55" s="56">
        <v>8.85</v>
      </c>
      <c r="K55" s="56">
        <v>9.2100000000000009</v>
      </c>
      <c r="L55" s="56">
        <v>8.49</v>
      </c>
      <c r="M55" s="56">
        <v>8.77</v>
      </c>
      <c r="N55" s="56">
        <v>8.83</v>
      </c>
      <c r="O55" s="56">
        <v>9.19</v>
      </c>
      <c r="P55" s="56">
        <v>9.18</v>
      </c>
      <c r="Q55" s="56"/>
      <c r="R55" s="129">
        <f t="shared" si="53"/>
        <v>8.6773333333333316</v>
      </c>
      <c r="S55" s="130">
        <f t="shared" si="54"/>
        <v>9.2100000000000009</v>
      </c>
      <c r="T55" s="130">
        <f t="shared" si="2"/>
        <v>8.7733333333333334</v>
      </c>
    </row>
    <row r="56" spans="1:20" ht="14" x14ac:dyDescent="0.3">
      <c r="A56" s="544" t="s">
        <v>455</v>
      </c>
      <c r="B56" s="64">
        <v>8.11</v>
      </c>
      <c r="C56" s="64">
        <v>8.11</v>
      </c>
      <c r="D56" s="64">
        <v>7.88</v>
      </c>
      <c r="E56" s="56">
        <v>8.42</v>
      </c>
      <c r="F56" s="56">
        <v>8.42</v>
      </c>
      <c r="G56" s="56"/>
      <c r="H56" s="56">
        <v>8.49</v>
      </c>
      <c r="I56" s="56">
        <v>8.7899999999999991</v>
      </c>
      <c r="J56" s="56">
        <v>8.83</v>
      </c>
      <c r="K56" s="56">
        <v>9.2200000000000006</v>
      </c>
      <c r="L56" s="56"/>
      <c r="M56" s="56">
        <v>8.77</v>
      </c>
      <c r="N56" s="56">
        <v>8.8000000000000007</v>
      </c>
      <c r="O56" s="56">
        <v>9.19</v>
      </c>
      <c r="P56" s="56"/>
      <c r="Q56" s="56"/>
      <c r="R56" s="129">
        <f t="shared" si="53"/>
        <v>8.5858333333333317</v>
      </c>
      <c r="S56" s="130">
        <f t="shared" si="54"/>
        <v>9.2200000000000006</v>
      </c>
      <c r="T56" s="130">
        <f t="shared" si="2"/>
        <v>8.8199999999999985</v>
      </c>
    </row>
    <row r="57" spans="1:20" ht="14" x14ac:dyDescent="0.3">
      <c r="A57" s="544" t="s">
        <v>160</v>
      </c>
      <c r="B57" s="64"/>
      <c r="C57" s="64">
        <v>8.06</v>
      </c>
      <c r="D57" s="64"/>
      <c r="E57" s="56">
        <v>8.27</v>
      </c>
      <c r="F57" s="56">
        <v>8.41</v>
      </c>
      <c r="G57" s="56"/>
      <c r="H57" s="56">
        <v>8.49</v>
      </c>
      <c r="I57" s="56">
        <v>8.75</v>
      </c>
      <c r="J57" s="56">
        <v>8.83</v>
      </c>
      <c r="K57" s="56">
        <v>9.1999999999999993</v>
      </c>
      <c r="L57" s="56"/>
      <c r="M57" s="56">
        <v>8.77</v>
      </c>
      <c r="N57" s="56"/>
      <c r="O57" s="56">
        <v>9.19</v>
      </c>
      <c r="P57" s="56"/>
      <c r="Q57" s="56"/>
      <c r="R57" s="129">
        <f t="shared" si="53"/>
        <v>8.6633333333333322</v>
      </c>
      <c r="S57" s="130">
        <f t="shared" si="54"/>
        <v>9.1999999999999993</v>
      </c>
      <c r="T57" s="130">
        <f t="shared" si="2"/>
        <v>8.8079999999999981</v>
      </c>
    </row>
    <row r="58" spans="1:20" ht="14" x14ac:dyDescent="0.3">
      <c r="A58" s="544" t="s">
        <v>456</v>
      </c>
      <c r="B58" s="64"/>
      <c r="C58" s="64">
        <v>8.0299999999999994</v>
      </c>
      <c r="D58" s="64"/>
      <c r="E58" s="56">
        <v>8.27</v>
      </c>
      <c r="F58" s="56"/>
      <c r="G58" s="56"/>
      <c r="H58" s="56">
        <v>8.4600000000000009</v>
      </c>
      <c r="I58" s="56">
        <v>8.6999999999999993</v>
      </c>
      <c r="J58" s="56">
        <v>8.77</v>
      </c>
      <c r="K58" s="56">
        <v>9.1300000000000008</v>
      </c>
      <c r="L58" s="56"/>
      <c r="M58" s="56"/>
      <c r="N58" s="56"/>
      <c r="O58" s="56">
        <v>9.19</v>
      </c>
      <c r="P58" s="56"/>
      <c r="Q58" s="56"/>
      <c r="R58" s="129">
        <f t="shared" si="53"/>
        <v>8.6499999999999986</v>
      </c>
      <c r="S58" s="130">
        <f t="shared" si="54"/>
        <v>9.19</v>
      </c>
      <c r="T58" s="130">
        <f t="shared" si="2"/>
        <v>8.7650000000000006</v>
      </c>
    </row>
    <row r="59" spans="1:20" ht="14" x14ac:dyDescent="0.3">
      <c r="A59" s="544" t="s">
        <v>161</v>
      </c>
      <c r="B59" s="64"/>
      <c r="C59" s="64"/>
      <c r="D59" s="64"/>
      <c r="E59" s="56"/>
      <c r="F59" s="56"/>
      <c r="G59" s="56"/>
      <c r="H59" s="56">
        <v>8.39</v>
      </c>
      <c r="I59" s="56"/>
      <c r="J59" s="56"/>
      <c r="K59" s="56"/>
      <c r="L59" s="56"/>
      <c r="M59" s="56"/>
      <c r="N59" s="56"/>
      <c r="O59" s="56"/>
      <c r="P59" s="56"/>
      <c r="Q59" s="56"/>
      <c r="R59" s="129">
        <f t="shared" si="53"/>
        <v>8.39</v>
      </c>
      <c r="S59" s="130">
        <f t="shared" si="54"/>
        <v>8.39</v>
      </c>
      <c r="T59" s="130"/>
    </row>
    <row r="60" spans="1:20" x14ac:dyDescent="0.3">
      <c r="A60" s="566" t="s">
        <v>854</v>
      </c>
      <c r="B60" s="576">
        <f t="shared" ref="B60:O60" si="55">AVERAGE(B52:B55)</f>
        <v>8.3625000000000007</v>
      </c>
      <c r="C60" s="576">
        <f t="shared" si="55"/>
        <v>8.4275000000000002</v>
      </c>
      <c r="D60" s="576">
        <f t="shared" si="55"/>
        <v>7.8775000000000004</v>
      </c>
      <c r="E60" s="576">
        <f t="shared" si="55"/>
        <v>8.5274999999999999</v>
      </c>
      <c r="F60" s="576">
        <f t="shared" si="55"/>
        <v>8.43</v>
      </c>
      <c r="G60" s="576">
        <f t="shared" si="55"/>
        <v>8.8625000000000007</v>
      </c>
      <c r="H60" s="576">
        <f t="shared" si="55"/>
        <v>8.5175000000000001</v>
      </c>
      <c r="I60" s="576">
        <f t="shared" si="55"/>
        <v>8.8125</v>
      </c>
      <c r="J60" s="576">
        <f t="shared" si="55"/>
        <v>8.8275000000000006</v>
      </c>
      <c r="K60" s="576">
        <f t="shared" si="55"/>
        <v>9.213000000000001</v>
      </c>
      <c r="L60" s="576">
        <f t="shared" si="55"/>
        <v>8.4675000000000011</v>
      </c>
      <c r="M60" s="576">
        <f t="shared" si="55"/>
        <v>8.7674999999999983</v>
      </c>
      <c r="N60" s="576">
        <f t="shared" si="55"/>
        <v>8.8800000000000008</v>
      </c>
      <c r="O60" s="576">
        <f t="shared" si="55"/>
        <v>9.192499999999999</v>
      </c>
      <c r="P60" s="576">
        <f t="shared" ref="P60:Q60" si="56">AVERAGE(P52:P55)</f>
        <v>9.2074999999999996</v>
      </c>
      <c r="Q60" s="576">
        <f t="shared" si="56"/>
        <v>8.83</v>
      </c>
      <c r="R60" s="576">
        <f t="shared" ref="R60:T60" si="57">AVERAGE(R52:R55)</f>
        <v>8.6978020833333325</v>
      </c>
      <c r="S60" s="576">
        <f t="shared" si="57"/>
        <v>9.2230000000000008</v>
      </c>
      <c r="T60" s="576">
        <f t="shared" si="57"/>
        <v>8.7675833333333326</v>
      </c>
    </row>
    <row r="61" spans="1:20" x14ac:dyDescent="0.3">
      <c r="A61" s="544" t="s">
        <v>823</v>
      </c>
      <c r="B61" s="192">
        <f>AVERAGE(B52:B59)</f>
        <v>8.3120000000000012</v>
      </c>
      <c r="C61" s="192">
        <f t="shared" ref="C61" si="58">AVERAGE(C52:C59)</f>
        <v>8.2728571428571431</v>
      </c>
      <c r="D61" s="192">
        <f t="shared" ref="D61:E61" si="59">AVERAGE(D52:D59)</f>
        <v>7.8780000000000001</v>
      </c>
      <c r="E61" s="192">
        <f t="shared" si="59"/>
        <v>8.4385714285714268</v>
      </c>
      <c r="F61" s="192">
        <f t="shared" ref="F61:G61" si="60">AVERAGE(F52:F59)</f>
        <v>8.4249999999999989</v>
      </c>
      <c r="G61" s="192">
        <f t="shared" si="60"/>
        <v>8.8625000000000007</v>
      </c>
      <c r="H61" s="192">
        <f t="shared" ref="H61:I61" si="61">AVERAGE(H52:H59)</f>
        <v>8.4875000000000007</v>
      </c>
      <c r="I61" s="192">
        <f t="shared" si="61"/>
        <v>8.7842857142857138</v>
      </c>
      <c r="J61" s="192">
        <f t="shared" ref="J61:K61" si="62">AVERAGE(J52:J59)</f>
        <v>8.8199999999999985</v>
      </c>
      <c r="K61" s="192">
        <f t="shared" si="62"/>
        <v>9.2002857142857142</v>
      </c>
      <c r="L61" s="192">
        <f t="shared" ref="L61:M61" si="63">AVERAGE(L52:L59)</f>
        <v>8.4675000000000011</v>
      </c>
      <c r="M61" s="192">
        <f t="shared" si="63"/>
        <v>8.7683333333333309</v>
      </c>
      <c r="N61" s="192">
        <f t="shared" ref="N61:O61" si="64">AVERAGE(N52:N59)</f>
        <v>8.8640000000000008</v>
      </c>
      <c r="O61" s="192">
        <f t="shared" si="64"/>
        <v>9.1914285714285704</v>
      </c>
      <c r="P61" s="192">
        <f t="shared" ref="P61:Q61" si="65">AVERAGE(P52:P59)</f>
        <v>9.2074999999999996</v>
      </c>
      <c r="Q61" s="192">
        <f t="shared" si="65"/>
        <v>8.83</v>
      </c>
      <c r="R61" s="192">
        <f t="shared" ref="R61:T61" si="66">AVERAGE(R52:R59)</f>
        <v>8.6350468750000005</v>
      </c>
      <c r="S61" s="192">
        <f t="shared" si="66"/>
        <v>9.1114999999999995</v>
      </c>
      <c r="T61" s="192">
        <f t="shared" si="66"/>
        <v>8.7804761904761897</v>
      </c>
    </row>
    <row r="62" spans="1:20" ht="15.5" x14ac:dyDescent="0.35">
      <c r="A62" s="798" t="s">
        <v>807</v>
      </c>
      <c r="B62" s="799"/>
      <c r="C62" s="799"/>
      <c r="D62" s="799"/>
      <c r="E62" s="799"/>
      <c r="F62" s="799"/>
      <c r="G62" s="799"/>
      <c r="H62" s="799"/>
      <c r="I62" s="799"/>
      <c r="J62" s="799"/>
      <c r="K62" s="799"/>
      <c r="L62" s="799"/>
      <c r="M62" s="799"/>
      <c r="N62" s="799"/>
      <c r="O62" s="799"/>
      <c r="P62" s="799"/>
      <c r="Q62" s="799"/>
      <c r="R62" s="799"/>
      <c r="S62" s="799"/>
      <c r="T62" s="800"/>
    </row>
    <row r="63" spans="1:20" ht="14" x14ac:dyDescent="0.3">
      <c r="A63" s="544" t="s">
        <v>453</v>
      </c>
      <c r="B63" s="64">
        <v>8.2899999999999991</v>
      </c>
      <c r="C63" s="64">
        <v>8.2100000000000009</v>
      </c>
      <c r="D63" s="64">
        <v>7.99</v>
      </c>
      <c r="E63" s="56">
        <v>8.58</v>
      </c>
      <c r="F63" s="56">
        <v>8.44</v>
      </c>
      <c r="G63" s="56">
        <v>8.6999999999999993</v>
      </c>
      <c r="H63" s="56">
        <v>8.5500000000000007</v>
      </c>
      <c r="I63" s="56">
        <v>8.81</v>
      </c>
      <c r="J63" s="56">
        <v>8.76</v>
      </c>
      <c r="K63" s="56">
        <v>9.24</v>
      </c>
      <c r="L63" s="56">
        <v>8.44</v>
      </c>
      <c r="M63" s="56">
        <v>8.7799999999999994</v>
      </c>
      <c r="N63" s="56">
        <v>8.81</v>
      </c>
      <c r="O63" s="56">
        <v>9.19</v>
      </c>
      <c r="P63" s="56">
        <v>9.1999999999999993</v>
      </c>
      <c r="Q63" s="56">
        <v>9.1</v>
      </c>
      <c r="R63" s="129">
        <f>AVERAGE(B63:Q63)</f>
        <v>8.6931249999999984</v>
      </c>
      <c r="S63" s="130">
        <f>MAX(B63:Q63)</f>
        <v>9.24</v>
      </c>
      <c r="T63" s="130">
        <f t="shared" si="2"/>
        <v>8.7633333333333336</v>
      </c>
    </row>
    <row r="64" spans="1:20" ht="14" x14ac:dyDescent="0.3">
      <c r="A64" s="544" t="s">
        <v>158</v>
      </c>
      <c r="B64" s="64">
        <v>8.09</v>
      </c>
      <c r="C64" s="64">
        <v>8.08</v>
      </c>
      <c r="D64" s="64">
        <v>7.93</v>
      </c>
      <c r="E64" s="56">
        <v>8.6</v>
      </c>
      <c r="F64" s="56">
        <v>8.4499999999999993</v>
      </c>
      <c r="G64" s="56">
        <v>8.74</v>
      </c>
      <c r="H64" s="56">
        <v>8.52</v>
      </c>
      <c r="I64" s="56">
        <v>8.82</v>
      </c>
      <c r="J64" s="56">
        <v>8.7200000000000006</v>
      </c>
      <c r="K64" s="56">
        <v>9.2200000000000006</v>
      </c>
      <c r="L64" s="56">
        <v>8.43</v>
      </c>
      <c r="M64" s="56">
        <v>8.7899999999999991</v>
      </c>
      <c r="N64" s="56">
        <v>8.82</v>
      </c>
      <c r="O64" s="56">
        <v>9.19</v>
      </c>
      <c r="P64" s="56">
        <v>9.1999999999999993</v>
      </c>
      <c r="Q64" s="56">
        <v>9.07</v>
      </c>
      <c r="R64" s="129">
        <f t="shared" ref="R64:R72" si="67">AVERAGE(B64:Q64)</f>
        <v>8.6668749999999992</v>
      </c>
      <c r="S64" s="130">
        <f t="shared" ref="S64:S72" si="68">MAX(B64:Q64)</f>
        <v>9.2200000000000006</v>
      </c>
      <c r="T64" s="130">
        <f t="shared" si="2"/>
        <v>8.75</v>
      </c>
    </row>
    <row r="65" spans="1:20" ht="14" x14ac:dyDescent="0.3">
      <c r="A65" s="544" t="s">
        <v>454</v>
      </c>
      <c r="B65" s="64">
        <v>8.06</v>
      </c>
      <c r="C65" s="64">
        <v>8</v>
      </c>
      <c r="D65" s="64">
        <v>7.92</v>
      </c>
      <c r="E65" s="56">
        <v>8.57</v>
      </c>
      <c r="F65" s="56">
        <v>8.42</v>
      </c>
      <c r="G65" s="56">
        <v>8.7200000000000006</v>
      </c>
      <c r="H65" s="56">
        <v>8.51</v>
      </c>
      <c r="I65" s="56">
        <v>8.81</v>
      </c>
      <c r="J65" s="56">
        <v>8.75</v>
      </c>
      <c r="K65" s="56">
        <v>9.2200000000000006</v>
      </c>
      <c r="L65" s="56">
        <v>8.44</v>
      </c>
      <c r="M65" s="56">
        <v>8.77</v>
      </c>
      <c r="N65" s="56">
        <v>8.81</v>
      </c>
      <c r="O65" s="56">
        <v>9.2200000000000006</v>
      </c>
      <c r="P65" s="56">
        <v>9.2100000000000009</v>
      </c>
      <c r="Q65" s="56">
        <v>9.0399999999999991</v>
      </c>
      <c r="R65" s="129">
        <f t="shared" si="67"/>
        <v>8.6543749999999999</v>
      </c>
      <c r="S65" s="130">
        <f t="shared" si="68"/>
        <v>9.2200000000000006</v>
      </c>
      <c r="T65" s="130">
        <f t="shared" si="2"/>
        <v>8.75</v>
      </c>
    </row>
    <row r="66" spans="1:20" ht="14" x14ac:dyDescent="0.3">
      <c r="A66" s="544" t="s">
        <v>159</v>
      </c>
      <c r="B66" s="64">
        <v>8.01</v>
      </c>
      <c r="C66" s="64">
        <v>7.97</v>
      </c>
      <c r="D66" s="64">
        <v>7.93</v>
      </c>
      <c r="E66" s="56">
        <v>8.57</v>
      </c>
      <c r="F66" s="56">
        <v>8.4499999999999993</v>
      </c>
      <c r="G66" s="56">
        <v>8.7200000000000006</v>
      </c>
      <c r="H66" s="56">
        <v>8.48</v>
      </c>
      <c r="I66" s="56">
        <v>8.81</v>
      </c>
      <c r="J66" s="56">
        <v>8.76</v>
      </c>
      <c r="K66" s="56">
        <v>9.2200000000000006</v>
      </c>
      <c r="L66" s="56">
        <v>8.44</v>
      </c>
      <c r="M66" s="56">
        <v>8.74</v>
      </c>
      <c r="N66" s="56">
        <v>8.86</v>
      </c>
      <c r="O66" s="56">
        <v>9.2200000000000006</v>
      </c>
      <c r="P66" s="56">
        <v>9.18</v>
      </c>
      <c r="Q66" s="56">
        <v>9.0500000000000007</v>
      </c>
      <c r="R66" s="129">
        <f t="shared" si="67"/>
        <v>8.6506250000000016</v>
      </c>
      <c r="S66" s="130">
        <f t="shared" si="68"/>
        <v>9.2200000000000006</v>
      </c>
      <c r="T66" s="130">
        <f t="shared" si="2"/>
        <v>8.7416666666666654</v>
      </c>
    </row>
    <row r="67" spans="1:20" ht="14" x14ac:dyDescent="0.3">
      <c r="A67" s="544" t="s">
        <v>455</v>
      </c>
      <c r="B67" s="64">
        <v>7.98</v>
      </c>
      <c r="C67" s="64">
        <v>7.92</v>
      </c>
      <c r="D67" s="64">
        <v>7.94</v>
      </c>
      <c r="E67" s="56">
        <v>8.5500000000000007</v>
      </c>
      <c r="F67" s="56">
        <v>8.49</v>
      </c>
      <c r="G67" s="56">
        <v>8.7100000000000009</v>
      </c>
      <c r="H67" s="56">
        <v>8.49</v>
      </c>
      <c r="I67" s="56">
        <v>8.8000000000000007</v>
      </c>
      <c r="J67" s="56">
        <v>8.77</v>
      </c>
      <c r="K67" s="56">
        <v>9.2200000000000006</v>
      </c>
      <c r="L67" s="56">
        <v>8.4600000000000009</v>
      </c>
      <c r="M67" s="56">
        <v>8.76</v>
      </c>
      <c r="N67" s="56">
        <v>8.8699999999999992</v>
      </c>
      <c r="O67" s="56">
        <v>9.2200000000000006</v>
      </c>
      <c r="P67" s="56">
        <v>9.18</v>
      </c>
      <c r="Q67" s="56">
        <v>8.99</v>
      </c>
      <c r="R67" s="129">
        <f t="shared" si="67"/>
        <v>8.6468750000000014</v>
      </c>
      <c r="S67" s="130">
        <f t="shared" si="68"/>
        <v>9.2200000000000006</v>
      </c>
      <c r="T67" s="130">
        <f t="shared" ref="T67:T72" si="69">AVERAGE(H67:M67)</f>
        <v>8.75</v>
      </c>
    </row>
    <row r="68" spans="1:20" ht="14" x14ac:dyDescent="0.3">
      <c r="A68" s="544" t="s">
        <v>160</v>
      </c>
      <c r="B68" s="64">
        <v>7.97</v>
      </c>
      <c r="C68" s="64">
        <v>7.88</v>
      </c>
      <c r="D68" s="64">
        <v>7.99</v>
      </c>
      <c r="E68" s="56">
        <v>8.4600000000000009</v>
      </c>
      <c r="F68" s="56">
        <v>8.4</v>
      </c>
      <c r="G68" s="56">
        <v>8.7200000000000006</v>
      </c>
      <c r="H68" s="56">
        <v>8.49</v>
      </c>
      <c r="I68" s="56">
        <v>8.7899999999999991</v>
      </c>
      <c r="J68" s="56">
        <v>8.75</v>
      </c>
      <c r="K68" s="56">
        <v>9.2100000000000009</v>
      </c>
      <c r="L68" s="56">
        <v>8.44</v>
      </c>
      <c r="M68" s="56">
        <v>8.75</v>
      </c>
      <c r="N68" s="56">
        <v>8.84</v>
      </c>
      <c r="O68" s="56">
        <v>9.23</v>
      </c>
      <c r="P68" s="56">
        <v>9.19</v>
      </c>
      <c r="Q68" s="56">
        <v>9</v>
      </c>
      <c r="R68" s="129">
        <f t="shared" si="67"/>
        <v>8.6318750000000009</v>
      </c>
      <c r="S68" s="130">
        <f t="shared" si="68"/>
        <v>9.23</v>
      </c>
      <c r="T68" s="130">
        <f t="shared" si="69"/>
        <v>8.7383333333333333</v>
      </c>
    </row>
    <row r="69" spans="1:20" ht="14" x14ac:dyDescent="0.3">
      <c r="A69" s="544" t="s">
        <v>456</v>
      </c>
      <c r="B69" s="64">
        <v>7.77</v>
      </c>
      <c r="C69" s="64">
        <v>7.77</v>
      </c>
      <c r="D69" s="64">
        <v>7.99</v>
      </c>
      <c r="E69" s="56">
        <v>8.3800000000000008</v>
      </c>
      <c r="F69" s="56">
        <v>8.4</v>
      </c>
      <c r="G69" s="56">
        <v>8.73</v>
      </c>
      <c r="H69" s="56">
        <v>8.48</v>
      </c>
      <c r="I69" s="56">
        <v>8.7899999999999991</v>
      </c>
      <c r="J69" s="56">
        <v>8.7200000000000006</v>
      </c>
      <c r="K69" s="56">
        <v>9.2100000000000009</v>
      </c>
      <c r="L69" s="56">
        <v>8.42</v>
      </c>
      <c r="M69" s="56">
        <v>8.75</v>
      </c>
      <c r="N69" s="56">
        <v>8.86</v>
      </c>
      <c r="O69" s="56">
        <v>9.1999999999999993</v>
      </c>
      <c r="P69" s="56">
        <v>9.16</v>
      </c>
      <c r="Q69" s="56">
        <v>9.01</v>
      </c>
      <c r="R69" s="129">
        <f t="shared" si="67"/>
        <v>8.6025000000000009</v>
      </c>
      <c r="S69" s="130">
        <f t="shared" si="68"/>
        <v>9.2100000000000009</v>
      </c>
      <c r="T69" s="130">
        <f t="shared" si="69"/>
        <v>8.7283333333333335</v>
      </c>
    </row>
    <row r="70" spans="1:20" ht="14" x14ac:dyDescent="0.3">
      <c r="A70" s="544" t="s">
        <v>161</v>
      </c>
      <c r="B70" s="64">
        <v>7.71</v>
      </c>
      <c r="C70" s="64">
        <v>7.64</v>
      </c>
      <c r="D70" s="64">
        <v>7.95</v>
      </c>
      <c r="E70" s="56">
        <v>8.2799999999999994</v>
      </c>
      <c r="F70" s="56">
        <v>8.3699999999999992</v>
      </c>
      <c r="G70" s="56">
        <v>8.7100000000000009</v>
      </c>
      <c r="H70" s="56">
        <v>8.48</v>
      </c>
      <c r="I70" s="56">
        <v>8.77</v>
      </c>
      <c r="J70" s="56">
        <v>8.7100000000000009</v>
      </c>
      <c r="K70" s="56">
        <v>9.18</v>
      </c>
      <c r="L70" s="56">
        <v>8.41</v>
      </c>
      <c r="M70" s="56">
        <v>8.75</v>
      </c>
      <c r="N70" s="56">
        <v>8.8699999999999992</v>
      </c>
      <c r="O70" s="56">
        <v>9.2100000000000009</v>
      </c>
      <c r="P70" s="56">
        <v>9.17</v>
      </c>
      <c r="Q70" s="56">
        <v>8.9499999999999993</v>
      </c>
      <c r="R70" s="129">
        <f t="shared" si="67"/>
        <v>8.5724999999999998</v>
      </c>
      <c r="S70" s="130">
        <f t="shared" si="68"/>
        <v>9.2100000000000009</v>
      </c>
      <c r="T70" s="130">
        <f t="shared" si="69"/>
        <v>8.7166666666666668</v>
      </c>
    </row>
    <row r="71" spans="1:20" ht="14" x14ac:dyDescent="0.3">
      <c r="A71" s="544" t="s">
        <v>162</v>
      </c>
      <c r="B71" s="64">
        <v>7.7</v>
      </c>
      <c r="C71" s="64">
        <v>7.68</v>
      </c>
      <c r="D71" s="64">
        <v>7.92</v>
      </c>
      <c r="E71" s="56">
        <v>8.1300000000000008</v>
      </c>
      <c r="F71" s="56">
        <v>8.26</v>
      </c>
      <c r="G71" s="56">
        <v>8.7200000000000006</v>
      </c>
      <c r="H71" s="56">
        <v>8.48</v>
      </c>
      <c r="I71" s="56">
        <v>8.7899999999999991</v>
      </c>
      <c r="J71" s="56">
        <v>8.6999999999999993</v>
      </c>
      <c r="K71" s="56">
        <v>9.17</v>
      </c>
      <c r="L71" s="56">
        <v>8.39</v>
      </c>
      <c r="M71" s="56">
        <v>8.74</v>
      </c>
      <c r="N71" s="56">
        <v>8.92</v>
      </c>
      <c r="O71" s="56">
        <v>9.2100000000000009</v>
      </c>
      <c r="P71" s="56">
        <v>9.15</v>
      </c>
      <c r="Q71" s="56">
        <v>8.9600000000000009</v>
      </c>
      <c r="R71" s="129">
        <f t="shared" si="67"/>
        <v>8.557500000000001</v>
      </c>
      <c r="S71" s="130">
        <f t="shared" si="68"/>
        <v>9.2100000000000009</v>
      </c>
      <c r="T71" s="130">
        <f t="shared" si="69"/>
        <v>8.7116666666666678</v>
      </c>
    </row>
    <row r="72" spans="1:20" ht="14" x14ac:dyDescent="0.3">
      <c r="A72" s="544" t="s">
        <v>163</v>
      </c>
      <c r="B72" s="64">
        <v>7.61</v>
      </c>
      <c r="C72" s="64">
        <v>7.57</v>
      </c>
      <c r="D72" s="64">
        <v>7.97</v>
      </c>
      <c r="E72" s="56">
        <v>8</v>
      </c>
      <c r="F72" s="56">
        <v>8.01</v>
      </c>
      <c r="G72" s="56">
        <v>8.7100000000000009</v>
      </c>
      <c r="H72" s="56">
        <v>8.48</v>
      </c>
      <c r="I72" s="56">
        <v>8.6</v>
      </c>
      <c r="J72" s="56"/>
      <c r="K72" s="56"/>
      <c r="L72" s="56"/>
      <c r="M72" s="56"/>
      <c r="N72" s="56">
        <v>8.94</v>
      </c>
      <c r="O72" s="56">
        <v>9.2100000000000009</v>
      </c>
      <c r="P72" s="56"/>
      <c r="Q72" s="56">
        <v>8.86</v>
      </c>
      <c r="R72" s="129">
        <f t="shared" si="67"/>
        <v>8.36</v>
      </c>
      <c r="S72" s="130">
        <f t="shared" si="68"/>
        <v>9.2100000000000009</v>
      </c>
      <c r="T72" s="130">
        <f t="shared" si="69"/>
        <v>8.5399999999999991</v>
      </c>
    </row>
    <row r="73" spans="1:20" x14ac:dyDescent="0.3">
      <c r="A73" s="566" t="s">
        <v>854</v>
      </c>
      <c r="B73" s="576">
        <f>AVERAGE(B63:B66)</f>
        <v>8.1124999999999989</v>
      </c>
      <c r="C73" s="576">
        <f t="shared" ref="C73" si="70">AVERAGE(C63:C66)</f>
        <v>8.0649999999999995</v>
      </c>
      <c r="D73" s="576">
        <f t="shared" ref="D73:E73" si="71">AVERAGE(D63:D66)</f>
        <v>7.9424999999999999</v>
      </c>
      <c r="E73" s="576">
        <f t="shared" si="71"/>
        <v>8.58</v>
      </c>
      <c r="F73" s="576">
        <f t="shared" ref="F73:G73" si="72">AVERAGE(F63:F66)</f>
        <v>8.4400000000000013</v>
      </c>
      <c r="G73" s="576">
        <f t="shared" si="72"/>
        <v>8.7199999999999989</v>
      </c>
      <c r="H73" s="576">
        <f t="shared" ref="H73:I73" si="73">AVERAGE(H63:H66)</f>
        <v>8.5150000000000006</v>
      </c>
      <c r="I73" s="576">
        <f t="shared" si="73"/>
        <v>8.8125000000000018</v>
      </c>
      <c r="J73" s="576">
        <f t="shared" ref="J73:K73" si="74">AVERAGE(J63:J66)</f>
        <v>8.7475000000000005</v>
      </c>
      <c r="K73" s="576">
        <f t="shared" si="74"/>
        <v>9.2249999999999996</v>
      </c>
      <c r="L73" s="576">
        <f t="shared" ref="L73:M73" si="75">AVERAGE(L63:L66)</f>
        <v>8.4374999999999982</v>
      </c>
      <c r="M73" s="576">
        <f t="shared" si="75"/>
        <v>8.77</v>
      </c>
      <c r="N73" s="576">
        <f t="shared" ref="N73:O73" si="76">AVERAGE(N63:N66)</f>
        <v>8.8250000000000011</v>
      </c>
      <c r="O73" s="576">
        <f t="shared" si="76"/>
        <v>9.2050000000000001</v>
      </c>
      <c r="P73" s="576">
        <f t="shared" ref="P73:Q73" si="77">AVERAGE(P63:P66)</f>
        <v>9.1974999999999998</v>
      </c>
      <c r="Q73" s="576">
        <f t="shared" si="77"/>
        <v>9.0650000000000013</v>
      </c>
      <c r="R73" s="576">
        <f t="shared" ref="R73:T73" si="78">AVERAGE(R63:R66)</f>
        <v>8.6662500000000016</v>
      </c>
      <c r="S73" s="576">
        <f t="shared" si="78"/>
        <v>9.2249999999999996</v>
      </c>
      <c r="T73" s="576">
        <f t="shared" si="78"/>
        <v>8.7512500000000006</v>
      </c>
    </row>
    <row r="74" spans="1:20" x14ac:dyDescent="0.3">
      <c r="A74" s="544" t="s">
        <v>823</v>
      </c>
      <c r="B74" s="192">
        <f t="shared" ref="B74:O74" si="79">AVERAGE(B63:B72)</f>
        <v>7.9189999999999987</v>
      </c>
      <c r="C74" s="192">
        <f t="shared" si="79"/>
        <v>7.8719999999999999</v>
      </c>
      <c r="D74" s="192">
        <f t="shared" si="79"/>
        <v>7.9530000000000003</v>
      </c>
      <c r="E74" s="192">
        <f t="shared" si="79"/>
        <v>8.4120000000000008</v>
      </c>
      <c r="F74" s="192">
        <f t="shared" si="79"/>
        <v>8.3690000000000015</v>
      </c>
      <c r="G74" s="192">
        <f t="shared" si="79"/>
        <v>8.718</v>
      </c>
      <c r="H74" s="192">
        <f t="shared" si="79"/>
        <v>8.4960000000000022</v>
      </c>
      <c r="I74" s="192">
        <f t="shared" si="79"/>
        <v>8.7789999999999999</v>
      </c>
      <c r="J74" s="192">
        <f t="shared" si="79"/>
        <v>8.7377777777777776</v>
      </c>
      <c r="K74" s="192">
        <f t="shared" si="79"/>
        <v>9.2100000000000009</v>
      </c>
      <c r="L74" s="192">
        <f t="shared" si="79"/>
        <v>8.43</v>
      </c>
      <c r="M74" s="192">
        <f t="shared" si="79"/>
        <v>8.7588888888888885</v>
      </c>
      <c r="N74" s="192">
        <f t="shared" si="79"/>
        <v>8.8600000000000012</v>
      </c>
      <c r="O74" s="192">
        <f t="shared" si="79"/>
        <v>9.2100000000000026</v>
      </c>
      <c r="P74" s="192">
        <f t="shared" ref="P74:Q74" si="80">AVERAGE(P63:P72)</f>
        <v>9.1822222222222223</v>
      </c>
      <c r="Q74" s="192">
        <f t="shared" si="80"/>
        <v>9.0030000000000019</v>
      </c>
      <c r="R74" s="192">
        <f t="shared" ref="R74:T74" si="81">AVERAGE(R63:R72)</f>
        <v>8.603625000000001</v>
      </c>
      <c r="S74" s="192">
        <f t="shared" si="81"/>
        <v>9.219000000000003</v>
      </c>
      <c r="T74" s="192">
        <f t="shared" si="81"/>
        <v>8.7189999999999994</v>
      </c>
    </row>
  </sheetData>
  <mergeCells count="6">
    <mergeCell ref="A62:T62"/>
    <mergeCell ref="A24:T24"/>
    <mergeCell ref="A39:T39"/>
    <mergeCell ref="A51:T51"/>
    <mergeCell ref="A1:Q1"/>
    <mergeCell ref="A6:T6"/>
  </mergeCells>
  <phoneticPr fontId="0" type="noConversion"/>
  <pageMargins left="0.75" right="0.75" top="1" bottom="1" header="0.5" footer="0.5"/>
  <pageSetup scale="5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Z74"/>
  <sheetViews>
    <sheetView topLeftCell="M13" zoomScale="75" zoomScaleNormal="75" workbookViewId="0">
      <selection activeCell="B5" sqref="B5:Q5"/>
    </sheetView>
  </sheetViews>
  <sheetFormatPr defaultRowHeight="13" x14ac:dyDescent="0.3"/>
  <cols>
    <col min="1" max="1" width="31.6328125" style="1" bestFit="1" customWidth="1"/>
    <col min="2" max="2" width="12" bestFit="1" customWidth="1"/>
    <col min="3" max="3" width="12.08984375" bestFit="1" customWidth="1"/>
    <col min="4" max="5" width="12.36328125" bestFit="1" customWidth="1"/>
    <col min="6" max="6" width="12.54296875" bestFit="1" customWidth="1"/>
    <col min="7" max="7" width="12.08984375" bestFit="1" customWidth="1"/>
    <col min="8" max="8" width="12.36328125" bestFit="1" customWidth="1"/>
    <col min="9" max="9" width="12" bestFit="1" customWidth="1"/>
    <col min="10" max="10" width="11.54296875" bestFit="1" customWidth="1"/>
    <col min="11" max="11" width="12.36328125" bestFit="1" customWidth="1"/>
    <col min="12" max="12" width="11" bestFit="1" customWidth="1"/>
    <col min="13" max="13" width="12.36328125" bestFit="1" customWidth="1"/>
    <col min="14" max="14" width="8.90625" bestFit="1" customWidth="1"/>
    <col min="15" max="15" width="12" bestFit="1" customWidth="1"/>
    <col min="16" max="16" width="12.08984375" bestFit="1" customWidth="1"/>
    <col min="17" max="17" width="12" bestFit="1" customWidth="1"/>
    <col min="18" max="18" width="10.90625" customWidth="1"/>
    <col min="19" max="19" width="10.90625" bestFit="1" customWidth="1"/>
    <col min="20" max="20" width="11.54296875" bestFit="1" customWidth="1"/>
    <col min="21" max="21" width="11.08984375" bestFit="1" customWidth="1"/>
    <col min="22" max="22" width="11.36328125" customWidth="1"/>
    <col min="23" max="23" width="12.54296875" customWidth="1"/>
    <col min="24" max="24" width="11.90625" customWidth="1"/>
    <col min="25" max="25" width="11.453125" customWidth="1"/>
    <col min="26" max="26" width="10.90625" bestFit="1" customWidth="1"/>
  </cols>
  <sheetData>
    <row r="1" spans="1:26" ht="15.5" x14ac:dyDescent="0.35">
      <c r="A1" s="788" t="s">
        <v>809</v>
      </c>
      <c r="B1" s="788"/>
      <c r="C1" s="788"/>
      <c r="D1" s="788"/>
      <c r="E1" s="788"/>
      <c r="F1" s="788"/>
      <c r="G1" s="788"/>
      <c r="H1" s="788"/>
      <c r="I1" s="788"/>
      <c r="J1" s="788"/>
      <c r="K1" s="788"/>
      <c r="L1" s="788"/>
      <c r="M1" s="788"/>
      <c r="N1" s="788"/>
      <c r="O1" s="788"/>
      <c r="P1" s="788"/>
      <c r="Q1" s="788"/>
    </row>
    <row r="2" spans="1:26" ht="26" x14ac:dyDescent="0.3">
      <c r="A2" s="81"/>
      <c r="B2" s="212">
        <v>40911</v>
      </c>
      <c r="C2" s="212">
        <v>40949</v>
      </c>
      <c r="D2" s="212">
        <v>40994</v>
      </c>
      <c r="E2" s="212">
        <v>41022</v>
      </c>
      <c r="F2" s="212">
        <v>41050</v>
      </c>
      <c r="G2" s="212">
        <v>41085</v>
      </c>
      <c r="H2" s="213">
        <v>41099</v>
      </c>
      <c r="I2" s="213">
        <v>41113</v>
      </c>
      <c r="J2" s="213">
        <v>41127</v>
      </c>
      <c r="K2" s="212">
        <v>41148</v>
      </c>
      <c r="L2" s="212">
        <v>41162</v>
      </c>
      <c r="M2" s="214">
        <v>41177</v>
      </c>
      <c r="N2" s="214">
        <v>41197</v>
      </c>
      <c r="O2" s="214">
        <v>41204</v>
      </c>
      <c r="P2" s="214">
        <v>41239</v>
      </c>
      <c r="Q2" s="213">
        <v>41257</v>
      </c>
      <c r="R2" s="82" t="s">
        <v>91</v>
      </c>
      <c r="S2" s="83" t="s">
        <v>83</v>
      </c>
      <c r="T2" s="83" t="s">
        <v>109</v>
      </c>
    </row>
    <row r="3" spans="1:26" ht="14" x14ac:dyDescent="0.3">
      <c r="A3" s="84" t="s">
        <v>818</v>
      </c>
      <c r="B3" s="64">
        <v>11.75</v>
      </c>
      <c r="C3" s="64">
        <v>13.62</v>
      </c>
      <c r="D3" s="64">
        <v>10.74</v>
      </c>
      <c r="E3" s="64">
        <v>10.3</v>
      </c>
      <c r="F3" s="64">
        <v>9.01</v>
      </c>
      <c r="G3" s="64">
        <v>6.76</v>
      </c>
      <c r="H3" s="64">
        <v>6.97</v>
      </c>
      <c r="I3" s="64">
        <v>7.67</v>
      </c>
      <c r="J3" s="566">
        <v>8.1</v>
      </c>
      <c r="K3" s="64">
        <v>8.6999999999999993</v>
      </c>
      <c r="L3" s="64">
        <v>9.68</v>
      </c>
      <c r="M3" s="64">
        <v>8.6</v>
      </c>
      <c r="N3" s="64"/>
      <c r="O3" s="64">
        <v>10.029999999999999</v>
      </c>
      <c r="P3" s="64">
        <v>8.26</v>
      </c>
      <c r="Q3" s="64">
        <v>11.83</v>
      </c>
      <c r="R3" s="129">
        <f>AVERAGE(B3:Q3)</f>
        <v>9.4679999999999982</v>
      </c>
      <c r="S3" s="130">
        <f>MAX(B3:Q3)</f>
        <v>13.62</v>
      </c>
      <c r="T3" s="130">
        <f>AVERAGE(H3:M3)</f>
        <v>8.2866666666666671</v>
      </c>
    </row>
    <row r="4" spans="1:26" ht="14" x14ac:dyDescent="0.3">
      <c r="A4" s="85" t="s">
        <v>819</v>
      </c>
      <c r="B4" s="64">
        <v>11.91</v>
      </c>
      <c r="C4" s="64">
        <v>13.38</v>
      </c>
      <c r="D4" s="64">
        <v>12.22</v>
      </c>
      <c r="E4" s="64">
        <v>8.67</v>
      </c>
      <c r="F4" s="64">
        <v>8.4700000000000006</v>
      </c>
      <c r="G4" s="64">
        <v>7.62</v>
      </c>
      <c r="H4" s="64">
        <v>7.7</v>
      </c>
      <c r="I4" s="64">
        <v>6.93</v>
      </c>
      <c r="J4" s="566">
        <v>7.22</v>
      </c>
      <c r="K4" s="64">
        <v>7.97</v>
      </c>
      <c r="L4" s="64">
        <v>8.4</v>
      </c>
      <c r="M4" s="64">
        <v>8.76</v>
      </c>
      <c r="N4" s="64"/>
      <c r="O4" s="64">
        <v>11.26</v>
      </c>
      <c r="P4" s="64">
        <v>11.3</v>
      </c>
      <c r="Q4" s="64">
        <v>12.33</v>
      </c>
      <c r="R4" s="129">
        <f t="shared" ref="R4:R5" si="0">AVERAGE(B4:Q4)</f>
        <v>9.6093333333333355</v>
      </c>
      <c r="S4" s="130">
        <f t="shared" ref="S4:S5" si="1">MAX(B4:Q4)</f>
        <v>13.38</v>
      </c>
      <c r="T4" s="130">
        <f t="shared" ref="T4:T66" si="2">AVERAGE(H4:M4)</f>
        <v>7.8299999999999992</v>
      </c>
    </row>
    <row r="5" spans="1:26" s="7" customFormat="1" ht="14" x14ac:dyDescent="0.3">
      <c r="A5" s="85" t="s">
        <v>820</v>
      </c>
      <c r="B5" s="64">
        <v>12.01</v>
      </c>
      <c r="C5" s="64">
        <v>12.06</v>
      </c>
      <c r="D5" s="64">
        <v>10.98</v>
      </c>
      <c r="E5" s="64">
        <v>7.27</v>
      </c>
      <c r="F5" s="64">
        <v>6.74</v>
      </c>
      <c r="G5" s="64">
        <v>5.88</v>
      </c>
      <c r="H5" s="64">
        <v>5.21</v>
      </c>
      <c r="I5" s="64">
        <v>6.65</v>
      </c>
      <c r="J5" s="566">
        <v>8.02</v>
      </c>
      <c r="K5" s="64">
        <v>4.92</v>
      </c>
      <c r="L5" s="64">
        <v>6.38</v>
      </c>
      <c r="M5" s="64">
        <v>7.54</v>
      </c>
      <c r="N5" s="64"/>
      <c r="O5" s="64">
        <v>9.36</v>
      </c>
      <c r="P5" s="64">
        <v>9.0500000000000007</v>
      </c>
      <c r="Q5" s="64">
        <v>11</v>
      </c>
      <c r="R5" s="129">
        <f t="shared" si="0"/>
        <v>8.2046666666666663</v>
      </c>
      <c r="S5" s="130">
        <f t="shared" si="1"/>
        <v>12.06</v>
      </c>
      <c r="T5" s="130">
        <f t="shared" si="2"/>
        <v>6.4533333333333331</v>
      </c>
    </row>
    <row r="6" spans="1:26" ht="15.5" x14ac:dyDescent="0.35">
      <c r="A6" s="801" t="s">
        <v>803</v>
      </c>
      <c r="B6" s="802"/>
      <c r="C6" s="802"/>
      <c r="D6" s="802"/>
      <c r="E6" s="802"/>
      <c r="F6" s="802"/>
      <c r="G6" s="802"/>
      <c r="H6" s="802"/>
      <c r="I6" s="802"/>
      <c r="J6" s="802"/>
      <c r="K6" s="802"/>
      <c r="L6" s="802"/>
      <c r="M6" s="802"/>
      <c r="N6" s="802"/>
      <c r="O6" s="802"/>
      <c r="P6" s="802"/>
      <c r="Q6" s="802"/>
      <c r="R6" s="802"/>
      <c r="S6" s="802"/>
      <c r="T6" s="803"/>
      <c r="U6" s="6"/>
      <c r="V6" s="6"/>
      <c r="W6" s="6"/>
      <c r="X6" s="6"/>
      <c r="Y6" s="6"/>
      <c r="Z6" s="6"/>
    </row>
    <row r="7" spans="1:26" ht="14" x14ac:dyDescent="0.3">
      <c r="A7" s="544" t="s">
        <v>453</v>
      </c>
      <c r="B7" s="64">
        <v>10.68</v>
      </c>
      <c r="C7" s="64">
        <v>13.22</v>
      </c>
      <c r="D7" s="64">
        <v>10.61</v>
      </c>
      <c r="E7" s="64">
        <v>9.4</v>
      </c>
      <c r="F7" s="64">
        <v>8.52</v>
      </c>
      <c r="G7" s="64">
        <v>9.6300000000000008</v>
      </c>
      <c r="H7" s="64">
        <v>6.46</v>
      </c>
      <c r="I7" s="64">
        <v>7.91</v>
      </c>
      <c r="J7" s="402">
        <v>6.87</v>
      </c>
      <c r="K7" s="64">
        <v>8.48</v>
      </c>
      <c r="L7" s="64">
        <v>8.34</v>
      </c>
      <c r="M7" s="64">
        <v>10.42</v>
      </c>
      <c r="N7" s="64">
        <v>10.27</v>
      </c>
      <c r="O7" s="64">
        <v>10.039999999999999</v>
      </c>
      <c r="P7" s="64">
        <v>11.22</v>
      </c>
      <c r="Q7" s="64">
        <v>12.55</v>
      </c>
      <c r="R7" s="129">
        <f>AVERAGE(B7:Q7)</f>
        <v>9.6637500000000003</v>
      </c>
      <c r="S7" s="130">
        <f>MAX(B7:Q7)</f>
        <v>13.22</v>
      </c>
      <c r="T7" s="130">
        <f t="shared" si="2"/>
        <v>8.08</v>
      </c>
      <c r="U7" s="6"/>
      <c r="V7" s="6"/>
      <c r="W7" s="6"/>
      <c r="X7" s="6"/>
      <c r="Y7" s="6"/>
      <c r="Z7" s="6"/>
    </row>
    <row r="8" spans="1:26" ht="14" x14ac:dyDescent="0.3">
      <c r="A8" s="544" t="s">
        <v>158</v>
      </c>
      <c r="B8" s="64">
        <v>10.56</v>
      </c>
      <c r="C8" s="64">
        <v>12.57</v>
      </c>
      <c r="D8" s="64">
        <v>10.35</v>
      </c>
      <c r="E8" s="64">
        <v>9.4</v>
      </c>
      <c r="F8" s="64">
        <v>8.27</v>
      </c>
      <c r="G8" s="64">
        <v>9.2899999999999991</v>
      </c>
      <c r="H8" s="64">
        <v>6.45</v>
      </c>
      <c r="I8" s="64">
        <v>7.52</v>
      </c>
      <c r="J8" s="402">
        <v>6.77</v>
      </c>
      <c r="K8" s="64">
        <v>8.16</v>
      </c>
      <c r="L8" s="64">
        <v>7.58</v>
      </c>
      <c r="M8" s="64">
        <v>10.02</v>
      </c>
      <c r="N8" s="64">
        <v>10.25</v>
      </c>
      <c r="O8" s="64">
        <v>10.4</v>
      </c>
      <c r="P8" s="64">
        <v>11.42</v>
      </c>
      <c r="Q8" s="64">
        <v>12.72</v>
      </c>
      <c r="R8" s="129">
        <f t="shared" ref="R8:R21" si="3">AVERAGE(B8:Q8)</f>
        <v>9.4831249999999994</v>
      </c>
      <c r="S8" s="130">
        <f t="shared" ref="S8:S21" si="4">MAX(B8:Q8)</f>
        <v>12.72</v>
      </c>
      <c r="T8" s="130">
        <f t="shared" si="2"/>
        <v>7.75</v>
      </c>
      <c r="U8" s="6"/>
      <c r="V8" s="6"/>
      <c r="W8" s="6"/>
      <c r="X8" s="6"/>
      <c r="Y8" s="6"/>
      <c r="Z8" s="6"/>
    </row>
    <row r="9" spans="1:26" ht="14" x14ac:dyDescent="0.3">
      <c r="A9" s="544" t="s">
        <v>454</v>
      </c>
      <c r="B9" s="64">
        <v>10.58</v>
      </c>
      <c r="C9" s="64">
        <v>12.75</v>
      </c>
      <c r="D9" s="64">
        <v>10.25</v>
      </c>
      <c r="E9" s="64">
        <v>9.0299999999999994</v>
      </c>
      <c r="F9" s="64">
        <v>8.3000000000000007</v>
      </c>
      <c r="G9" s="64">
        <v>9.36</v>
      </c>
      <c r="H9" s="64">
        <v>6.23</v>
      </c>
      <c r="I9" s="64">
        <v>7.25</v>
      </c>
      <c r="J9" s="402">
        <v>6.57</v>
      </c>
      <c r="K9" s="64">
        <v>8.11</v>
      </c>
      <c r="L9" s="64">
        <v>7.58</v>
      </c>
      <c r="M9" s="64">
        <v>9.99</v>
      </c>
      <c r="N9" s="64">
        <v>10.039999999999999</v>
      </c>
      <c r="O9" s="64">
        <v>10.27</v>
      </c>
      <c r="P9" s="64">
        <v>11.29</v>
      </c>
      <c r="Q9" s="64">
        <v>12.35</v>
      </c>
      <c r="R9" s="129">
        <f t="shared" si="3"/>
        <v>9.3718749999999993</v>
      </c>
      <c r="S9" s="130">
        <f t="shared" si="4"/>
        <v>12.75</v>
      </c>
      <c r="T9" s="130">
        <f t="shared" si="2"/>
        <v>7.621666666666667</v>
      </c>
      <c r="U9" s="6"/>
      <c r="V9" s="6"/>
      <c r="W9" s="6"/>
      <c r="X9" s="6"/>
    </row>
    <row r="10" spans="1:26" ht="14" x14ac:dyDescent="0.3">
      <c r="A10" s="544" t="s">
        <v>159</v>
      </c>
      <c r="B10" s="64">
        <v>10.39</v>
      </c>
      <c r="C10" s="64">
        <v>11.36</v>
      </c>
      <c r="D10" s="64">
        <v>10.220000000000001</v>
      </c>
      <c r="E10" s="64">
        <v>9.14</v>
      </c>
      <c r="F10" s="64">
        <v>8.18</v>
      </c>
      <c r="G10" s="64">
        <v>9.27</v>
      </c>
      <c r="H10" s="64">
        <v>6.22</v>
      </c>
      <c r="I10" s="64">
        <v>7.65</v>
      </c>
      <c r="J10" s="402">
        <v>6.76</v>
      </c>
      <c r="K10" s="64">
        <v>8.07</v>
      </c>
      <c r="L10" s="64">
        <v>7.43</v>
      </c>
      <c r="M10" s="64">
        <v>10.050000000000001</v>
      </c>
      <c r="N10" s="64">
        <v>10.029999999999999</v>
      </c>
      <c r="O10" s="64">
        <v>9.93</v>
      </c>
      <c r="P10" s="64">
        <v>11.64</v>
      </c>
      <c r="Q10" s="64">
        <v>12.44</v>
      </c>
      <c r="R10" s="129">
        <f t="shared" si="3"/>
        <v>9.2987500000000018</v>
      </c>
      <c r="S10" s="130">
        <f t="shared" si="4"/>
        <v>12.44</v>
      </c>
      <c r="T10" s="130">
        <f t="shared" si="2"/>
        <v>7.6966666666666681</v>
      </c>
      <c r="U10" s="6"/>
      <c r="V10" s="6"/>
      <c r="W10" s="6"/>
      <c r="X10" s="6"/>
      <c r="Y10" s="6"/>
    </row>
    <row r="11" spans="1:26" ht="14" x14ac:dyDescent="0.3">
      <c r="A11" s="544" t="s">
        <v>455</v>
      </c>
      <c r="B11" s="64">
        <v>10.55</v>
      </c>
      <c r="C11" s="64">
        <v>10.9</v>
      </c>
      <c r="D11" s="64">
        <v>10.210000000000001</v>
      </c>
      <c r="E11" s="64">
        <v>9.35</v>
      </c>
      <c r="F11" s="64">
        <v>8.02</v>
      </c>
      <c r="G11" s="64">
        <v>9</v>
      </c>
      <c r="H11" s="64">
        <v>5.99</v>
      </c>
      <c r="I11" s="64">
        <v>7.52</v>
      </c>
      <c r="J11" s="402">
        <v>6.46</v>
      </c>
      <c r="K11" s="64">
        <v>8.1</v>
      </c>
      <c r="L11" s="64">
        <v>7.97</v>
      </c>
      <c r="M11" s="64">
        <v>9.75</v>
      </c>
      <c r="N11" s="64">
        <v>10.14</v>
      </c>
      <c r="O11" s="64">
        <v>9.5399999999999991</v>
      </c>
      <c r="P11" s="64">
        <v>11.07</v>
      </c>
      <c r="Q11" s="64">
        <v>12.12</v>
      </c>
      <c r="R11" s="129">
        <f t="shared" si="3"/>
        <v>9.1681249999999981</v>
      </c>
      <c r="S11" s="130">
        <f t="shared" si="4"/>
        <v>12.12</v>
      </c>
      <c r="T11" s="130">
        <f t="shared" si="2"/>
        <v>7.6316666666666668</v>
      </c>
      <c r="U11" s="6"/>
      <c r="V11" s="6"/>
      <c r="W11" s="6"/>
      <c r="X11" s="6"/>
      <c r="Y11" s="6"/>
    </row>
    <row r="12" spans="1:26" ht="14" x14ac:dyDescent="0.3">
      <c r="A12" s="544" t="s">
        <v>160</v>
      </c>
      <c r="B12" s="64">
        <v>10.27</v>
      </c>
      <c r="C12" s="64">
        <v>9.41</v>
      </c>
      <c r="D12" s="64">
        <v>10.19</v>
      </c>
      <c r="E12" s="64">
        <v>9.0299999999999994</v>
      </c>
      <c r="F12" s="64">
        <v>7.84</v>
      </c>
      <c r="G12" s="64">
        <v>9.06</v>
      </c>
      <c r="H12" s="64">
        <v>6.07</v>
      </c>
      <c r="I12" s="64">
        <v>7.37</v>
      </c>
      <c r="J12" s="402">
        <v>6.2</v>
      </c>
      <c r="K12" s="64">
        <v>8.16</v>
      </c>
      <c r="L12" s="64">
        <v>7.47</v>
      </c>
      <c r="M12" s="64">
        <v>9.82</v>
      </c>
      <c r="N12" s="64">
        <v>9.98</v>
      </c>
      <c r="O12" s="64">
        <v>9.41</v>
      </c>
      <c r="P12" s="64">
        <v>11.12</v>
      </c>
      <c r="Q12" s="64">
        <v>12.35</v>
      </c>
      <c r="R12" s="129">
        <f t="shared" si="3"/>
        <v>8.9843749999999982</v>
      </c>
      <c r="S12" s="130">
        <f t="shared" si="4"/>
        <v>12.35</v>
      </c>
      <c r="T12" s="130">
        <f t="shared" si="2"/>
        <v>7.5150000000000006</v>
      </c>
      <c r="U12" s="6"/>
      <c r="V12" s="6"/>
      <c r="W12" s="6"/>
      <c r="X12" s="6"/>
      <c r="Y12" s="6"/>
    </row>
    <row r="13" spans="1:26" ht="14" x14ac:dyDescent="0.3">
      <c r="A13" s="544" t="s">
        <v>456</v>
      </c>
      <c r="B13" s="64">
        <v>10</v>
      </c>
      <c r="C13" s="64">
        <v>9.6999999999999993</v>
      </c>
      <c r="D13" s="64">
        <v>10.56</v>
      </c>
      <c r="E13" s="64">
        <v>8.17</v>
      </c>
      <c r="F13" s="64">
        <v>7.79</v>
      </c>
      <c r="G13" s="64">
        <v>8.7899999999999991</v>
      </c>
      <c r="H13" s="64">
        <v>6.19</v>
      </c>
      <c r="I13" s="64">
        <v>7.36</v>
      </c>
      <c r="J13" s="402">
        <v>6.11</v>
      </c>
      <c r="K13" s="64">
        <v>8.7799999999999994</v>
      </c>
      <c r="L13" s="575">
        <v>7.31</v>
      </c>
      <c r="M13" s="64">
        <v>9.66</v>
      </c>
      <c r="N13" s="64">
        <v>9.76</v>
      </c>
      <c r="O13" s="64">
        <v>9.35</v>
      </c>
      <c r="P13" s="64">
        <v>11.2</v>
      </c>
      <c r="Q13" s="64">
        <v>12.11</v>
      </c>
      <c r="R13" s="129">
        <f t="shared" si="3"/>
        <v>8.9274999999999984</v>
      </c>
      <c r="S13" s="130">
        <f t="shared" si="4"/>
        <v>12.11</v>
      </c>
      <c r="T13" s="130">
        <f t="shared" si="2"/>
        <v>7.5683333333333325</v>
      </c>
      <c r="U13" s="6"/>
      <c r="V13" s="6"/>
      <c r="W13" s="6"/>
      <c r="X13" s="6"/>
      <c r="Y13" s="6"/>
    </row>
    <row r="14" spans="1:26" ht="14" x14ac:dyDescent="0.3">
      <c r="A14" s="544" t="s">
        <v>161</v>
      </c>
      <c r="B14" s="64">
        <v>9.0500000000000007</v>
      </c>
      <c r="C14" s="64">
        <v>9.61</v>
      </c>
      <c r="D14" s="64">
        <v>10.210000000000001</v>
      </c>
      <c r="E14" s="64">
        <v>8.5</v>
      </c>
      <c r="F14" s="64">
        <v>7.35</v>
      </c>
      <c r="G14" s="64">
        <v>8.76</v>
      </c>
      <c r="H14" s="64">
        <v>5.91</v>
      </c>
      <c r="I14" s="64">
        <v>7.21</v>
      </c>
      <c r="J14" s="402">
        <v>6.04</v>
      </c>
      <c r="K14" s="64">
        <v>8.11</v>
      </c>
      <c r="L14" s="64">
        <v>7.29</v>
      </c>
      <c r="M14" s="64">
        <v>9.83</v>
      </c>
      <c r="N14" s="64">
        <v>9.66</v>
      </c>
      <c r="O14" s="64">
        <v>8.7200000000000006</v>
      </c>
      <c r="P14" s="64">
        <v>11.11</v>
      </c>
      <c r="Q14" s="64">
        <v>12.1</v>
      </c>
      <c r="R14" s="129">
        <f t="shared" si="3"/>
        <v>8.7162500000000005</v>
      </c>
      <c r="S14" s="130">
        <f t="shared" si="4"/>
        <v>12.1</v>
      </c>
      <c r="T14" s="130">
        <f t="shared" si="2"/>
        <v>7.3983333333333334</v>
      </c>
      <c r="U14" s="6"/>
      <c r="V14" s="6"/>
      <c r="W14" s="6"/>
      <c r="X14" s="6"/>
      <c r="Y14" s="6"/>
    </row>
    <row r="15" spans="1:26" ht="14" x14ac:dyDescent="0.3">
      <c r="A15" s="544" t="s">
        <v>162</v>
      </c>
      <c r="B15" s="64">
        <v>7.49</v>
      </c>
      <c r="C15" s="64">
        <v>7.7</v>
      </c>
      <c r="D15" s="64">
        <v>9.8699999999999992</v>
      </c>
      <c r="E15" s="64">
        <v>8.41</v>
      </c>
      <c r="F15" s="64">
        <v>7.08</v>
      </c>
      <c r="G15" s="64">
        <v>8.6999999999999993</v>
      </c>
      <c r="H15" s="64">
        <v>5.96</v>
      </c>
      <c r="I15" s="64">
        <v>7.15</v>
      </c>
      <c r="J15" s="402">
        <v>5.84</v>
      </c>
      <c r="K15" s="64">
        <v>8.18</v>
      </c>
      <c r="L15" s="64">
        <v>7.2</v>
      </c>
      <c r="M15" s="64">
        <v>9.5399999999999991</v>
      </c>
      <c r="N15" s="64">
        <v>9.4</v>
      </c>
      <c r="O15" s="64">
        <v>8.82</v>
      </c>
      <c r="P15" s="64">
        <v>10.59</v>
      </c>
      <c r="Q15" s="64">
        <v>11.88</v>
      </c>
      <c r="R15" s="129">
        <f t="shared" si="3"/>
        <v>8.3631250000000001</v>
      </c>
      <c r="S15" s="130">
        <f t="shared" si="4"/>
        <v>11.88</v>
      </c>
      <c r="T15" s="130">
        <f t="shared" si="2"/>
        <v>7.3116666666666665</v>
      </c>
      <c r="U15" s="6"/>
      <c r="V15" s="6"/>
      <c r="W15" s="6"/>
      <c r="X15" s="6"/>
      <c r="Y15" s="6"/>
    </row>
    <row r="16" spans="1:26" ht="14" x14ac:dyDescent="0.3">
      <c r="A16" s="544" t="s">
        <v>163</v>
      </c>
      <c r="B16" s="576">
        <v>6.32</v>
      </c>
      <c r="C16" s="577">
        <v>6.11</v>
      </c>
      <c r="D16" s="64">
        <v>9.3000000000000007</v>
      </c>
      <c r="E16" s="64">
        <v>8.27</v>
      </c>
      <c r="F16" s="64">
        <v>5.62</v>
      </c>
      <c r="G16" s="64">
        <v>8.82</v>
      </c>
      <c r="H16" s="64">
        <v>5.81</v>
      </c>
      <c r="I16" s="64">
        <v>6.96</v>
      </c>
      <c r="J16" s="402">
        <v>5.75</v>
      </c>
      <c r="K16" s="64">
        <v>8.1999999999999993</v>
      </c>
      <c r="L16" s="64">
        <v>7.28</v>
      </c>
      <c r="M16" s="64">
        <v>9.82</v>
      </c>
      <c r="N16" s="64">
        <v>8.91</v>
      </c>
      <c r="O16" s="64">
        <v>8.82</v>
      </c>
      <c r="P16" s="64">
        <v>11.19</v>
      </c>
      <c r="Q16" s="64">
        <v>11.53</v>
      </c>
      <c r="R16" s="129">
        <f t="shared" si="3"/>
        <v>8.0443749999999987</v>
      </c>
      <c r="S16" s="130">
        <f t="shared" si="4"/>
        <v>11.53</v>
      </c>
      <c r="T16" s="130">
        <f t="shared" si="2"/>
        <v>7.3033333333333337</v>
      </c>
      <c r="U16" s="6"/>
      <c r="V16" s="6"/>
      <c r="W16" s="6"/>
      <c r="X16" s="6"/>
      <c r="Y16" s="6"/>
    </row>
    <row r="17" spans="1:25" ht="14" x14ac:dyDescent="0.3">
      <c r="A17" s="544" t="s">
        <v>164</v>
      </c>
      <c r="B17" s="576">
        <v>5.65</v>
      </c>
      <c r="C17" s="578">
        <v>5.34</v>
      </c>
      <c r="D17" s="64">
        <v>8.8800000000000008</v>
      </c>
      <c r="E17" s="64">
        <v>6.72</v>
      </c>
      <c r="F17" s="64">
        <v>4.82</v>
      </c>
      <c r="G17" s="64">
        <v>8.35</v>
      </c>
      <c r="H17" s="64">
        <v>5.82</v>
      </c>
      <c r="I17" s="64">
        <v>7.07</v>
      </c>
      <c r="J17" s="402">
        <v>5.65</v>
      </c>
      <c r="K17" s="64">
        <v>8.11</v>
      </c>
      <c r="L17" s="64">
        <v>6.69</v>
      </c>
      <c r="M17" s="64">
        <v>10.14</v>
      </c>
      <c r="N17" s="64">
        <v>8.01</v>
      </c>
      <c r="O17" s="64">
        <v>8.02</v>
      </c>
      <c r="P17" s="64">
        <v>10.77</v>
      </c>
      <c r="Q17" s="64">
        <v>11.09</v>
      </c>
      <c r="R17" s="129">
        <f t="shared" si="3"/>
        <v>7.5706249999999997</v>
      </c>
      <c r="S17" s="130">
        <f t="shared" si="4"/>
        <v>11.09</v>
      </c>
      <c r="T17" s="130">
        <f t="shared" si="2"/>
        <v>7.2466666666666661</v>
      </c>
      <c r="U17" s="6"/>
      <c r="V17" s="6"/>
      <c r="W17" s="6"/>
      <c r="X17" s="6"/>
      <c r="Y17" s="6"/>
    </row>
    <row r="18" spans="1:25" ht="14" x14ac:dyDescent="0.3">
      <c r="A18" s="544" t="s">
        <v>165</v>
      </c>
      <c r="B18" s="576">
        <v>4.63</v>
      </c>
      <c r="C18" s="577">
        <v>4.4000000000000004</v>
      </c>
      <c r="D18" s="64">
        <v>8.26</v>
      </c>
      <c r="E18" s="64">
        <v>5.99</v>
      </c>
      <c r="F18" s="64">
        <v>4.3899999999999997</v>
      </c>
      <c r="G18" s="64">
        <v>8.2799999999999994</v>
      </c>
      <c r="H18" s="64">
        <v>5.83</v>
      </c>
      <c r="I18" s="64">
        <v>6.71</v>
      </c>
      <c r="J18" s="402">
        <v>5.66</v>
      </c>
      <c r="K18" s="64">
        <v>7.91</v>
      </c>
      <c r="L18" s="64">
        <v>6.93</v>
      </c>
      <c r="M18" s="64">
        <v>9.56</v>
      </c>
      <c r="N18" s="64">
        <v>8.0299999999999994</v>
      </c>
      <c r="O18" s="64">
        <v>7.91</v>
      </c>
      <c r="P18" s="64">
        <v>9.82</v>
      </c>
      <c r="Q18" s="64">
        <v>10.33</v>
      </c>
      <c r="R18" s="129">
        <f t="shared" si="3"/>
        <v>7.165</v>
      </c>
      <c r="S18" s="130">
        <f t="shared" si="4"/>
        <v>10.33</v>
      </c>
      <c r="T18" s="130">
        <f t="shared" si="2"/>
        <v>7.1000000000000005</v>
      </c>
      <c r="U18" s="6"/>
      <c r="V18" s="6"/>
      <c r="W18" s="6"/>
      <c r="X18" s="6"/>
      <c r="Y18" s="6"/>
    </row>
    <row r="19" spans="1:25" ht="14" x14ac:dyDescent="0.3">
      <c r="A19" s="544" t="s">
        <v>166</v>
      </c>
      <c r="B19" s="576">
        <v>2.15</v>
      </c>
      <c r="C19" s="577">
        <v>3.31</v>
      </c>
      <c r="D19" s="64">
        <v>7.98</v>
      </c>
      <c r="E19" s="64">
        <v>5.26</v>
      </c>
      <c r="F19" s="64">
        <v>2.8</v>
      </c>
      <c r="G19" s="64">
        <v>8.1</v>
      </c>
      <c r="H19" s="64">
        <v>5.69</v>
      </c>
      <c r="I19" s="64">
        <v>6.91</v>
      </c>
      <c r="J19" s="402">
        <v>5.65</v>
      </c>
      <c r="K19" s="64">
        <v>8.2200000000000006</v>
      </c>
      <c r="L19" s="64">
        <v>6.28</v>
      </c>
      <c r="M19" s="64">
        <v>9.52</v>
      </c>
      <c r="N19" s="64">
        <v>7.51</v>
      </c>
      <c r="O19" s="64">
        <v>7.71</v>
      </c>
      <c r="P19" s="64">
        <v>6.38</v>
      </c>
      <c r="Q19" s="64">
        <v>9.01</v>
      </c>
      <c r="R19" s="129">
        <f t="shared" si="3"/>
        <v>6.4050000000000002</v>
      </c>
      <c r="S19" s="130">
        <f t="shared" si="4"/>
        <v>9.52</v>
      </c>
      <c r="T19" s="130">
        <f t="shared" si="2"/>
        <v>7.044999999999999</v>
      </c>
      <c r="U19" s="6"/>
      <c r="V19" s="6"/>
      <c r="W19" s="6"/>
      <c r="X19" s="6"/>
      <c r="Y19" s="6"/>
    </row>
    <row r="20" spans="1:25" ht="14" x14ac:dyDescent="0.3">
      <c r="A20" s="544" t="s">
        <v>188</v>
      </c>
      <c r="B20" s="576">
        <v>4.49</v>
      </c>
      <c r="C20" s="577">
        <v>4.3899999999999997</v>
      </c>
      <c r="D20" s="64">
        <v>6.5</v>
      </c>
      <c r="E20" s="64">
        <v>4.93</v>
      </c>
      <c r="F20" s="64">
        <v>1.93</v>
      </c>
      <c r="G20" s="64">
        <v>7.09</v>
      </c>
      <c r="H20" s="64">
        <v>5.27</v>
      </c>
      <c r="I20" s="64">
        <v>6.87</v>
      </c>
      <c r="J20" s="402">
        <v>4.8099999999999996</v>
      </c>
      <c r="K20" s="64"/>
      <c r="L20" s="64"/>
      <c r="M20" s="64">
        <v>8.8000000000000007</v>
      </c>
      <c r="N20" s="64">
        <v>7.37</v>
      </c>
      <c r="O20" s="64">
        <v>7.43</v>
      </c>
      <c r="P20" s="64">
        <v>4.88</v>
      </c>
      <c r="Q20" s="64">
        <v>5.46</v>
      </c>
      <c r="R20" s="129">
        <f t="shared" si="3"/>
        <v>5.7299999999999986</v>
      </c>
      <c r="S20" s="130">
        <f t="shared" si="4"/>
        <v>8.8000000000000007</v>
      </c>
      <c r="T20" s="130">
        <f t="shared" si="2"/>
        <v>6.4375</v>
      </c>
      <c r="U20" s="6"/>
      <c r="V20" s="6"/>
      <c r="W20" s="6"/>
      <c r="X20" s="6"/>
      <c r="Y20" s="6"/>
    </row>
    <row r="21" spans="1:25" ht="14" x14ac:dyDescent="0.3">
      <c r="A21" s="544" t="s">
        <v>189</v>
      </c>
      <c r="B21" s="576"/>
      <c r="C21" s="577">
        <v>3.98</v>
      </c>
      <c r="D21" s="64">
        <v>5.05</v>
      </c>
      <c r="E21" s="64">
        <v>3.6</v>
      </c>
      <c r="F21" s="64">
        <v>1.22</v>
      </c>
      <c r="G21" s="64"/>
      <c r="H21" s="64">
        <v>5.31</v>
      </c>
      <c r="I21" s="64"/>
      <c r="J21" s="402"/>
      <c r="K21" s="64"/>
      <c r="L21" s="64"/>
      <c r="M21" s="64"/>
      <c r="N21" s="64"/>
      <c r="O21" s="64"/>
      <c r="P21" s="64"/>
      <c r="Q21" s="64"/>
      <c r="R21" s="129">
        <f t="shared" si="3"/>
        <v>3.8319999999999999</v>
      </c>
      <c r="S21" s="130">
        <f t="shared" si="4"/>
        <v>5.31</v>
      </c>
      <c r="T21" s="130">
        <f t="shared" si="2"/>
        <v>5.31</v>
      </c>
      <c r="U21" s="6"/>
      <c r="V21" s="6"/>
      <c r="W21" s="6"/>
      <c r="X21" s="6"/>
    </row>
    <row r="22" spans="1:25" x14ac:dyDescent="0.3">
      <c r="A22" s="566" t="s">
        <v>854</v>
      </c>
      <c r="B22" s="576">
        <f>AVERAGE(B7:B10)</f>
        <v>10.5525</v>
      </c>
      <c r="C22" s="576">
        <f t="shared" ref="C22" si="5">AVERAGE(C7:C10)</f>
        <v>12.475</v>
      </c>
      <c r="D22" s="576">
        <f t="shared" ref="D22:E22" si="6">AVERAGE(D7:D10)</f>
        <v>10.3575</v>
      </c>
      <c r="E22" s="576">
        <f t="shared" si="6"/>
        <v>9.2424999999999997</v>
      </c>
      <c r="F22" s="576">
        <f t="shared" ref="F22:G22" si="7">AVERAGE(F7:F10)</f>
        <v>8.317499999999999</v>
      </c>
      <c r="G22" s="576">
        <f t="shared" si="7"/>
        <v>9.3874999999999993</v>
      </c>
      <c r="H22" s="576">
        <f t="shared" ref="H22:I22" si="8">AVERAGE(H7:H10)</f>
        <v>6.34</v>
      </c>
      <c r="I22" s="576">
        <f t="shared" si="8"/>
        <v>7.5824999999999996</v>
      </c>
      <c r="J22" s="576">
        <f t="shared" ref="J22:K22" si="9">AVERAGE(J7:J10)</f>
        <v>6.7424999999999997</v>
      </c>
      <c r="K22" s="576">
        <f t="shared" si="9"/>
        <v>8.2050000000000001</v>
      </c>
      <c r="L22" s="576">
        <f t="shared" ref="L22:M22" si="10">AVERAGE(L7:L10)</f>
        <v>7.7324999999999999</v>
      </c>
      <c r="M22" s="576">
        <f t="shared" si="10"/>
        <v>10.120000000000001</v>
      </c>
      <c r="N22" s="576">
        <f t="shared" ref="N22:O22" si="11">AVERAGE(N7:N10)</f>
        <v>10.147499999999999</v>
      </c>
      <c r="O22" s="576">
        <f t="shared" si="11"/>
        <v>10.16</v>
      </c>
      <c r="P22" s="576">
        <f t="shared" ref="P22:T22" si="12">AVERAGE(P7:P10)</f>
        <v>11.3925</v>
      </c>
      <c r="Q22" s="576">
        <f t="shared" si="12"/>
        <v>12.515000000000001</v>
      </c>
      <c r="R22" s="576">
        <f t="shared" si="12"/>
        <v>9.4543750000000006</v>
      </c>
      <c r="S22" s="576">
        <f t="shared" si="12"/>
        <v>12.782499999999999</v>
      </c>
      <c r="T22" s="576">
        <f t="shared" si="12"/>
        <v>7.7870833333333342</v>
      </c>
    </row>
    <row r="23" spans="1:25" x14ac:dyDescent="0.3">
      <c r="A23" s="566" t="s">
        <v>855</v>
      </c>
      <c r="B23" s="576">
        <f>AVERAGE(B7:B21)</f>
        <v>8.0578571428571415</v>
      </c>
      <c r="C23" s="576">
        <f t="shared" ref="C23" si="13">AVERAGE(C7:C21)</f>
        <v>8.3166666666666682</v>
      </c>
      <c r="D23" s="576">
        <f t="shared" ref="D23:E23" si="14">AVERAGE(D7:D21)</f>
        <v>9.2293333333333329</v>
      </c>
      <c r="E23" s="576">
        <f t="shared" si="14"/>
        <v>7.6799999999999988</v>
      </c>
      <c r="F23" s="576">
        <f t="shared" ref="F23:G23" si="15">AVERAGE(F7:F21)</f>
        <v>6.1419999999999995</v>
      </c>
      <c r="G23" s="576">
        <f t="shared" si="15"/>
        <v>8.75</v>
      </c>
      <c r="H23" s="576">
        <f t="shared" ref="H23:I23" si="16">AVERAGE(H7:H21)</f>
        <v>5.9473333333333329</v>
      </c>
      <c r="I23" s="576">
        <f t="shared" si="16"/>
        <v>7.2471428571428564</v>
      </c>
      <c r="J23" s="576">
        <f t="shared" ref="J23:K23" si="17">AVERAGE(J7:J21)</f>
        <v>6.0814285714285727</v>
      </c>
      <c r="K23" s="576">
        <f t="shared" si="17"/>
        <v>8.1992307692307698</v>
      </c>
      <c r="L23" s="576">
        <f t="shared" ref="L23:M23" si="18">AVERAGE(L7:L21)</f>
        <v>7.3346153846153843</v>
      </c>
      <c r="M23" s="576">
        <f t="shared" si="18"/>
        <v>9.7800000000000011</v>
      </c>
      <c r="N23" s="576">
        <f t="shared" ref="N23:O23" si="19">AVERAGE(N7:N21)</f>
        <v>9.24</v>
      </c>
      <c r="O23" s="576">
        <f t="shared" si="19"/>
        <v>9.0264285714285695</v>
      </c>
      <c r="P23" s="576">
        <f t="shared" ref="P23:T23" si="20">AVERAGE(P7:P21)</f>
        <v>10.264285714285714</v>
      </c>
      <c r="Q23" s="576">
        <f t="shared" si="20"/>
        <v>11.288571428571428</v>
      </c>
      <c r="R23" s="576">
        <f t="shared" si="20"/>
        <v>8.0482583333333331</v>
      </c>
      <c r="S23" s="576">
        <f t="shared" si="20"/>
        <v>11.218</v>
      </c>
      <c r="T23" s="576">
        <f t="shared" si="20"/>
        <v>7.267722222222222</v>
      </c>
    </row>
    <row r="24" spans="1:25" ht="15.5" x14ac:dyDescent="0.35">
      <c r="A24" s="798" t="s">
        <v>804</v>
      </c>
      <c r="B24" s="799"/>
      <c r="C24" s="799"/>
      <c r="D24" s="799"/>
      <c r="E24" s="799"/>
      <c r="F24" s="799"/>
      <c r="G24" s="799"/>
      <c r="H24" s="799"/>
      <c r="I24" s="799"/>
      <c r="J24" s="799"/>
      <c r="K24" s="799"/>
      <c r="L24" s="799"/>
      <c r="M24" s="799"/>
      <c r="N24" s="799"/>
      <c r="O24" s="799"/>
      <c r="P24" s="799"/>
      <c r="Q24" s="799"/>
      <c r="R24" s="799"/>
      <c r="S24" s="799"/>
      <c r="T24" s="800"/>
    </row>
    <row r="25" spans="1:25" ht="14" x14ac:dyDescent="0.3">
      <c r="A25" s="544" t="s">
        <v>453</v>
      </c>
      <c r="B25" s="64">
        <v>11.1</v>
      </c>
      <c r="C25" s="64">
        <v>12.84</v>
      </c>
      <c r="D25" s="64">
        <v>10.5</v>
      </c>
      <c r="E25" s="64">
        <v>9.0500000000000007</v>
      </c>
      <c r="F25" s="64">
        <v>8.34</v>
      </c>
      <c r="G25" s="64">
        <v>9.2200000000000006</v>
      </c>
      <c r="H25" s="64">
        <v>6.32</v>
      </c>
      <c r="I25" s="64">
        <v>7.86</v>
      </c>
      <c r="J25" s="64">
        <v>7.77</v>
      </c>
      <c r="K25" s="64">
        <v>8.2799999999999994</v>
      </c>
      <c r="L25" s="64">
        <v>7.6</v>
      </c>
      <c r="M25" s="64">
        <v>10.5</v>
      </c>
      <c r="N25" s="64">
        <v>10.91</v>
      </c>
      <c r="O25" s="64">
        <v>10.199999999999999</v>
      </c>
      <c r="P25" s="64">
        <v>11.02</v>
      </c>
      <c r="Q25" s="64"/>
      <c r="R25" s="129">
        <f>AVERAGE(B25:Q25)</f>
        <v>9.4339999999999993</v>
      </c>
      <c r="S25" s="130">
        <f>MAX(B25:Q25)</f>
        <v>12.84</v>
      </c>
      <c r="T25" s="130">
        <f t="shared" si="2"/>
        <v>8.0549999999999997</v>
      </c>
    </row>
    <row r="26" spans="1:25" ht="14" x14ac:dyDescent="0.3">
      <c r="A26" s="544" t="s">
        <v>158</v>
      </c>
      <c r="B26" s="64">
        <v>10.72</v>
      </c>
      <c r="C26" s="64">
        <v>12.35</v>
      </c>
      <c r="D26" s="64">
        <v>10.4</v>
      </c>
      <c r="E26" s="64">
        <v>9.4700000000000006</v>
      </c>
      <c r="F26" s="64">
        <v>7.82</v>
      </c>
      <c r="G26" s="64">
        <v>9.2200000000000006</v>
      </c>
      <c r="H26" s="64">
        <v>6.08</v>
      </c>
      <c r="I26" s="64">
        <v>7.86</v>
      </c>
      <c r="J26" s="64">
        <v>6.68</v>
      </c>
      <c r="K26" s="64">
        <v>8.31</v>
      </c>
      <c r="L26" s="64">
        <v>7.36</v>
      </c>
      <c r="M26" s="64">
        <v>9.43</v>
      </c>
      <c r="N26" s="64">
        <v>10.67</v>
      </c>
      <c r="O26" s="64">
        <v>10.220000000000001</v>
      </c>
      <c r="P26" s="64">
        <v>10.92</v>
      </c>
      <c r="Q26" s="64"/>
      <c r="R26" s="129">
        <f t="shared" ref="R26:R36" si="21">AVERAGE(B26:Q26)</f>
        <v>9.1673333333333336</v>
      </c>
      <c r="S26" s="130">
        <f t="shared" ref="S26:S36" si="22">MAX(B26:Q26)</f>
        <v>12.35</v>
      </c>
      <c r="T26" s="130">
        <f t="shared" si="2"/>
        <v>7.62</v>
      </c>
    </row>
    <row r="27" spans="1:25" ht="14" x14ac:dyDescent="0.3">
      <c r="A27" s="544" t="s">
        <v>454</v>
      </c>
      <c r="B27" s="64">
        <v>10.57</v>
      </c>
      <c r="C27" s="64">
        <v>11.8</v>
      </c>
      <c r="D27" s="64">
        <v>10.36</v>
      </c>
      <c r="E27" s="64">
        <v>8.76</v>
      </c>
      <c r="F27" s="64">
        <v>7.87</v>
      </c>
      <c r="G27" s="64">
        <v>8.86</v>
      </c>
      <c r="H27" s="64">
        <v>6.04</v>
      </c>
      <c r="I27" s="64">
        <v>7.69</v>
      </c>
      <c r="J27" s="64">
        <v>6.44</v>
      </c>
      <c r="K27" s="64">
        <v>7.6</v>
      </c>
      <c r="L27" s="64">
        <v>7.36</v>
      </c>
      <c r="M27" s="64">
        <v>9.86</v>
      </c>
      <c r="N27" s="64">
        <v>10.039999999999999</v>
      </c>
      <c r="O27" s="64">
        <v>10.17</v>
      </c>
      <c r="P27" s="64">
        <v>10.86</v>
      </c>
      <c r="Q27" s="64"/>
      <c r="R27" s="129">
        <f t="shared" si="21"/>
        <v>8.952</v>
      </c>
      <c r="S27" s="130">
        <f t="shared" si="22"/>
        <v>11.8</v>
      </c>
      <c r="T27" s="130">
        <f t="shared" si="2"/>
        <v>7.498333333333334</v>
      </c>
    </row>
    <row r="28" spans="1:25" ht="14" x14ac:dyDescent="0.3">
      <c r="A28" s="544" t="s">
        <v>159</v>
      </c>
      <c r="B28" s="64">
        <v>10.050000000000001</v>
      </c>
      <c r="C28" s="64">
        <v>11.4</v>
      </c>
      <c r="D28" s="64">
        <v>10.42</v>
      </c>
      <c r="E28" s="64">
        <v>8.48</v>
      </c>
      <c r="F28" s="64">
        <v>8.27</v>
      </c>
      <c r="G28" s="64">
        <v>8.7799999999999994</v>
      </c>
      <c r="H28" s="64">
        <v>5.52</v>
      </c>
      <c r="I28" s="64">
        <v>7.58</v>
      </c>
      <c r="J28" s="64">
        <v>5.99</v>
      </c>
      <c r="K28" s="64">
        <v>7.96</v>
      </c>
      <c r="L28" s="64">
        <v>7.23</v>
      </c>
      <c r="M28" s="64">
        <v>9.7100000000000009</v>
      </c>
      <c r="N28" s="64">
        <v>10.039999999999999</v>
      </c>
      <c r="O28" s="64">
        <v>10.11</v>
      </c>
      <c r="P28" s="64">
        <v>10.67</v>
      </c>
      <c r="Q28" s="64"/>
      <c r="R28" s="129">
        <f t="shared" si="21"/>
        <v>8.8139999999999983</v>
      </c>
      <c r="S28" s="130">
        <f t="shared" si="22"/>
        <v>11.4</v>
      </c>
      <c r="T28" s="130">
        <f t="shared" si="2"/>
        <v>7.331666666666667</v>
      </c>
    </row>
    <row r="29" spans="1:25" ht="14" x14ac:dyDescent="0.3">
      <c r="A29" s="544" t="s">
        <v>455</v>
      </c>
      <c r="B29" s="64">
        <v>9.52</v>
      </c>
      <c r="C29" s="64">
        <v>10.5</v>
      </c>
      <c r="D29" s="64">
        <v>10.37</v>
      </c>
      <c r="E29" s="64">
        <v>8.5</v>
      </c>
      <c r="F29" s="64">
        <v>7.82</v>
      </c>
      <c r="G29" s="64">
        <v>8.31</v>
      </c>
      <c r="H29" s="64">
        <v>5.72</v>
      </c>
      <c r="I29" s="64">
        <v>7.39</v>
      </c>
      <c r="J29" s="64">
        <v>6.04</v>
      </c>
      <c r="K29" s="64">
        <v>7.88</v>
      </c>
      <c r="L29" s="64">
        <v>7.26</v>
      </c>
      <c r="M29" s="64">
        <v>9.86</v>
      </c>
      <c r="N29" s="64">
        <v>9.9600000000000009</v>
      </c>
      <c r="O29" s="64">
        <v>9.92</v>
      </c>
      <c r="P29" s="64">
        <v>10.73</v>
      </c>
      <c r="Q29" s="64"/>
      <c r="R29" s="129">
        <f t="shared" si="21"/>
        <v>8.6519999999999992</v>
      </c>
      <c r="S29" s="130">
        <f t="shared" si="22"/>
        <v>10.73</v>
      </c>
      <c r="T29" s="130">
        <f t="shared" si="2"/>
        <v>7.3583333333333334</v>
      </c>
    </row>
    <row r="30" spans="1:25" ht="14" x14ac:dyDescent="0.3">
      <c r="A30" s="544" t="s">
        <v>160</v>
      </c>
      <c r="B30" s="64">
        <v>8.5500000000000007</v>
      </c>
      <c r="C30" s="64">
        <v>9.8699999999999992</v>
      </c>
      <c r="D30" s="64">
        <v>10.58</v>
      </c>
      <c r="E30" s="64">
        <v>8.42</v>
      </c>
      <c r="F30" s="64">
        <v>7.74</v>
      </c>
      <c r="G30" s="64">
        <v>8.86</v>
      </c>
      <c r="H30" s="64">
        <v>5.7</v>
      </c>
      <c r="I30" s="64">
        <v>7.1</v>
      </c>
      <c r="J30" s="64">
        <v>6.09</v>
      </c>
      <c r="K30" s="64">
        <v>7.82</v>
      </c>
      <c r="L30" s="64">
        <v>7.12</v>
      </c>
      <c r="M30" s="64">
        <v>9.86</v>
      </c>
      <c r="N30" s="64">
        <v>10</v>
      </c>
      <c r="O30" s="64">
        <v>9.5299999999999994</v>
      </c>
      <c r="P30" s="64">
        <v>10.76</v>
      </c>
      <c r="Q30" s="64"/>
      <c r="R30" s="129">
        <f t="shared" si="21"/>
        <v>8.533333333333335</v>
      </c>
      <c r="S30" s="130">
        <f t="shared" si="22"/>
        <v>10.76</v>
      </c>
      <c r="T30" s="130">
        <f t="shared" si="2"/>
        <v>7.2816666666666663</v>
      </c>
    </row>
    <row r="31" spans="1:25" ht="14" x14ac:dyDescent="0.3">
      <c r="A31" s="544" t="s">
        <v>456</v>
      </c>
      <c r="B31" s="64">
        <v>8.0399999999999991</v>
      </c>
      <c r="C31" s="64">
        <v>8.76</v>
      </c>
      <c r="D31" s="64">
        <v>10.34</v>
      </c>
      <c r="E31" s="64">
        <v>8.4600000000000009</v>
      </c>
      <c r="F31" s="64">
        <v>7.27</v>
      </c>
      <c r="G31" s="64">
        <v>8.73</v>
      </c>
      <c r="H31" s="64">
        <v>5.58</v>
      </c>
      <c r="I31" s="64">
        <v>7.02</v>
      </c>
      <c r="J31" s="64">
        <v>5.94</v>
      </c>
      <c r="K31" s="64">
        <v>7.75</v>
      </c>
      <c r="L31" s="64">
        <v>6.96</v>
      </c>
      <c r="M31" s="64">
        <v>9.86</v>
      </c>
      <c r="N31" s="64">
        <v>10.11</v>
      </c>
      <c r="O31" s="64">
        <v>9.84</v>
      </c>
      <c r="P31" s="64">
        <v>10.74</v>
      </c>
      <c r="Q31" s="64"/>
      <c r="R31" s="129">
        <f t="shared" si="21"/>
        <v>8.3599999999999977</v>
      </c>
      <c r="S31" s="130">
        <f t="shared" si="22"/>
        <v>10.74</v>
      </c>
      <c r="T31" s="130">
        <f t="shared" si="2"/>
        <v>7.1849999999999996</v>
      </c>
    </row>
    <row r="32" spans="1:25" ht="14" x14ac:dyDescent="0.3">
      <c r="A32" s="544" t="s">
        <v>161</v>
      </c>
      <c r="B32" s="64">
        <v>7.79</v>
      </c>
      <c r="C32" s="64">
        <v>6.85</v>
      </c>
      <c r="D32" s="64">
        <v>10.48</v>
      </c>
      <c r="E32" s="64">
        <v>8.35</v>
      </c>
      <c r="F32" s="64">
        <v>7.21</v>
      </c>
      <c r="G32" s="64">
        <v>8.76</v>
      </c>
      <c r="H32" s="64">
        <v>5.51</v>
      </c>
      <c r="I32" s="64">
        <v>7.21</v>
      </c>
      <c r="J32" s="64">
        <v>5.94</v>
      </c>
      <c r="K32" s="64">
        <v>7.66</v>
      </c>
      <c r="L32" s="64">
        <v>6.79</v>
      </c>
      <c r="M32" s="64">
        <v>9.8800000000000008</v>
      </c>
      <c r="N32" s="64">
        <v>8.5299999999999994</v>
      </c>
      <c r="O32" s="64">
        <v>9.14</v>
      </c>
      <c r="P32" s="64">
        <v>10.36</v>
      </c>
      <c r="Q32" s="64"/>
      <c r="R32" s="129">
        <f t="shared" si="21"/>
        <v>8.0306666666666668</v>
      </c>
      <c r="S32" s="130">
        <f t="shared" si="22"/>
        <v>10.48</v>
      </c>
      <c r="T32" s="130">
        <f t="shared" si="2"/>
        <v>7.165</v>
      </c>
    </row>
    <row r="33" spans="1:20" ht="14" x14ac:dyDescent="0.3">
      <c r="A33" s="544" t="s">
        <v>162</v>
      </c>
      <c r="B33" s="64">
        <v>7.07</v>
      </c>
      <c r="C33" s="64">
        <v>6.29</v>
      </c>
      <c r="D33" s="64">
        <v>10.32</v>
      </c>
      <c r="E33" s="64">
        <v>8.1999999999999993</v>
      </c>
      <c r="F33" s="64">
        <v>6.42</v>
      </c>
      <c r="G33" s="64">
        <v>8.65</v>
      </c>
      <c r="H33" s="64">
        <v>5.56</v>
      </c>
      <c r="I33" s="64">
        <v>7.32</v>
      </c>
      <c r="J33" s="64">
        <v>5.87</v>
      </c>
      <c r="K33" s="64">
        <v>7.61</v>
      </c>
      <c r="L33" s="64">
        <v>6.92</v>
      </c>
      <c r="M33" s="64">
        <v>9.99</v>
      </c>
      <c r="N33" s="64">
        <v>8.02</v>
      </c>
      <c r="O33" s="64">
        <v>9.31</v>
      </c>
      <c r="P33" s="64">
        <v>10.11</v>
      </c>
      <c r="Q33" s="64"/>
      <c r="R33" s="129">
        <f t="shared" si="21"/>
        <v>7.8439999999999994</v>
      </c>
      <c r="S33" s="130">
        <f t="shared" si="22"/>
        <v>10.32</v>
      </c>
      <c r="T33" s="130">
        <f t="shared" si="2"/>
        <v>7.2116666666666669</v>
      </c>
    </row>
    <row r="34" spans="1:20" ht="14" x14ac:dyDescent="0.3">
      <c r="A34" s="544" t="s">
        <v>163</v>
      </c>
      <c r="B34" s="64">
        <v>6.09</v>
      </c>
      <c r="C34" s="64">
        <v>3.59</v>
      </c>
      <c r="D34" s="64">
        <v>9.7200000000000006</v>
      </c>
      <c r="E34" s="64">
        <v>7.05</v>
      </c>
      <c r="F34" s="64">
        <v>5.96</v>
      </c>
      <c r="G34" s="64">
        <v>8.6199999999999992</v>
      </c>
      <c r="H34" s="64">
        <v>6.02</v>
      </c>
      <c r="I34" s="64">
        <v>6.81</v>
      </c>
      <c r="J34" s="64">
        <v>5.78</v>
      </c>
      <c r="K34" s="64">
        <v>7.61</v>
      </c>
      <c r="L34" s="64">
        <v>6.82</v>
      </c>
      <c r="M34" s="64">
        <v>9.92</v>
      </c>
      <c r="N34" s="64">
        <v>8</v>
      </c>
      <c r="O34" s="64">
        <v>8.92</v>
      </c>
      <c r="P34" s="64">
        <v>10.119999999999999</v>
      </c>
      <c r="Q34" s="64"/>
      <c r="R34" s="129">
        <f t="shared" si="21"/>
        <v>7.4020000000000001</v>
      </c>
      <c r="S34" s="130">
        <f t="shared" si="22"/>
        <v>10.119999999999999</v>
      </c>
      <c r="T34" s="130">
        <f t="shared" si="2"/>
        <v>7.16</v>
      </c>
    </row>
    <row r="35" spans="1:20" ht="14" x14ac:dyDescent="0.3">
      <c r="A35" s="544" t="s">
        <v>164</v>
      </c>
      <c r="B35" s="64">
        <v>2.61</v>
      </c>
      <c r="C35" s="64">
        <v>0.9</v>
      </c>
      <c r="D35" s="64">
        <v>7.98</v>
      </c>
      <c r="E35" s="64">
        <v>5.74</v>
      </c>
      <c r="F35" s="64">
        <v>4.37</v>
      </c>
      <c r="G35" s="64">
        <v>7.6</v>
      </c>
      <c r="H35" s="64">
        <v>5.51</v>
      </c>
      <c r="I35" s="64">
        <v>6.72</v>
      </c>
      <c r="J35" s="64">
        <v>5.42</v>
      </c>
      <c r="K35" s="64">
        <v>7.41</v>
      </c>
      <c r="L35" s="64">
        <v>6.33</v>
      </c>
      <c r="M35" s="64">
        <v>9.8000000000000007</v>
      </c>
      <c r="N35" s="64"/>
      <c r="O35" s="64">
        <v>8.7200000000000006</v>
      </c>
      <c r="P35" s="64">
        <v>10.029999999999999</v>
      </c>
      <c r="Q35" s="64"/>
      <c r="R35" s="129">
        <f t="shared" si="21"/>
        <v>6.3671428571428574</v>
      </c>
      <c r="S35" s="130">
        <f t="shared" si="22"/>
        <v>10.029999999999999</v>
      </c>
      <c r="T35" s="130">
        <f t="shared" si="2"/>
        <v>6.8649999999999993</v>
      </c>
    </row>
    <row r="36" spans="1:20" ht="14" x14ac:dyDescent="0.3">
      <c r="A36" s="544" t="s">
        <v>165</v>
      </c>
      <c r="B36" s="64">
        <v>1.02</v>
      </c>
      <c r="C36" s="64">
        <v>1.1499999999999999</v>
      </c>
      <c r="D36" s="64">
        <v>6.7</v>
      </c>
      <c r="E36" s="64">
        <v>4.82</v>
      </c>
      <c r="F36" s="64">
        <v>2.34</v>
      </c>
      <c r="G36" s="64">
        <v>7.52</v>
      </c>
      <c r="H36" s="64">
        <v>5.78</v>
      </c>
      <c r="I36" s="64">
        <v>5.68</v>
      </c>
      <c r="J36" s="64">
        <v>4.92</v>
      </c>
      <c r="K36" s="64"/>
      <c r="L36" s="64"/>
      <c r="M36" s="64"/>
      <c r="N36" s="64"/>
      <c r="O36" s="64"/>
      <c r="P36" s="64"/>
      <c r="Q36" s="64"/>
      <c r="R36" s="129">
        <f t="shared" si="21"/>
        <v>4.4366666666666674</v>
      </c>
      <c r="S36" s="130">
        <f t="shared" si="22"/>
        <v>7.52</v>
      </c>
      <c r="T36" s="130">
        <f t="shared" si="2"/>
        <v>5.4600000000000009</v>
      </c>
    </row>
    <row r="37" spans="1:20" x14ac:dyDescent="0.3">
      <c r="A37" s="566" t="s">
        <v>854</v>
      </c>
      <c r="B37" s="576">
        <f>AVERAGE(B25:B28)</f>
        <v>10.61</v>
      </c>
      <c r="C37" s="576">
        <f t="shared" ref="C37" si="23">AVERAGE(C25:C28)</f>
        <v>12.097499999999998</v>
      </c>
      <c r="D37" s="576">
        <f t="shared" ref="D37:E37" si="24">AVERAGE(D25:D28)</f>
        <v>10.42</v>
      </c>
      <c r="E37" s="576">
        <f t="shared" si="24"/>
        <v>8.9400000000000013</v>
      </c>
      <c r="F37" s="576">
        <f t="shared" ref="F37:G37" si="25">AVERAGE(F25:F28)</f>
        <v>8.0749999999999993</v>
      </c>
      <c r="G37" s="576">
        <f t="shared" si="25"/>
        <v>9.02</v>
      </c>
      <c r="H37" s="576">
        <f t="shared" ref="H37:I37" si="26">AVERAGE(H25:H28)</f>
        <v>5.99</v>
      </c>
      <c r="I37" s="576">
        <f t="shared" si="26"/>
        <v>7.7475000000000005</v>
      </c>
      <c r="J37" s="576">
        <f t="shared" ref="J37:K37" si="27">AVERAGE(J25:J28)</f>
        <v>6.7200000000000006</v>
      </c>
      <c r="K37" s="576">
        <f t="shared" si="27"/>
        <v>8.0374999999999996</v>
      </c>
      <c r="L37" s="576">
        <f t="shared" ref="L37:M37" si="28">AVERAGE(L25:L28)</f>
        <v>7.3875000000000002</v>
      </c>
      <c r="M37" s="576">
        <f t="shared" si="28"/>
        <v>9.875</v>
      </c>
      <c r="N37" s="576">
        <f t="shared" ref="N37:O37" si="29">AVERAGE(N25:N28)</f>
        <v>10.414999999999999</v>
      </c>
      <c r="O37" s="576">
        <f t="shared" si="29"/>
        <v>10.175000000000001</v>
      </c>
      <c r="P37" s="576">
        <f t="shared" ref="P37:T37" si="30">AVERAGE(P25:P28)</f>
        <v>10.8675</v>
      </c>
      <c r="Q37" s="576"/>
      <c r="R37" s="576">
        <f t="shared" si="30"/>
        <v>9.0918333333333337</v>
      </c>
      <c r="S37" s="576">
        <f t="shared" si="30"/>
        <v>12.097499999999998</v>
      </c>
      <c r="T37" s="576">
        <f t="shared" si="30"/>
        <v>7.6262500000000006</v>
      </c>
    </row>
    <row r="38" spans="1:20" x14ac:dyDescent="0.3">
      <c r="A38" s="544" t="s">
        <v>823</v>
      </c>
      <c r="B38" s="576">
        <f>AVERAGE(B25:B36)</f>
        <v>7.7608333333333333</v>
      </c>
      <c r="C38" s="576">
        <f t="shared" ref="C38" si="31">AVERAGE(C25:C36)</f>
        <v>8.0250000000000004</v>
      </c>
      <c r="D38" s="576">
        <f t="shared" ref="D38:E38" si="32">AVERAGE(D25:D36)</f>
        <v>9.8475000000000019</v>
      </c>
      <c r="E38" s="576">
        <f t="shared" si="32"/>
        <v>7.9416666666666673</v>
      </c>
      <c r="F38" s="576">
        <f t="shared" ref="F38:G38" si="33">AVERAGE(F25:F36)</f>
        <v>6.7858333333333327</v>
      </c>
      <c r="G38" s="576">
        <f t="shared" si="33"/>
        <v>8.5941666666666681</v>
      </c>
      <c r="H38" s="576">
        <f t="shared" ref="H38:I38" si="34">AVERAGE(H25:H36)</f>
        <v>5.7783333333333324</v>
      </c>
      <c r="I38" s="576">
        <f t="shared" si="34"/>
        <v>7.1866666666666674</v>
      </c>
      <c r="J38" s="576">
        <f t="shared" ref="J38:K38" si="35">AVERAGE(J25:J36)</f>
        <v>6.0733333333333333</v>
      </c>
      <c r="K38" s="576">
        <f t="shared" si="35"/>
        <v>7.8081818181818186</v>
      </c>
      <c r="L38" s="576">
        <f t="shared" ref="L38:M38" si="36">AVERAGE(L25:L36)</f>
        <v>7.0681818181818166</v>
      </c>
      <c r="M38" s="576">
        <f t="shared" si="36"/>
        <v>9.8790909090909071</v>
      </c>
      <c r="N38" s="576">
        <f t="shared" ref="N38:O38" si="37">AVERAGE(N25:N36)</f>
        <v>9.6279999999999983</v>
      </c>
      <c r="O38" s="576">
        <f t="shared" si="37"/>
        <v>9.6436363636363645</v>
      </c>
      <c r="P38" s="576">
        <f t="shared" ref="P38:T38" si="38">AVERAGE(P25:P36)</f>
        <v>10.574545454545456</v>
      </c>
      <c r="Q38" s="576"/>
      <c r="R38" s="576">
        <f t="shared" si="38"/>
        <v>7.9994285714285702</v>
      </c>
      <c r="S38" s="576">
        <f t="shared" si="38"/>
        <v>10.7575</v>
      </c>
      <c r="T38" s="576">
        <f t="shared" si="38"/>
        <v>7.1826388888888886</v>
      </c>
    </row>
    <row r="39" spans="1:20" ht="15.5" x14ac:dyDescent="0.35">
      <c r="A39" s="798" t="s">
        <v>805</v>
      </c>
      <c r="B39" s="799"/>
      <c r="C39" s="799"/>
      <c r="D39" s="799"/>
      <c r="E39" s="799"/>
      <c r="F39" s="799"/>
      <c r="G39" s="799"/>
      <c r="H39" s="799"/>
      <c r="I39" s="799"/>
      <c r="J39" s="799"/>
      <c r="K39" s="799"/>
      <c r="L39" s="799"/>
      <c r="M39" s="799"/>
      <c r="N39" s="799"/>
      <c r="O39" s="799"/>
      <c r="P39" s="799"/>
      <c r="Q39" s="799"/>
      <c r="R39" s="799"/>
      <c r="S39" s="799"/>
      <c r="T39" s="800"/>
    </row>
    <row r="40" spans="1:20" ht="14" x14ac:dyDescent="0.3">
      <c r="A40" s="544" t="s">
        <v>453</v>
      </c>
      <c r="B40" s="64">
        <v>11.45</v>
      </c>
      <c r="C40" s="64">
        <v>12.87</v>
      </c>
      <c r="D40" s="64">
        <v>10.15</v>
      </c>
      <c r="E40" s="64">
        <v>9.14</v>
      </c>
      <c r="F40" s="64">
        <v>7.93</v>
      </c>
      <c r="G40" s="64">
        <v>9.11</v>
      </c>
      <c r="H40" s="64">
        <v>6.43</v>
      </c>
      <c r="I40" s="64">
        <v>7.15</v>
      </c>
      <c r="J40" s="64">
        <v>6.6</v>
      </c>
      <c r="K40" s="64">
        <v>7.86</v>
      </c>
      <c r="L40" s="64">
        <v>7.66</v>
      </c>
      <c r="M40" s="64">
        <v>10.09</v>
      </c>
      <c r="N40" s="64">
        <v>11.03</v>
      </c>
      <c r="O40" s="64">
        <v>10.210000000000001</v>
      </c>
      <c r="P40" s="64">
        <v>11.14</v>
      </c>
      <c r="Q40" s="64"/>
      <c r="R40" s="129">
        <f>AVERAGE(B40:Q40)</f>
        <v>9.254666666666667</v>
      </c>
      <c r="S40" s="130">
        <f>MAX(B40:Q40)</f>
        <v>12.87</v>
      </c>
      <c r="T40" s="130">
        <f t="shared" si="2"/>
        <v>7.6316666666666677</v>
      </c>
    </row>
    <row r="41" spans="1:20" ht="14" x14ac:dyDescent="0.3">
      <c r="A41" s="544" t="s">
        <v>158</v>
      </c>
      <c r="B41" s="64">
        <v>11</v>
      </c>
      <c r="C41" s="64">
        <v>12.3</v>
      </c>
      <c r="D41" s="64">
        <v>10.25</v>
      </c>
      <c r="E41" s="64">
        <v>9.27</v>
      </c>
      <c r="F41" s="64">
        <v>8.36</v>
      </c>
      <c r="G41" s="64">
        <v>9.2100000000000009</v>
      </c>
      <c r="H41" s="64">
        <v>6.42</v>
      </c>
      <c r="I41" s="64">
        <v>7.22</v>
      </c>
      <c r="J41" s="64">
        <v>6.55</v>
      </c>
      <c r="K41" s="64">
        <v>7.86</v>
      </c>
      <c r="L41" s="64">
        <v>7.38</v>
      </c>
      <c r="M41" s="64">
        <v>9.8000000000000007</v>
      </c>
      <c r="N41" s="64">
        <v>10.62</v>
      </c>
      <c r="O41" s="64">
        <v>10.210000000000001</v>
      </c>
      <c r="P41" s="64">
        <v>10.98</v>
      </c>
      <c r="Q41" s="64"/>
      <c r="R41" s="129">
        <f t="shared" ref="R41:R48" si="39">AVERAGE(B41:Q41)</f>
        <v>9.161999999999999</v>
      </c>
      <c r="S41" s="130">
        <f t="shared" ref="S41:S48" si="40">MAX(B41:Q41)</f>
        <v>12.3</v>
      </c>
      <c r="T41" s="130">
        <f t="shared" si="2"/>
        <v>7.538333333333334</v>
      </c>
    </row>
    <row r="42" spans="1:20" ht="14" x14ac:dyDescent="0.3">
      <c r="A42" s="544" t="s">
        <v>454</v>
      </c>
      <c r="B42" s="64">
        <v>10.61</v>
      </c>
      <c r="C42" s="64">
        <v>11.77</v>
      </c>
      <c r="D42" s="64">
        <v>10.26</v>
      </c>
      <c r="E42" s="64">
        <v>8.99</v>
      </c>
      <c r="F42" s="64">
        <v>8.65</v>
      </c>
      <c r="G42" s="64">
        <v>8.86</v>
      </c>
      <c r="H42" s="64">
        <v>6.15</v>
      </c>
      <c r="I42" s="64">
        <v>7.67</v>
      </c>
      <c r="J42" s="64">
        <v>6.57</v>
      </c>
      <c r="K42" s="64">
        <v>7.76</v>
      </c>
      <c r="L42" s="64">
        <v>7.36</v>
      </c>
      <c r="M42" s="64">
        <v>9.92</v>
      </c>
      <c r="N42" s="64">
        <v>10.6</v>
      </c>
      <c r="O42" s="64">
        <v>10.130000000000001</v>
      </c>
      <c r="P42" s="64">
        <v>10.91</v>
      </c>
      <c r="Q42" s="64"/>
      <c r="R42" s="129">
        <f t="shared" si="39"/>
        <v>9.0806666666666676</v>
      </c>
      <c r="S42" s="130">
        <f t="shared" si="40"/>
        <v>11.77</v>
      </c>
      <c r="T42" s="130">
        <f t="shared" si="2"/>
        <v>7.5716666666666663</v>
      </c>
    </row>
    <row r="43" spans="1:20" ht="14" x14ac:dyDescent="0.3">
      <c r="A43" s="544" t="s">
        <v>159</v>
      </c>
      <c r="B43" s="64">
        <v>10.46</v>
      </c>
      <c r="C43" s="64">
        <v>11.02</v>
      </c>
      <c r="D43" s="64">
        <v>9.76</v>
      </c>
      <c r="E43" s="64">
        <v>8.86</v>
      </c>
      <c r="F43" s="64">
        <v>8.75</v>
      </c>
      <c r="G43" s="64">
        <v>9.0299999999999994</v>
      </c>
      <c r="H43" s="64">
        <v>6.18</v>
      </c>
      <c r="I43" s="64">
        <v>7.31</v>
      </c>
      <c r="J43" s="64">
        <v>6.1</v>
      </c>
      <c r="K43" s="64">
        <v>8.11</v>
      </c>
      <c r="L43" s="64">
        <v>7.33</v>
      </c>
      <c r="M43" s="64">
        <v>10.11</v>
      </c>
      <c r="N43" s="64">
        <v>10.42</v>
      </c>
      <c r="O43" s="64">
        <v>9.73</v>
      </c>
      <c r="P43" s="64">
        <v>10.88</v>
      </c>
      <c r="Q43" s="64"/>
      <c r="R43" s="129">
        <f t="shared" si="39"/>
        <v>8.9366666666666674</v>
      </c>
      <c r="S43" s="130">
        <f t="shared" si="40"/>
        <v>11.02</v>
      </c>
      <c r="T43" s="130">
        <f t="shared" si="2"/>
        <v>7.5233333333333325</v>
      </c>
    </row>
    <row r="44" spans="1:20" ht="14" x14ac:dyDescent="0.3">
      <c r="A44" s="544" t="s">
        <v>455</v>
      </c>
      <c r="B44" s="64">
        <v>9.8000000000000007</v>
      </c>
      <c r="C44" s="64">
        <v>10.25</v>
      </c>
      <c r="D44" s="64">
        <v>9.92</v>
      </c>
      <c r="E44" s="64">
        <v>8.73</v>
      </c>
      <c r="F44" s="64">
        <v>7.91</v>
      </c>
      <c r="G44" s="64">
        <v>8.84</v>
      </c>
      <c r="H44" s="64">
        <v>6.22</v>
      </c>
      <c r="I44" s="64">
        <v>6.88</v>
      </c>
      <c r="J44" s="64">
        <v>5.92</v>
      </c>
      <c r="K44" s="64">
        <v>7.93</v>
      </c>
      <c r="L44" s="64">
        <v>7.18</v>
      </c>
      <c r="M44" s="64">
        <v>10.02</v>
      </c>
      <c r="N44" s="64">
        <v>9.9700000000000006</v>
      </c>
      <c r="O44" s="64">
        <v>9.64</v>
      </c>
      <c r="P44" s="64">
        <v>10.79</v>
      </c>
      <c r="Q44" s="64"/>
      <c r="R44" s="129">
        <f t="shared" si="39"/>
        <v>8.6666666666666661</v>
      </c>
      <c r="S44" s="130">
        <f t="shared" si="40"/>
        <v>10.79</v>
      </c>
      <c r="T44" s="130">
        <f t="shared" si="2"/>
        <v>7.3583333333333316</v>
      </c>
    </row>
    <row r="45" spans="1:20" ht="14" x14ac:dyDescent="0.3">
      <c r="A45" s="544" t="s">
        <v>160</v>
      </c>
      <c r="B45" s="64">
        <v>8.9</v>
      </c>
      <c r="C45" s="64">
        <v>8.9</v>
      </c>
      <c r="D45" s="64">
        <v>9.65</v>
      </c>
      <c r="E45" s="64">
        <v>8.9499999999999993</v>
      </c>
      <c r="F45" s="64">
        <v>7.61</v>
      </c>
      <c r="G45" s="64">
        <v>8.8699999999999992</v>
      </c>
      <c r="H45" s="64">
        <v>5.78</v>
      </c>
      <c r="I45" s="64">
        <v>6.91</v>
      </c>
      <c r="J45" s="64">
        <v>5.66</v>
      </c>
      <c r="K45" s="64">
        <v>7.82</v>
      </c>
      <c r="L45" s="64">
        <v>6.92</v>
      </c>
      <c r="M45" s="64">
        <v>10.02</v>
      </c>
      <c r="N45" s="64">
        <v>9.48</v>
      </c>
      <c r="O45" s="64">
        <v>9.76</v>
      </c>
      <c r="P45" s="64">
        <v>10.76</v>
      </c>
      <c r="Q45" s="64"/>
      <c r="R45" s="129">
        <f t="shared" si="39"/>
        <v>8.3993333333333347</v>
      </c>
      <c r="S45" s="130">
        <f t="shared" si="40"/>
        <v>10.76</v>
      </c>
      <c r="T45" s="130">
        <f t="shared" si="2"/>
        <v>7.1849999999999996</v>
      </c>
    </row>
    <row r="46" spans="1:20" ht="14" x14ac:dyDescent="0.3">
      <c r="A46" s="544" t="s">
        <v>456</v>
      </c>
      <c r="B46" s="64">
        <v>7.59</v>
      </c>
      <c r="C46" s="64">
        <v>6.97</v>
      </c>
      <c r="D46" s="64">
        <v>9.25</v>
      </c>
      <c r="E46" s="64">
        <v>8.57</v>
      </c>
      <c r="F46" s="64">
        <v>7.21</v>
      </c>
      <c r="G46" s="64">
        <v>8.8800000000000008</v>
      </c>
      <c r="H46" s="64">
        <v>6.05</v>
      </c>
      <c r="I46" s="64">
        <v>7.11</v>
      </c>
      <c r="J46" s="64">
        <v>5.6</v>
      </c>
      <c r="K46" s="64">
        <v>7.82</v>
      </c>
      <c r="L46" s="64">
        <v>6.68</v>
      </c>
      <c r="M46" s="64">
        <v>10.039999999999999</v>
      </c>
      <c r="N46" s="64">
        <v>9.24</v>
      </c>
      <c r="O46" s="64">
        <v>9.41</v>
      </c>
      <c r="P46" s="64">
        <v>10.66</v>
      </c>
      <c r="Q46" s="64"/>
      <c r="R46" s="129">
        <f t="shared" si="39"/>
        <v>8.0719999999999974</v>
      </c>
      <c r="S46" s="130">
        <f t="shared" si="40"/>
        <v>10.66</v>
      </c>
      <c r="T46" s="130">
        <f t="shared" si="2"/>
        <v>7.2166666666666659</v>
      </c>
    </row>
    <row r="47" spans="1:20" ht="14" x14ac:dyDescent="0.3">
      <c r="A47" s="544" t="s">
        <v>161</v>
      </c>
      <c r="B47" s="64">
        <v>6.95</v>
      </c>
      <c r="C47" s="64">
        <v>5.94</v>
      </c>
      <c r="D47" s="64">
        <v>8.18</v>
      </c>
      <c r="E47" s="64">
        <v>8.3699999999999992</v>
      </c>
      <c r="F47" s="64">
        <v>7.21</v>
      </c>
      <c r="G47" s="64">
        <v>8.66</v>
      </c>
      <c r="H47" s="64">
        <v>5.91</v>
      </c>
      <c r="I47" s="64">
        <v>7.11</v>
      </c>
      <c r="J47" s="64">
        <v>5.68</v>
      </c>
      <c r="K47" s="64">
        <v>7.87</v>
      </c>
      <c r="L47" s="64">
        <v>6.6</v>
      </c>
      <c r="M47" s="64">
        <v>9.9600000000000009</v>
      </c>
      <c r="N47" s="64">
        <v>9.0399999999999991</v>
      </c>
      <c r="O47" s="64">
        <v>8.8699999999999992</v>
      </c>
      <c r="P47" s="64">
        <v>10.72</v>
      </c>
      <c r="Q47" s="64"/>
      <c r="R47" s="129">
        <f t="shared" si="39"/>
        <v>7.804666666666666</v>
      </c>
      <c r="S47" s="130">
        <f t="shared" si="40"/>
        <v>10.72</v>
      </c>
      <c r="T47" s="130">
        <f t="shared" si="2"/>
        <v>7.1883333333333335</v>
      </c>
    </row>
    <row r="48" spans="1:20" ht="14" x14ac:dyDescent="0.3">
      <c r="A48" s="544" t="s">
        <v>162</v>
      </c>
      <c r="B48" s="64">
        <v>4.6399999999999997</v>
      </c>
      <c r="C48" s="64">
        <v>4.4800000000000004</v>
      </c>
      <c r="D48" s="64">
        <v>8.18</v>
      </c>
      <c r="E48" s="64">
        <v>7.43</v>
      </c>
      <c r="F48" s="64">
        <v>6.9</v>
      </c>
      <c r="G48" s="64">
        <v>7.2</v>
      </c>
      <c r="H48" s="64">
        <v>5.48</v>
      </c>
      <c r="I48" s="64"/>
      <c r="J48" s="64"/>
      <c r="K48" s="64">
        <v>7.88</v>
      </c>
      <c r="L48" s="64"/>
      <c r="M48" s="64"/>
      <c r="N48" s="64">
        <v>7.05</v>
      </c>
      <c r="O48" s="64">
        <v>8.6</v>
      </c>
      <c r="P48" s="64"/>
      <c r="Q48" s="64"/>
      <c r="R48" s="129">
        <f t="shared" si="39"/>
        <v>6.7840000000000007</v>
      </c>
      <c r="S48" s="130">
        <f t="shared" si="40"/>
        <v>8.6</v>
      </c>
      <c r="T48" s="130">
        <f t="shared" si="2"/>
        <v>6.68</v>
      </c>
    </row>
    <row r="49" spans="1:20" x14ac:dyDescent="0.3">
      <c r="A49" s="566" t="s">
        <v>854</v>
      </c>
      <c r="B49" s="576">
        <f t="shared" ref="B49:O49" si="41">AVERAGE(B40:B43)</f>
        <v>10.88</v>
      </c>
      <c r="C49" s="576">
        <f t="shared" si="41"/>
        <v>11.989999999999998</v>
      </c>
      <c r="D49" s="576">
        <f t="shared" si="41"/>
        <v>10.104999999999999</v>
      </c>
      <c r="E49" s="576">
        <f t="shared" si="41"/>
        <v>9.0649999999999995</v>
      </c>
      <c r="F49" s="576">
        <f t="shared" si="41"/>
        <v>8.4224999999999994</v>
      </c>
      <c r="G49" s="576">
        <f t="shared" si="41"/>
        <v>9.0525000000000002</v>
      </c>
      <c r="H49" s="576">
        <f t="shared" si="41"/>
        <v>6.2949999999999999</v>
      </c>
      <c r="I49" s="576">
        <f t="shared" si="41"/>
        <v>7.3374999999999995</v>
      </c>
      <c r="J49" s="576">
        <f t="shared" si="41"/>
        <v>6.4550000000000001</v>
      </c>
      <c r="K49" s="576">
        <f t="shared" si="41"/>
        <v>7.8975</v>
      </c>
      <c r="L49" s="576">
        <f t="shared" si="41"/>
        <v>7.4324999999999992</v>
      </c>
      <c r="M49" s="576">
        <f t="shared" si="41"/>
        <v>9.98</v>
      </c>
      <c r="N49" s="576">
        <f t="shared" si="41"/>
        <v>10.6675</v>
      </c>
      <c r="O49" s="576">
        <f t="shared" si="41"/>
        <v>10.07</v>
      </c>
      <c r="P49" s="576">
        <f t="shared" ref="P49:T49" si="42">AVERAGE(P40:P43)</f>
        <v>10.977500000000001</v>
      </c>
      <c r="Q49" s="576"/>
      <c r="R49" s="576">
        <f t="shared" si="42"/>
        <v>9.1084999999999994</v>
      </c>
      <c r="S49" s="576">
        <f t="shared" si="42"/>
        <v>11.989999999999998</v>
      </c>
      <c r="T49" s="576">
        <f t="shared" si="42"/>
        <v>7.5662500000000001</v>
      </c>
    </row>
    <row r="50" spans="1:20" x14ac:dyDescent="0.3">
      <c r="A50" s="544" t="s">
        <v>823</v>
      </c>
      <c r="B50" s="576">
        <f t="shared" ref="B50:O50" si="43">AVERAGE(B40:B48)</f>
        <v>9.0444444444444443</v>
      </c>
      <c r="C50" s="576">
        <f t="shared" si="43"/>
        <v>9.3888888888888893</v>
      </c>
      <c r="D50" s="576">
        <f t="shared" si="43"/>
        <v>9.5111111111111111</v>
      </c>
      <c r="E50" s="576">
        <f t="shared" si="43"/>
        <v>8.7011111111111106</v>
      </c>
      <c r="F50" s="576">
        <f t="shared" si="43"/>
        <v>7.8366666666666669</v>
      </c>
      <c r="G50" s="576">
        <f t="shared" si="43"/>
        <v>8.74</v>
      </c>
      <c r="H50" s="576">
        <f t="shared" si="43"/>
        <v>6.068888888888889</v>
      </c>
      <c r="I50" s="576">
        <f t="shared" si="43"/>
        <v>7.17</v>
      </c>
      <c r="J50" s="576">
        <f t="shared" si="43"/>
        <v>6.0850000000000009</v>
      </c>
      <c r="K50" s="576">
        <f t="shared" si="43"/>
        <v>7.8788888888888886</v>
      </c>
      <c r="L50" s="576">
        <f t="shared" si="43"/>
        <v>7.1387499999999999</v>
      </c>
      <c r="M50" s="576">
        <f t="shared" si="43"/>
        <v>9.995000000000001</v>
      </c>
      <c r="N50" s="576">
        <f t="shared" si="43"/>
        <v>9.7166666666666668</v>
      </c>
      <c r="O50" s="576">
        <f t="shared" si="43"/>
        <v>9.6177777777777784</v>
      </c>
      <c r="P50" s="576">
        <f t="shared" ref="P50:T50" si="44">AVERAGE(P40:P48)</f>
        <v>10.855</v>
      </c>
      <c r="Q50" s="576"/>
      <c r="R50" s="576">
        <f t="shared" si="44"/>
        <v>8.4622962962962962</v>
      </c>
      <c r="S50" s="576">
        <f t="shared" si="44"/>
        <v>11.054444444444442</v>
      </c>
      <c r="T50" s="576">
        <f t="shared" si="44"/>
        <v>7.3214814814814826</v>
      </c>
    </row>
    <row r="51" spans="1:20" ht="15.5" x14ac:dyDescent="0.35">
      <c r="A51" s="798" t="s">
        <v>806</v>
      </c>
      <c r="B51" s="799"/>
      <c r="C51" s="799"/>
      <c r="D51" s="799"/>
      <c r="E51" s="799"/>
      <c r="F51" s="799"/>
      <c r="G51" s="799"/>
      <c r="H51" s="799"/>
      <c r="I51" s="799"/>
      <c r="J51" s="799"/>
      <c r="K51" s="799"/>
      <c r="L51" s="799"/>
      <c r="M51" s="799"/>
      <c r="N51" s="799"/>
      <c r="O51" s="799"/>
      <c r="P51" s="799"/>
      <c r="Q51" s="799"/>
      <c r="R51" s="799"/>
      <c r="S51" s="799"/>
      <c r="T51" s="800"/>
    </row>
    <row r="52" spans="1:20" ht="14" x14ac:dyDescent="0.3">
      <c r="A52" s="544" t="s">
        <v>453</v>
      </c>
      <c r="B52" s="64">
        <v>11.5</v>
      </c>
      <c r="C52" s="64">
        <v>12.7</v>
      </c>
      <c r="D52" s="64">
        <v>9.8800000000000008</v>
      </c>
      <c r="E52" s="64">
        <v>8.8000000000000007</v>
      </c>
      <c r="F52" s="64">
        <v>8.32</v>
      </c>
      <c r="G52" s="64">
        <v>8.8000000000000007</v>
      </c>
      <c r="H52" s="64">
        <v>6.65</v>
      </c>
      <c r="I52" s="64">
        <v>7.96</v>
      </c>
      <c r="J52" s="64">
        <v>6.86</v>
      </c>
      <c r="K52" s="64">
        <v>8.1</v>
      </c>
      <c r="L52" s="64">
        <v>8.36</v>
      </c>
      <c r="M52" s="64">
        <v>10.25</v>
      </c>
      <c r="N52" s="64">
        <v>11.09</v>
      </c>
      <c r="O52" s="64">
        <v>9.75</v>
      </c>
      <c r="P52" s="64">
        <v>10.81</v>
      </c>
      <c r="Q52" s="64">
        <v>12.24</v>
      </c>
      <c r="R52" s="129">
        <f>AVERAGE(B52:Q52)</f>
        <v>9.5043749999999996</v>
      </c>
      <c r="S52" s="130">
        <f>MAX(B52:Q52)</f>
        <v>12.7</v>
      </c>
      <c r="T52" s="130">
        <f t="shared" si="2"/>
        <v>8.0299999999999994</v>
      </c>
    </row>
    <row r="53" spans="1:20" ht="14" x14ac:dyDescent="0.3">
      <c r="A53" s="544" t="s">
        <v>158</v>
      </c>
      <c r="B53" s="64">
        <v>10.55</v>
      </c>
      <c r="C53" s="64">
        <v>12.42</v>
      </c>
      <c r="D53" s="64">
        <v>10.039999999999999</v>
      </c>
      <c r="E53" s="64">
        <v>8.7899999999999991</v>
      </c>
      <c r="F53" s="64">
        <v>8.36</v>
      </c>
      <c r="G53" s="64">
        <v>9</v>
      </c>
      <c r="H53" s="64">
        <v>6.4</v>
      </c>
      <c r="I53" s="64">
        <v>7.82</v>
      </c>
      <c r="J53" s="64">
        <v>6.74</v>
      </c>
      <c r="K53" s="64">
        <v>8.1199999999999992</v>
      </c>
      <c r="L53" s="64">
        <v>8.33</v>
      </c>
      <c r="M53" s="64">
        <v>10.220000000000001</v>
      </c>
      <c r="N53" s="64">
        <v>10.7</v>
      </c>
      <c r="O53" s="64">
        <v>9.84</v>
      </c>
      <c r="P53" s="64">
        <v>10.72</v>
      </c>
      <c r="Q53" s="64">
        <v>12.22</v>
      </c>
      <c r="R53" s="129">
        <f t="shared" ref="R53:R59" si="45">AVERAGE(B53:Q53)</f>
        <v>9.3918750000000006</v>
      </c>
      <c r="S53" s="130">
        <f t="shared" ref="S53:S59" si="46">MAX(B53:Q53)</f>
        <v>12.42</v>
      </c>
      <c r="T53" s="130">
        <f t="shared" si="2"/>
        <v>7.9383333333333326</v>
      </c>
    </row>
    <row r="54" spans="1:20" ht="14" x14ac:dyDescent="0.3">
      <c r="A54" s="544" t="s">
        <v>454</v>
      </c>
      <c r="B54" s="64">
        <v>10.6</v>
      </c>
      <c r="C54" s="64">
        <v>12</v>
      </c>
      <c r="D54" s="64">
        <v>9.83</v>
      </c>
      <c r="E54" s="64">
        <v>8.89</v>
      </c>
      <c r="F54" s="64">
        <v>8.89</v>
      </c>
      <c r="G54" s="64">
        <v>8.6</v>
      </c>
      <c r="H54" s="64">
        <v>6.26</v>
      </c>
      <c r="I54" s="64">
        <v>7.75</v>
      </c>
      <c r="J54" s="64">
        <v>6.72</v>
      </c>
      <c r="K54" s="64">
        <v>8.1199999999999992</v>
      </c>
      <c r="L54" s="64">
        <v>8.52</v>
      </c>
      <c r="M54" s="64">
        <v>10.29</v>
      </c>
      <c r="N54" s="64">
        <v>10.63</v>
      </c>
      <c r="O54" s="64">
        <v>9.6999999999999993</v>
      </c>
      <c r="P54" s="64">
        <v>10.66</v>
      </c>
      <c r="Q54" s="64">
        <v>12.3</v>
      </c>
      <c r="R54" s="129">
        <f t="shared" si="45"/>
        <v>9.3600000000000012</v>
      </c>
      <c r="S54" s="130">
        <f t="shared" si="46"/>
        <v>12.3</v>
      </c>
      <c r="T54" s="130">
        <f t="shared" si="2"/>
        <v>7.9433333333333342</v>
      </c>
    </row>
    <row r="55" spans="1:20" ht="14" x14ac:dyDescent="0.3">
      <c r="A55" s="544" t="s">
        <v>159</v>
      </c>
      <c r="B55" s="64">
        <v>10.36</v>
      </c>
      <c r="C55" s="64">
        <v>11.1</v>
      </c>
      <c r="D55" s="64">
        <v>9.82</v>
      </c>
      <c r="E55" s="64">
        <v>9.24</v>
      </c>
      <c r="F55" s="64">
        <v>7.76</v>
      </c>
      <c r="G55" s="64">
        <v>9.0500000000000007</v>
      </c>
      <c r="H55" s="64">
        <v>5.93</v>
      </c>
      <c r="I55" s="64">
        <v>7.79</v>
      </c>
      <c r="J55" s="64">
        <v>7</v>
      </c>
      <c r="K55" s="64">
        <v>8.2100000000000009</v>
      </c>
      <c r="L55" s="64">
        <v>8.06</v>
      </c>
      <c r="M55" s="64">
        <v>10.31</v>
      </c>
      <c r="N55" s="64">
        <v>10.119999999999999</v>
      </c>
      <c r="O55" s="64">
        <v>9.5299999999999994</v>
      </c>
      <c r="P55" s="64">
        <v>10.63</v>
      </c>
      <c r="Q55" s="64"/>
      <c r="R55" s="129">
        <f t="shared" si="45"/>
        <v>8.9939999999999998</v>
      </c>
      <c r="S55" s="130">
        <f t="shared" si="46"/>
        <v>11.1</v>
      </c>
      <c r="T55" s="130">
        <f t="shared" si="2"/>
        <v>7.8833333333333337</v>
      </c>
    </row>
    <row r="56" spans="1:20" ht="14" x14ac:dyDescent="0.3">
      <c r="A56" s="544" t="s">
        <v>455</v>
      </c>
      <c r="B56" s="64">
        <v>10.79</v>
      </c>
      <c r="C56" s="64">
        <v>10.66</v>
      </c>
      <c r="D56" s="64">
        <v>9.6999999999999993</v>
      </c>
      <c r="E56" s="64">
        <v>8.8800000000000008</v>
      </c>
      <c r="F56" s="64">
        <v>8.32</v>
      </c>
      <c r="G56" s="64"/>
      <c r="H56" s="64">
        <v>6.02</v>
      </c>
      <c r="I56" s="64">
        <v>7.65</v>
      </c>
      <c r="J56" s="64">
        <v>6.86</v>
      </c>
      <c r="K56" s="64">
        <v>8.18</v>
      </c>
      <c r="L56" s="64"/>
      <c r="M56" s="64">
        <v>10.36</v>
      </c>
      <c r="N56" s="64">
        <v>9.75</v>
      </c>
      <c r="O56" s="64">
        <v>9.41</v>
      </c>
      <c r="P56" s="64"/>
      <c r="Q56" s="64"/>
      <c r="R56" s="129">
        <f t="shared" si="45"/>
        <v>8.8816666666666659</v>
      </c>
      <c r="S56" s="130">
        <f t="shared" si="46"/>
        <v>10.79</v>
      </c>
      <c r="T56" s="130">
        <f t="shared" si="2"/>
        <v>7.8140000000000001</v>
      </c>
    </row>
    <row r="57" spans="1:20" ht="14" x14ac:dyDescent="0.3">
      <c r="A57" s="544" t="s">
        <v>160</v>
      </c>
      <c r="B57" s="64"/>
      <c r="C57" s="64">
        <v>10.49</v>
      </c>
      <c r="D57" s="64"/>
      <c r="E57" s="64">
        <v>8.2899999999999991</v>
      </c>
      <c r="F57" s="64">
        <v>8.4600000000000009</v>
      </c>
      <c r="G57" s="64"/>
      <c r="H57" s="64">
        <v>6.21</v>
      </c>
      <c r="I57" s="64">
        <v>7.35</v>
      </c>
      <c r="J57" s="64">
        <v>6.61</v>
      </c>
      <c r="K57" s="64">
        <v>8.16</v>
      </c>
      <c r="L57" s="64"/>
      <c r="M57" s="64">
        <v>10.02</v>
      </c>
      <c r="N57" s="64"/>
      <c r="O57" s="64">
        <v>9.42</v>
      </c>
      <c r="P57" s="64"/>
      <c r="Q57" s="64"/>
      <c r="R57" s="129">
        <f t="shared" si="45"/>
        <v>8.3344444444444452</v>
      </c>
      <c r="S57" s="130">
        <f t="shared" si="46"/>
        <v>10.49</v>
      </c>
      <c r="T57" s="130">
        <f t="shared" si="2"/>
        <v>7.669999999999999</v>
      </c>
    </row>
    <row r="58" spans="1:20" ht="14" x14ac:dyDescent="0.3">
      <c r="A58" s="544" t="s">
        <v>456</v>
      </c>
      <c r="B58" s="64"/>
      <c r="C58" s="64">
        <v>10.4</v>
      </c>
      <c r="D58" s="64"/>
      <c r="E58" s="64">
        <v>8.42</v>
      </c>
      <c r="F58" s="64"/>
      <c r="G58" s="64"/>
      <c r="H58" s="64">
        <v>6.09</v>
      </c>
      <c r="I58" s="64">
        <v>6.51</v>
      </c>
      <c r="J58" s="64"/>
      <c r="K58" s="64">
        <v>6.67</v>
      </c>
      <c r="L58" s="64"/>
      <c r="M58" s="64"/>
      <c r="N58" s="64"/>
      <c r="O58" s="64">
        <v>9.32</v>
      </c>
      <c r="P58" s="64"/>
      <c r="Q58" s="64"/>
      <c r="R58" s="129">
        <f t="shared" si="45"/>
        <v>7.9016666666666673</v>
      </c>
      <c r="S58" s="130">
        <f t="shared" si="46"/>
        <v>10.4</v>
      </c>
      <c r="T58" s="130">
        <f t="shared" si="2"/>
        <v>6.4233333333333329</v>
      </c>
    </row>
    <row r="59" spans="1:20" ht="14" x14ac:dyDescent="0.3">
      <c r="A59" s="544" t="s">
        <v>161</v>
      </c>
      <c r="B59" s="64"/>
      <c r="C59" s="64"/>
      <c r="D59" s="64"/>
      <c r="E59" s="56"/>
      <c r="F59" s="56"/>
      <c r="G59" s="56"/>
      <c r="H59" s="56">
        <v>5.81</v>
      </c>
      <c r="I59" s="56"/>
      <c r="J59" s="56"/>
      <c r="K59" s="56"/>
      <c r="L59" s="56"/>
      <c r="M59" s="56"/>
      <c r="N59" s="56"/>
      <c r="O59" s="56"/>
      <c r="P59" s="56"/>
      <c r="Q59" s="56"/>
      <c r="R59" s="129">
        <f t="shared" si="45"/>
        <v>5.81</v>
      </c>
      <c r="S59" s="130">
        <f t="shared" si="46"/>
        <v>5.81</v>
      </c>
      <c r="T59" s="130">
        <f t="shared" si="2"/>
        <v>5.81</v>
      </c>
    </row>
    <row r="60" spans="1:20" x14ac:dyDescent="0.3">
      <c r="A60" s="566" t="s">
        <v>854</v>
      </c>
      <c r="B60" s="576">
        <f t="shared" ref="B60:O60" si="47">AVERAGE(B52:B55)</f>
        <v>10.7525</v>
      </c>
      <c r="C60" s="576">
        <f t="shared" si="47"/>
        <v>12.055</v>
      </c>
      <c r="D60" s="576">
        <f t="shared" si="47"/>
        <v>9.8925000000000001</v>
      </c>
      <c r="E60" s="576">
        <f t="shared" si="47"/>
        <v>8.93</v>
      </c>
      <c r="F60" s="576">
        <f t="shared" si="47"/>
        <v>8.3324999999999996</v>
      </c>
      <c r="G60" s="576">
        <f t="shared" si="47"/>
        <v>8.8625000000000007</v>
      </c>
      <c r="H60" s="576">
        <f t="shared" si="47"/>
        <v>6.3100000000000005</v>
      </c>
      <c r="I60" s="576">
        <f t="shared" si="47"/>
        <v>7.83</v>
      </c>
      <c r="J60" s="576">
        <f t="shared" si="47"/>
        <v>6.83</v>
      </c>
      <c r="K60" s="576">
        <f t="shared" si="47"/>
        <v>8.1374999999999993</v>
      </c>
      <c r="L60" s="576">
        <f t="shared" si="47"/>
        <v>8.317499999999999</v>
      </c>
      <c r="M60" s="576">
        <f t="shared" si="47"/>
        <v>10.2675</v>
      </c>
      <c r="N60" s="576">
        <f t="shared" si="47"/>
        <v>10.635</v>
      </c>
      <c r="O60" s="576">
        <f t="shared" si="47"/>
        <v>9.7050000000000001</v>
      </c>
      <c r="P60" s="576">
        <f t="shared" ref="P60:T60" si="48">AVERAGE(P52:P55)</f>
        <v>10.705</v>
      </c>
      <c r="Q60" s="576">
        <f t="shared" si="48"/>
        <v>12.253333333333336</v>
      </c>
      <c r="R60" s="576">
        <f t="shared" si="48"/>
        <v>9.3125625000000003</v>
      </c>
      <c r="S60" s="576">
        <f t="shared" si="48"/>
        <v>12.13</v>
      </c>
      <c r="T60" s="576">
        <f t="shared" si="48"/>
        <v>7.9487499999999995</v>
      </c>
    </row>
    <row r="61" spans="1:20" x14ac:dyDescent="0.3">
      <c r="A61" s="544" t="s">
        <v>823</v>
      </c>
      <c r="B61" s="576">
        <f>AVERAGE(B52:B59)</f>
        <v>10.76</v>
      </c>
      <c r="C61" s="576">
        <f t="shared" ref="C61" si="49">AVERAGE(C52:C59)</f>
        <v>11.395714285714286</v>
      </c>
      <c r="D61" s="576">
        <f t="shared" ref="D61:E61" si="50">AVERAGE(D52:D59)</f>
        <v>9.8539999999999992</v>
      </c>
      <c r="E61" s="576">
        <f t="shared" si="50"/>
        <v>8.7585714285714289</v>
      </c>
      <c r="F61" s="576">
        <f t="shared" ref="F61:G61" si="51">AVERAGE(F52:F59)</f>
        <v>8.3516666666666666</v>
      </c>
      <c r="G61" s="576">
        <f t="shared" si="51"/>
        <v>8.8625000000000007</v>
      </c>
      <c r="H61" s="576">
        <f t="shared" ref="H61:I61" si="52">AVERAGE(H52:H59)</f>
        <v>6.1712500000000006</v>
      </c>
      <c r="I61" s="576">
        <f t="shared" si="52"/>
        <v>7.5471428571428572</v>
      </c>
      <c r="J61" s="576">
        <f t="shared" ref="J61:K61" si="53">AVERAGE(J52:J59)</f>
        <v>6.7983333333333329</v>
      </c>
      <c r="K61" s="576">
        <f t="shared" si="53"/>
        <v>7.9371428571428577</v>
      </c>
      <c r="L61" s="576">
        <f t="shared" ref="L61:M61" si="54">AVERAGE(L52:L59)</f>
        <v>8.317499999999999</v>
      </c>
      <c r="M61" s="576">
        <f t="shared" si="54"/>
        <v>10.241666666666667</v>
      </c>
      <c r="N61" s="576">
        <f t="shared" ref="N61:O61" si="55">AVERAGE(N52:N59)</f>
        <v>10.458</v>
      </c>
      <c r="O61" s="576">
        <f t="shared" si="55"/>
        <v>9.5671428571428567</v>
      </c>
      <c r="P61" s="576">
        <f t="shared" ref="P61:T61" si="56">AVERAGE(P52:P59)</f>
        <v>10.705</v>
      </c>
      <c r="Q61" s="576">
        <f t="shared" si="56"/>
        <v>12.253333333333336</v>
      </c>
      <c r="R61" s="576">
        <f t="shared" si="56"/>
        <v>8.5222534722222232</v>
      </c>
      <c r="S61" s="576">
        <f t="shared" si="56"/>
        <v>10.751250000000001</v>
      </c>
      <c r="T61" s="576">
        <f t="shared" si="56"/>
        <v>7.4390416666666663</v>
      </c>
    </row>
    <row r="62" spans="1:20" ht="15.5" x14ac:dyDescent="0.35">
      <c r="A62" s="798" t="s">
        <v>807</v>
      </c>
      <c r="B62" s="799"/>
      <c r="C62" s="799"/>
      <c r="D62" s="799"/>
      <c r="E62" s="799"/>
      <c r="F62" s="799"/>
      <c r="G62" s="799"/>
      <c r="H62" s="799"/>
      <c r="I62" s="799"/>
      <c r="J62" s="799"/>
      <c r="K62" s="799"/>
      <c r="L62" s="799"/>
      <c r="M62" s="799"/>
      <c r="N62" s="799"/>
      <c r="O62" s="799"/>
      <c r="P62" s="799"/>
      <c r="Q62" s="799"/>
      <c r="R62" s="799"/>
      <c r="S62" s="799"/>
      <c r="T62" s="800"/>
    </row>
    <row r="63" spans="1:20" ht="14" x14ac:dyDescent="0.3">
      <c r="A63" s="544" t="s">
        <v>453</v>
      </c>
      <c r="B63" s="64">
        <v>11.61</v>
      </c>
      <c r="C63" s="64">
        <v>12.52</v>
      </c>
      <c r="D63" s="64">
        <v>10.31</v>
      </c>
      <c r="E63" s="64">
        <v>9.3000000000000007</v>
      </c>
      <c r="F63" s="64">
        <v>7.89</v>
      </c>
      <c r="G63" s="64">
        <v>9.31</v>
      </c>
      <c r="H63" s="64">
        <v>6.22</v>
      </c>
      <c r="I63" s="64">
        <v>7.86</v>
      </c>
      <c r="J63" s="64">
        <v>6.87</v>
      </c>
      <c r="K63" s="64">
        <v>8.1300000000000008</v>
      </c>
      <c r="L63" s="64">
        <v>7.96</v>
      </c>
      <c r="M63" s="64">
        <v>10.220000000000001</v>
      </c>
      <c r="N63" s="64">
        <v>9.6999999999999993</v>
      </c>
      <c r="O63" s="64">
        <v>10.02</v>
      </c>
      <c r="P63" s="64">
        <v>10.45</v>
      </c>
      <c r="Q63" s="64">
        <v>12.7</v>
      </c>
      <c r="R63" s="129">
        <f>AVERAGE(B63:Q63)</f>
        <v>9.4418749999999978</v>
      </c>
      <c r="S63" s="130">
        <f>MAX(B63:Q63)</f>
        <v>12.7</v>
      </c>
      <c r="T63" s="130">
        <f t="shared" si="2"/>
        <v>7.876666666666666</v>
      </c>
    </row>
    <row r="64" spans="1:20" ht="14" x14ac:dyDescent="0.3">
      <c r="A64" s="544" t="s">
        <v>158</v>
      </c>
      <c r="B64" s="64">
        <v>10.81</v>
      </c>
      <c r="C64" s="64">
        <v>12</v>
      </c>
      <c r="D64" s="64">
        <v>10.1</v>
      </c>
      <c r="E64" s="64">
        <v>9.2799999999999994</v>
      </c>
      <c r="F64" s="64">
        <v>7.98</v>
      </c>
      <c r="G64" s="64">
        <v>9.31</v>
      </c>
      <c r="H64" s="64">
        <v>6.22</v>
      </c>
      <c r="I64" s="64">
        <v>7.96</v>
      </c>
      <c r="J64" s="64">
        <v>6.69</v>
      </c>
      <c r="K64" s="64">
        <v>8.16</v>
      </c>
      <c r="L64" s="64">
        <v>8.06</v>
      </c>
      <c r="M64" s="64">
        <v>10.28</v>
      </c>
      <c r="N64" s="64">
        <v>9.67</v>
      </c>
      <c r="O64" s="64">
        <v>10.01</v>
      </c>
      <c r="P64" s="64">
        <v>10.46</v>
      </c>
      <c r="Q64" s="64">
        <v>12.27</v>
      </c>
      <c r="R64" s="129">
        <f t="shared" ref="R64:R72" si="57">AVERAGE(B64:Q64)</f>
        <v>9.3287500000000012</v>
      </c>
      <c r="S64" s="130">
        <f t="shared" ref="S64:S72" si="58">MAX(B64:Q64)</f>
        <v>12.27</v>
      </c>
      <c r="T64" s="130">
        <f t="shared" si="2"/>
        <v>7.8950000000000005</v>
      </c>
    </row>
    <row r="65" spans="1:20" ht="14" x14ac:dyDescent="0.3">
      <c r="A65" s="544" t="s">
        <v>454</v>
      </c>
      <c r="B65" s="64">
        <v>10.23</v>
      </c>
      <c r="C65" s="64">
        <v>11.85</v>
      </c>
      <c r="D65" s="64">
        <v>10.130000000000001</v>
      </c>
      <c r="E65" s="64">
        <v>8.6199999999999992</v>
      </c>
      <c r="F65" s="64">
        <v>7.96</v>
      </c>
      <c r="G65" s="64">
        <v>9.41</v>
      </c>
      <c r="H65" s="64">
        <v>5.88</v>
      </c>
      <c r="I65" s="64">
        <v>7.84</v>
      </c>
      <c r="J65" s="64">
        <v>6.71</v>
      </c>
      <c r="K65" s="64">
        <v>8.18</v>
      </c>
      <c r="L65" s="64">
        <v>8.06</v>
      </c>
      <c r="M65" s="64">
        <v>10.31</v>
      </c>
      <c r="N65" s="64">
        <v>9.64</v>
      </c>
      <c r="O65" s="64">
        <v>9.4600000000000009</v>
      </c>
      <c r="P65" s="64">
        <v>10.54</v>
      </c>
      <c r="Q65" s="64">
        <v>12.46</v>
      </c>
      <c r="R65" s="129">
        <f t="shared" si="57"/>
        <v>9.2050000000000001</v>
      </c>
      <c r="S65" s="130">
        <f t="shared" si="58"/>
        <v>12.46</v>
      </c>
      <c r="T65" s="130">
        <f t="shared" si="2"/>
        <v>7.830000000000001</v>
      </c>
    </row>
    <row r="66" spans="1:20" ht="14" x14ac:dyDescent="0.3">
      <c r="A66" s="544" t="s">
        <v>159</v>
      </c>
      <c r="B66" s="64">
        <v>10.01</v>
      </c>
      <c r="C66" s="64">
        <v>11.27</v>
      </c>
      <c r="D66" s="64">
        <v>10.31</v>
      </c>
      <c r="E66" s="64">
        <v>9.1</v>
      </c>
      <c r="F66" s="64">
        <v>7.98</v>
      </c>
      <c r="G66" s="64">
        <v>9.36</v>
      </c>
      <c r="H66" s="64">
        <v>5.94</v>
      </c>
      <c r="I66" s="64">
        <v>7.62</v>
      </c>
      <c r="J66" s="64">
        <v>6.5</v>
      </c>
      <c r="K66" s="64">
        <v>8.2200000000000006</v>
      </c>
      <c r="L66" s="64">
        <v>7.9</v>
      </c>
      <c r="M66" s="64">
        <v>10.199999999999999</v>
      </c>
      <c r="N66" s="64">
        <v>10.029999999999999</v>
      </c>
      <c r="O66" s="64">
        <v>9.83</v>
      </c>
      <c r="P66" s="64">
        <v>10.44</v>
      </c>
      <c r="Q66" s="64">
        <v>12.28</v>
      </c>
      <c r="R66" s="129">
        <f t="shared" si="57"/>
        <v>9.1868750000000006</v>
      </c>
      <c r="S66" s="130">
        <f t="shared" si="58"/>
        <v>12.28</v>
      </c>
      <c r="T66" s="130">
        <f t="shared" si="2"/>
        <v>7.7299999999999995</v>
      </c>
    </row>
    <row r="67" spans="1:20" ht="14" x14ac:dyDescent="0.3">
      <c r="A67" s="544" t="s">
        <v>455</v>
      </c>
      <c r="B67" s="64">
        <v>9.82</v>
      </c>
      <c r="C67" s="64">
        <v>10.47</v>
      </c>
      <c r="D67" s="64">
        <v>10.17</v>
      </c>
      <c r="E67" s="64">
        <v>9.15</v>
      </c>
      <c r="F67" s="64">
        <v>7.6</v>
      </c>
      <c r="G67" s="64">
        <v>9.2899999999999991</v>
      </c>
      <c r="H67" s="64">
        <v>5.72</v>
      </c>
      <c r="I67" s="64">
        <v>7.6</v>
      </c>
      <c r="J67" s="64">
        <v>6.2</v>
      </c>
      <c r="K67" s="64">
        <v>8.16</v>
      </c>
      <c r="L67" s="64">
        <v>7.72</v>
      </c>
      <c r="M67" s="64">
        <v>10.14</v>
      </c>
      <c r="N67" s="64">
        <v>9.5500000000000007</v>
      </c>
      <c r="O67" s="64">
        <v>9.6300000000000008</v>
      </c>
      <c r="P67" s="64">
        <v>10.45</v>
      </c>
      <c r="Q67" s="64">
        <v>12.06</v>
      </c>
      <c r="R67" s="129">
        <f t="shared" si="57"/>
        <v>8.9831249999999994</v>
      </c>
      <c r="S67" s="130">
        <f t="shared" si="58"/>
        <v>12.06</v>
      </c>
      <c r="T67" s="130">
        <f t="shared" ref="T67:T72" si="59">AVERAGE(H67:M67)</f>
        <v>7.59</v>
      </c>
    </row>
    <row r="68" spans="1:20" ht="14" x14ac:dyDescent="0.3">
      <c r="A68" s="544" t="s">
        <v>160</v>
      </c>
      <c r="B68" s="64">
        <v>8.24</v>
      </c>
      <c r="C68" s="64">
        <v>9.3000000000000007</v>
      </c>
      <c r="D68" s="64">
        <v>10.14</v>
      </c>
      <c r="E68" s="64">
        <v>8.15</v>
      </c>
      <c r="F68" s="64">
        <v>7.71</v>
      </c>
      <c r="G68" s="64">
        <v>9.26</v>
      </c>
      <c r="H68" s="64">
        <v>5.68</v>
      </c>
      <c r="I68" s="64">
        <v>7.55</v>
      </c>
      <c r="J68" s="64">
        <v>6.2</v>
      </c>
      <c r="K68" s="64">
        <v>8.2200000000000006</v>
      </c>
      <c r="L68" s="64">
        <v>7.62</v>
      </c>
      <c r="M68" s="64">
        <v>10.11</v>
      </c>
      <c r="N68" s="64">
        <v>9.4499999999999993</v>
      </c>
      <c r="O68" s="64">
        <v>9.48</v>
      </c>
      <c r="P68" s="64">
        <v>10.35</v>
      </c>
      <c r="Q68" s="64">
        <v>12.1</v>
      </c>
      <c r="R68" s="129">
        <f t="shared" si="57"/>
        <v>8.7225000000000001</v>
      </c>
      <c r="S68" s="130">
        <f t="shared" si="58"/>
        <v>12.1</v>
      </c>
      <c r="T68" s="130">
        <f t="shared" si="59"/>
        <v>7.5633333333333326</v>
      </c>
    </row>
    <row r="69" spans="1:20" ht="14" x14ac:dyDescent="0.3">
      <c r="A69" s="544" t="s">
        <v>456</v>
      </c>
      <c r="B69" s="64">
        <v>7.65</v>
      </c>
      <c r="C69" s="64">
        <v>9.09</v>
      </c>
      <c r="D69" s="64">
        <v>10.15</v>
      </c>
      <c r="E69" s="64">
        <v>8.3000000000000007</v>
      </c>
      <c r="F69" s="64">
        <v>7.81</v>
      </c>
      <c r="G69" s="64">
        <v>9.16</v>
      </c>
      <c r="H69" s="64">
        <v>5.92</v>
      </c>
      <c r="I69" s="64">
        <v>7.52</v>
      </c>
      <c r="J69" s="64">
        <v>6.11</v>
      </c>
      <c r="K69" s="64">
        <v>7.86</v>
      </c>
      <c r="L69" s="64">
        <v>7.4</v>
      </c>
      <c r="M69" s="64">
        <v>10.220000000000001</v>
      </c>
      <c r="N69" s="64">
        <v>9.44</v>
      </c>
      <c r="O69" s="64">
        <v>9.36</v>
      </c>
      <c r="P69" s="64">
        <v>10.33</v>
      </c>
      <c r="Q69" s="64">
        <v>11.88</v>
      </c>
      <c r="R69" s="129">
        <f t="shared" si="57"/>
        <v>8.6374999999999993</v>
      </c>
      <c r="S69" s="130">
        <f t="shared" si="58"/>
        <v>11.88</v>
      </c>
      <c r="T69" s="130">
        <f t="shared" si="59"/>
        <v>7.5049999999999999</v>
      </c>
    </row>
    <row r="70" spans="1:20" ht="14" x14ac:dyDescent="0.3">
      <c r="A70" s="544" t="s">
        <v>161</v>
      </c>
      <c r="B70" s="64">
        <v>7.52</v>
      </c>
      <c r="C70" s="64">
        <v>8.35</v>
      </c>
      <c r="D70" s="64">
        <v>10.130000000000001</v>
      </c>
      <c r="E70" s="64">
        <v>7.59</v>
      </c>
      <c r="F70" s="64">
        <v>7.66</v>
      </c>
      <c r="G70" s="64">
        <v>9.11</v>
      </c>
      <c r="H70" s="64">
        <v>5.71</v>
      </c>
      <c r="I70" s="64">
        <v>7.45</v>
      </c>
      <c r="J70" s="64">
        <v>6.18</v>
      </c>
      <c r="K70" s="64">
        <v>7.81</v>
      </c>
      <c r="L70" s="64">
        <v>7.36</v>
      </c>
      <c r="M70" s="64">
        <v>9.86</v>
      </c>
      <c r="N70" s="64">
        <v>9.42</v>
      </c>
      <c r="O70" s="64">
        <v>8.8800000000000008</v>
      </c>
      <c r="P70" s="64">
        <v>10.36</v>
      </c>
      <c r="Q70" s="64">
        <v>11.57</v>
      </c>
      <c r="R70" s="129">
        <f t="shared" si="57"/>
        <v>8.4350000000000005</v>
      </c>
      <c r="S70" s="130">
        <f t="shared" si="58"/>
        <v>11.57</v>
      </c>
      <c r="T70" s="130">
        <f t="shared" si="59"/>
        <v>7.3949999999999996</v>
      </c>
    </row>
    <row r="71" spans="1:20" ht="14" x14ac:dyDescent="0.3">
      <c r="A71" s="544" t="s">
        <v>162</v>
      </c>
      <c r="B71" s="64">
        <v>7.75</v>
      </c>
      <c r="C71" s="64">
        <v>8.1999999999999993</v>
      </c>
      <c r="D71" s="64">
        <v>9.82</v>
      </c>
      <c r="E71" s="64">
        <v>6.5</v>
      </c>
      <c r="F71" s="64">
        <v>6.72</v>
      </c>
      <c r="G71" s="64">
        <v>9.06</v>
      </c>
      <c r="H71" s="64">
        <v>6.08</v>
      </c>
      <c r="I71" s="64">
        <v>7.1</v>
      </c>
      <c r="J71" s="64">
        <v>5.91</v>
      </c>
      <c r="K71" s="64">
        <v>7.82</v>
      </c>
      <c r="L71" s="64">
        <v>7.1</v>
      </c>
      <c r="M71" s="64">
        <v>9.91</v>
      </c>
      <c r="N71" s="64">
        <v>9.1199999999999992</v>
      </c>
      <c r="O71" s="64">
        <v>8.86</v>
      </c>
      <c r="P71" s="64">
        <v>10.220000000000001</v>
      </c>
      <c r="Q71" s="64">
        <v>11.55</v>
      </c>
      <c r="R71" s="129">
        <f t="shared" si="57"/>
        <v>8.2324999999999999</v>
      </c>
      <c r="S71" s="130">
        <f t="shared" si="58"/>
        <v>11.55</v>
      </c>
      <c r="T71" s="130">
        <f t="shared" si="59"/>
        <v>7.32</v>
      </c>
    </row>
    <row r="72" spans="1:20" ht="14" x14ac:dyDescent="0.3">
      <c r="A72" s="544" t="s">
        <v>163</v>
      </c>
      <c r="B72" s="64">
        <v>4.7699999999999996</v>
      </c>
      <c r="C72" s="64">
        <v>4</v>
      </c>
      <c r="D72" s="64">
        <v>7.72</v>
      </c>
      <c r="E72" s="56">
        <v>6</v>
      </c>
      <c r="F72" s="64">
        <v>4.51</v>
      </c>
      <c r="G72" s="64">
        <v>8.8699999999999992</v>
      </c>
      <c r="H72" s="64">
        <v>6.02</v>
      </c>
      <c r="I72" s="64">
        <v>6.24</v>
      </c>
      <c r="J72" s="64"/>
      <c r="K72" s="64"/>
      <c r="L72" s="64"/>
      <c r="M72" s="64"/>
      <c r="N72" s="64">
        <v>8.0399999999999991</v>
      </c>
      <c r="O72" s="64">
        <v>8.43</v>
      </c>
      <c r="P72" s="64"/>
      <c r="Q72" s="64">
        <v>6.3</v>
      </c>
      <c r="R72" s="129">
        <f t="shared" si="57"/>
        <v>6.4454545454545444</v>
      </c>
      <c r="S72" s="130">
        <f t="shared" si="58"/>
        <v>8.8699999999999992</v>
      </c>
      <c r="T72" s="130">
        <f t="shared" si="59"/>
        <v>6.13</v>
      </c>
    </row>
    <row r="73" spans="1:20" x14ac:dyDescent="0.3">
      <c r="A73" s="566" t="s">
        <v>854</v>
      </c>
      <c r="B73" s="576">
        <f>AVERAGE(B63:B66)</f>
        <v>10.665000000000001</v>
      </c>
      <c r="C73" s="576">
        <f t="shared" ref="C73:D73" si="60">AVERAGE(C63:C66)</f>
        <v>11.91</v>
      </c>
      <c r="D73" s="576">
        <f t="shared" si="60"/>
        <v>10.2125</v>
      </c>
      <c r="E73" s="576">
        <f t="shared" ref="E73:F73" si="61">AVERAGE(E63:E66)</f>
        <v>9.0749999999999993</v>
      </c>
      <c r="F73" s="576">
        <f t="shared" si="61"/>
        <v>7.9525000000000006</v>
      </c>
      <c r="G73" s="576">
        <f t="shared" ref="G73:H73" si="62">AVERAGE(G63:G66)</f>
        <v>9.3475000000000001</v>
      </c>
      <c r="H73" s="576">
        <f t="shared" si="62"/>
        <v>6.0650000000000004</v>
      </c>
      <c r="I73" s="576">
        <f t="shared" ref="I73:J73" si="63">AVERAGE(I63:I66)</f>
        <v>7.82</v>
      </c>
      <c r="J73" s="576">
        <f t="shared" si="63"/>
        <v>6.6924999999999999</v>
      </c>
      <c r="K73" s="576">
        <f t="shared" ref="K73:L73" si="64">AVERAGE(K63:K66)</f>
        <v>8.1724999999999994</v>
      </c>
      <c r="L73" s="576">
        <f t="shared" si="64"/>
        <v>7.9949999999999992</v>
      </c>
      <c r="M73" s="576">
        <f t="shared" ref="M73:N73" si="65">AVERAGE(M63:M66)</f>
        <v>10.252500000000001</v>
      </c>
      <c r="N73" s="576">
        <f t="shared" si="65"/>
        <v>9.76</v>
      </c>
      <c r="O73" s="576">
        <f t="shared" ref="O73:P73" si="66">AVERAGE(O63:O66)</f>
        <v>9.83</v>
      </c>
      <c r="P73" s="576">
        <f t="shared" si="66"/>
        <v>10.4725</v>
      </c>
      <c r="Q73" s="576">
        <f t="shared" ref="Q73:T73" si="67">AVERAGE(Q63:Q66)</f>
        <v>12.4275</v>
      </c>
      <c r="R73" s="576">
        <f t="shared" si="67"/>
        <v>9.2906250000000004</v>
      </c>
      <c r="S73" s="576">
        <f t="shared" si="67"/>
        <v>12.4275</v>
      </c>
      <c r="T73" s="576">
        <f t="shared" si="67"/>
        <v>7.8329166666666667</v>
      </c>
    </row>
    <row r="74" spans="1:20" x14ac:dyDescent="0.3">
      <c r="A74" s="544" t="s">
        <v>823</v>
      </c>
      <c r="B74" s="576">
        <f t="shared" ref="B74:O74" si="68">AVERAGE(B63:B72)</f>
        <v>8.8409999999999993</v>
      </c>
      <c r="C74" s="576">
        <f t="shared" si="68"/>
        <v>9.7050000000000001</v>
      </c>
      <c r="D74" s="576">
        <f t="shared" si="68"/>
        <v>9.8979999999999997</v>
      </c>
      <c r="E74" s="576">
        <f t="shared" si="68"/>
        <v>8.1989999999999998</v>
      </c>
      <c r="F74" s="576">
        <f t="shared" si="68"/>
        <v>7.3820000000000006</v>
      </c>
      <c r="G74" s="576">
        <f t="shared" si="68"/>
        <v>9.2140000000000004</v>
      </c>
      <c r="H74" s="576">
        <f t="shared" si="68"/>
        <v>5.9390000000000001</v>
      </c>
      <c r="I74" s="576">
        <f t="shared" si="68"/>
        <v>7.4739999999999993</v>
      </c>
      <c r="J74" s="576">
        <f t="shared" si="68"/>
        <v>6.3744444444444452</v>
      </c>
      <c r="K74" s="576">
        <f t="shared" si="68"/>
        <v>8.0622222222222231</v>
      </c>
      <c r="L74" s="576">
        <f t="shared" si="68"/>
        <v>7.6866666666666656</v>
      </c>
      <c r="M74" s="576">
        <f t="shared" si="68"/>
        <v>10.138888888888889</v>
      </c>
      <c r="N74" s="576">
        <f t="shared" si="68"/>
        <v>9.4060000000000006</v>
      </c>
      <c r="O74" s="576">
        <f t="shared" si="68"/>
        <v>9.3960000000000008</v>
      </c>
      <c r="P74" s="576">
        <f t="shared" ref="P74:T74" si="69">AVERAGE(P63:P72)</f>
        <v>10.4</v>
      </c>
      <c r="Q74" s="576">
        <f t="shared" si="69"/>
        <v>11.516999999999999</v>
      </c>
      <c r="R74" s="576">
        <f t="shared" si="69"/>
        <v>8.6618579545454555</v>
      </c>
      <c r="S74" s="576">
        <f t="shared" si="69"/>
        <v>11.773999999999999</v>
      </c>
      <c r="T74" s="576">
        <f t="shared" si="69"/>
        <v>7.4835000000000012</v>
      </c>
    </row>
  </sheetData>
  <mergeCells count="6">
    <mergeCell ref="A62:T62"/>
    <mergeCell ref="A24:T24"/>
    <mergeCell ref="A39:T39"/>
    <mergeCell ref="A51:T51"/>
    <mergeCell ref="A1:Q1"/>
    <mergeCell ref="A6:T6"/>
  </mergeCells>
  <phoneticPr fontId="0" type="noConversion"/>
  <pageMargins left="0.75" right="0.75" top="1" bottom="1" header="0.5" footer="0.5"/>
  <pageSetup scale="56"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J10"/>
  <sheetViews>
    <sheetView topLeftCell="F1" workbookViewId="0">
      <selection activeCell="R9" sqref="R9"/>
    </sheetView>
  </sheetViews>
  <sheetFormatPr defaultRowHeight="12.5" x14ac:dyDescent="0.25"/>
  <cols>
    <col min="1" max="1" width="13.36328125" bestFit="1" customWidth="1"/>
    <col min="2" max="4" width="4.6328125" bestFit="1" customWidth="1"/>
    <col min="5" max="5" width="5.54296875" bestFit="1" customWidth="1"/>
    <col min="6" max="7" width="6.08984375" bestFit="1" customWidth="1"/>
    <col min="8" max="9" width="5.36328125" customWidth="1"/>
    <col min="10" max="12" width="5.453125" customWidth="1"/>
    <col min="13" max="13" width="5.36328125" customWidth="1"/>
    <col min="14" max="15" width="5.6328125" customWidth="1"/>
    <col min="16" max="16" width="5.54296875" customWidth="1"/>
    <col min="17" max="17" width="6" customWidth="1"/>
    <col min="19" max="19" width="30.6328125" bestFit="1" customWidth="1"/>
    <col min="20" max="27" width="4.54296875" bestFit="1" customWidth="1"/>
    <col min="28" max="28" width="4.08984375" hidden="1" customWidth="1"/>
    <col min="29" max="29" width="4.54296875" bestFit="1" customWidth="1"/>
    <col min="30" max="30" width="4.54296875" customWidth="1"/>
    <col min="31" max="33" width="4.54296875" bestFit="1" customWidth="1"/>
    <col min="34" max="34" width="4.54296875" customWidth="1"/>
    <col min="35" max="36" width="4.54296875" bestFit="1" customWidth="1"/>
  </cols>
  <sheetData>
    <row r="1" spans="1:36" x14ac:dyDescent="0.25">
      <c r="A1" s="806" t="s">
        <v>231</v>
      </c>
      <c r="B1" s="804" t="s">
        <v>816</v>
      </c>
      <c r="C1" s="805"/>
      <c r="D1" s="805"/>
      <c r="E1" s="805"/>
      <c r="F1" s="805"/>
      <c r="G1" s="805"/>
      <c r="H1" s="805"/>
      <c r="I1" s="805"/>
      <c r="J1" s="805"/>
      <c r="K1" s="805"/>
      <c r="L1" s="805"/>
      <c r="M1" s="805"/>
      <c r="N1" s="805"/>
      <c r="O1" s="805"/>
      <c r="P1" s="805"/>
      <c r="Q1" s="805"/>
      <c r="S1" s="807" t="s">
        <v>233</v>
      </c>
      <c r="T1" s="808" t="s">
        <v>817</v>
      </c>
      <c r="U1" s="809"/>
      <c r="V1" s="809"/>
      <c r="W1" s="809"/>
      <c r="X1" s="809"/>
      <c r="Y1" s="809"/>
      <c r="Z1" s="809"/>
      <c r="AA1" s="809"/>
      <c r="AB1" s="809"/>
      <c r="AC1" s="809"/>
      <c r="AD1" s="809"/>
      <c r="AE1" s="809"/>
      <c r="AF1" s="809"/>
      <c r="AG1" s="809"/>
      <c r="AH1" s="809"/>
      <c r="AI1" s="809"/>
      <c r="AJ1" s="810"/>
    </row>
    <row r="2" spans="1:36" x14ac:dyDescent="0.25">
      <c r="A2" s="806"/>
      <c r="B2" s="158" t="s">
        <v>69</v>
      </c>
      <c r="C2" s="158" t="s">
        <v>70</v>
      </c>
      <c r="D2" s="158" t="s">
        <v>71</v>
      </c>
      <c r="E2" s="158" t="s">
        <v>72</v>
      </c>
      <c r="F2" s="158" t="s">
        <v>73</v>
      </c>
      <c r="G2" s="158" t="s">
        <v>74</v>
      </c>
      <c r="H2" s="158" t="s">
        <v>75</v>
      </c>
      <c r="I2" s="164" t="s">
        <v>75</v>
      </c>
      <c r="J2" s="158" t="s">
        <v>76</v>
      </c>
      <c r="K2" s="164" t="s">
        <v>76</v>
      </c>
      <c r="L2" s="164" t="s">
        <v>77</v>
      </c>
      <c r="M2" s="158" t="s">
        <v>77</v>
      </c>
      <c r="N2" s="158" t="s">
        <v>78</v>
      </c>
      <c r="O2" s="164" t="s">
        <v>78</v>
      </c>
      <c r="P2" s="158" t="s">
        <v>79</v>
      </c>
      <c r="Q2" s="158" t="s">
        <v>80</v>
      </c>
      <c r="S2" s="807"/>
      <c r="T2" s="88" t="s">
        <v>69</v>
      </c>
      <c r="U2" s="88" t="s">
        <v>70</v>
      </c>
      <c r="V2" s="88" t="s">
        <v>71</v>
      </c>
      <c r="W2" s="88" t="s">
        <v>72</v>
      </c>
      <c r="X2" s="88" t="s">
        <v>73</v>
      </c>
      <c r="Y2" s="88" t="s">
        <v>74</v>
      </c>
      <c r="Z2" s="88" t="s">
        <v>75</v>
      </c>
      <c r="AA2" s="88" t="s">
        <v>75</v>
      </c>
      <c r="AB2" s="88" t="s">
        <v>76</v>
      </c>
      <c r="AC2" s="88" t="s">
        <v>76</v>
      </c>
      <c r="AD2" s="88" t="s">
        <v>76</v>
      </c>
      <c r="AE2" s="88" t="s">
        <v>77</v>
      </c>
      <c r="AF2" s="88" t="s">
        <v>77</v>
      </c>
      <c r="AG2" s="88" t="s">
        <v>78</v>
      </c>
      <c r="AH2" s="88" t="s">
        <v>78</v>
      </c>
      <c r="AI2" s="88" t="s">
        <v>79</v>
      </c>
      <c r="AJ2" s="88" t="s">
        <v>80</v>
      </c>
    </row>
    <row r="3" spans="1:36" x14ac:dyDescent="0.25">
      <c r="A3" s="381" t="s">
        <v>239</v>
      </c>
      <c r="B3" s="811" t="s">
        <v>237</v>
      </c>
      <c r="C3" s="812"/>
      <c r="D3" s="813"/>
      <c r="E3" s="814" t="s">
        <v>238</v>
      </c>
      <c r="F3" s="815"/>
      <c r="G3" s="815"/>
      <c r="H3" s="815"/>
      <c r="I3" s="815"/>
      <c r="J3" s="815"/>
      <c r="K3" s="815"/>
      <c r="L3" s="815"/>
      <c r="M3" s="815"/>
      <c r="N3" s="815"/>
      <c r="O3" s="815"/>
      <c r="P3" s="815"/>
      <c r="Q3" s="816"/>
      <c r="S3" s="98" t="s">
        <v>249</v>
      </c>
      <c r="T3" s="54">
        <v>10.6</v>
      </c>
      <c r="U3" s="54">
        <v>10.6</v>
      </c>
      <c r="V3" s="54">
        <v>10.6</v>
      </c>
      <c r="W3" s="54">
        <v>10.7</v>
      </c>
      <c r="X3" s="54">
        <v>10.63</v>
      </c>
      <c r="Y3" s="54">
        <v>10.3</v>
      </c>
      <c r="Z3" s="54">
        <v>10.8</v>
      </c>
      <c r="AA3" s="54">
        <v>10.199999999999999</v>
      </c>
      <c r="AB3" s="54"/>
      <c r="AC3" s="54">
        <v>10.3</v>
      </c>
      <c r="AD3" s="54">
        <v>9.8000000000000007</v>
      </c>
      <c r="AE3" s="54">
        <v>9.5</v>
      </c>
      <c r="AF3" s="54">
        <v>10</v>
      </c>
      <c r="AG3" s="54">
        <v>10.65</v>
      </c>
      <c r="AH3" s="54">
        <v>10.3</v>
      </c>
      <c r="AI3" s="54">
        <v>9.91</v>
      </c>
      <c r="AJ3" s="54">
        <v>9.9</v>
      </c>
    </row>
    <row r="4" spans="1:36" x14ac:dyDescent="0.25">
      <c r="A4" s="164" t="s">
        <v>241</v>
      </c>
      <c r="B4" s="190">
        <v>2.63</v>
      </c>
      <c r="C4" s="190">
        <v>2.65</v>
      </c>
      <c r="D4" s="190">
        <v>9.6</v>
      </c>
      <c r="E4" s="192">
        <v>14.8</v>
      </c>
      <c r="F4" s="192">
        <v>16.63</v>
      </c>
      <c r="G4" s="192">
        <v>22.38</v>
      </c>
      <c r="H4" s="192">
        <v>22.33</v>
      </c>
      <c r="I4" s="192">
        <v>23.9</v>
      </c>
      <c r="J4" s="192">
        <v>22.83</v>
      </c>
      <c r="K4" s="192">
        <v>21.2</v>
      </c>
      <c r="L4" s="192">
        <v>20.5</v>
      </c>
      <c r="M4" s="192">
        <v>17.899999999999999</v>
      </c>
      <c r="N4" s="192">
        <v>12.93</v>
      </c>
      <c r="O4" s="192">
        <v>11.83</v>
      </c>
      <c r="P4" s="192">
        <v>5.8</v>
      </c>
      <c r="Q4" s="192">
        <v>3.35</v>
      </c>
      <c r="S4" s="98" t="s">
        <v>463</v>
      </c>
      <c r="T4" s="54">
        <v>10.55</v>
      </c>
      <c r="U4" s="54">
        <v>12.475</v>
      </c>
      <c r="V4" s="54">
        <v>10.3575</v>
      </c>
      <c r="W4" s="54">
        <v>9.2424999999999997</v>
      </c>
      <c r="X4" s="56">
        <v>8.317499999999999</v>
      </c>
      <c r="Y4" s="54">
        <v>9.3874999999999993</v>
      </c>
      <c r="Z4" s="56">
        <v>6.34</v>
      </c>
      <c r="AA4" s="54">
        <v>7.5824999999999996</v>
      </c>
      <c r="AB4" s="54"/>
      <c r="AC4" s="54">
        <v>6.7424999999999997</v>
      </c>
      <c r="AD4" s="54">
        <v>8.2050000000000001</v>
      </c>
      <c r="AE4" s="54">
        <v>7.7324999999999999</v>
      </c>
      <c r="AF4" s="54">
        <v>10.120000000000001</v>
      </c>
      <c r="AG4" s="54">
        <v>10.147499999999999</v>
      </c>
      <c r="AH4" s="54">
        <v>10.16</v>
      </c>
      <c r="AI4" s="54">
        <v>11.39</v>
      </c>
      <c r="AJ4" s="54">
        <v>12.52</v>
      </c>
    </row>
    <row r="5" spans="1:36" x14ac:dyDescent="0.25">
      <c r="A5" s="164" t="s">
        <v>242</v>
      </c>
      <c r="B5" s="190">
        <v>2.6</v>
      </c>
      <c r="C5" s="190">
        <v>2.75</v>
      </c>
      <c r="D5" s="190">
        <v>9.6</v>
      </c>
      <c r="E5" s="192">
        <v>14.83</v>
      </c>
      <c r="F5" s="192">
        <v>17.05</v>
      </c>
      <c r="G5" s="192">
        <v>22.7</v>
      </c>
      <c r="H5" s="192">
        <v>22.23</v>
      </c>
      <c r="I5" s="192">
        <v>24</v>
      </c>
      <c r="J5" s="192">
        <v>22.95</v>
      </c>
      <c r="K5" s="192">
        <v>21.4</v>
      </c>
      <c r="L5" s="192">
        <v>20.18</v>
      </c>
      <c r="M5" s="192">
        <v>17.899999999999999</v>
      </c>
      <c r="N5" s="192">
        <v>12.78</v>
      </c>
      <c r="O5" s="192">
        <v>11.8</v>
      </c>
      <c r="P5" s="192">
        <v>5.8</v>
      </c>
      <c r="Q5" s="192"/>
      <c r="S5" s="98" t="s">
        <v>248</v>
      </c>
      <c r="T5" s="54">
        <v>8.06</v>
      </c>
      <c r="U5" s="54">
        <v>8.3166666666666682</v>
      </c>
      <c r="V5" s="54">
        <v>9.2293333333333329</v>
      </c>
      <c r="W5" s="54">
        <v>7.6799999999999988</v>
      </c>
      <c r="X5" s="56">
        <v>6.1419999999999995</v>
      </c>
      <c r="Y5" s="54">
        <v>8.75</v>
      </c>
      <c r="Z5" s="56">
        <v>5.9473333333333329</v>
      </c>
      <c r="AA5" s="54">
        <v>7.2471428571428564</v>
      </c>
      <c r="AB5" s="54"/>
      <c r="AC5" s="54">
        <v>6.0814285714285727</v>
      </c>
      <c r="AD5" s="54">
        <v>8.1992307692307698</v>
      </c>
      <c r="AE5" s="54">
        <v>7.3346153846153843</v>
      </c>
      <c r="AF5" s="54">
        <v>9.7800000000000011</v>
      </c>
      <c r="AG5" s="54">
        <v>9.24</v>
      </c>
      <c r="AH5" s="54">
        <v>9.0264285714285695</v>
      </c>
      <c r="AI5" s="54">
        <v>10.26</v>
      </c>
      <c r="AJ5" s="54">
        <v>11.29</v>
      </c>
    </row>
    <row r="6" spans="1:36" x14ac:dyDescent="0.25">
      <c r="A6" s="164" t="s">
        <v>243</v>
      </c>
      <c r="B6" s="190">
        <v>2.75</v>
      </c>
      <c r="C6" s="190">
        <v>2.88</v>
      </c>
      <c r="D6" s="190">
        <v>8.8800000000000008</v>
      </c>
      <c r="E6" s="192">
        <v>14.38</v>
      </c>
      <c r="F6" s="192">
        <v>16.38</v>
      </c>
      <c r="G6" s="192">
        <v>22.5</v>
      </c>
      <c r="H6" s="192">
        <v>22.2</v>
      </c>
      <c r="I6" s="192">
        <v>23.98</v>
      </c>
      <c r="J6" s="192">
        <v>23.05</v>
      </c>
      <c r="K6" s="192">
        <v>21.38</v>
      </c>
      <c r="L6" s="192">
        <v>20.18</v>
      </c>
      <c r="M6" s="192">
        <v>17.899999999999999</v>
      </c>
      <c r="N6" s="192">
        <v>12.73</v>
      </c>
      <c r="O6" s="192">
        <v>11.63</v>
      </c>
      <c r="P6" s="192">
        <v>5.7</v>
      </c>
      <c r="Q6" s="192"/>
      <c r="S6" s="62"/>
      <c r="T6" s="292"/>
      <c r="U6" s="292"/>
      <c r="V6" s="292"/>
      <c r="W6" s="292"/>
      <c r="X6" s="62"/>
      <c r="Y6" s="197"/>
      <c r="Z6" s="62"/>
      <c r="AA6" s="292"/>
      <c r="AB6" s="292"/>
      <c r="AC6" s="292"/>
      <c r="AD6" s="292"/>
      <c r="AE6" s="292"/>
      <c r="AF6" s="292"/>
      <c r="AG6" s="292"/>
      <c r="AH6" s="292"/>
      <c r="AI6" s="292"/>
      <c r="AJ6" s="292"/>
    </row>
    <row r="7" spans="1:36" x14ac:dyDescent="0.25">
      <c r="A7" s="164" t="s">
        <v>244</v>
      </c>
      <c r="B7" s="190">
        <v>2.78</v>
      </c>
      <c r="C7" s="190">
        <v>2.65</v>
      </c>
      <c r="D7" s="190">
        <v>9.5</v>
      </c>
      <c r="E7" s="192">
        <v>15.18</v>
      </c>
      <c r="F7" s="192">
        <v>16.8</v>
      </c>
      <c r="G7" s="192">
        <v>23.25</v>
      </c>
      <c r="H7" s="192">
        <v>22.4</v>
      </c>
      <c r="I7" s="192">
        <v>24.65</v>
      </c>
      <c r="J7" s="192">
        <v>23.35</v>
      </c>
      <c r="K7" s="192">
        <v>21.9</v>
      </c>
      <c r="L7" s="192">
        <v>20.83</v>
      </c>
      <c r="M7" s="192">
        <v>18.03</v>
      </c>
      <c r="N7" s="192">
        <v>13.1</v>
      </c>
      <c r="O7" s="192">
        <v>11.9</v>
      </c>
      <c r="P7" s="192">
        <v>5.8</v>
      </c>
      <c r="Q7" s="192">
        <v>3</v>
      </c>
      <c r="S7" s="62"/>
      <c r="T7" s="292"/>
      <c r="U7" s="292"/>
      <c r="V7" s="292"/>
      <c r="W7" s="292"/>
      <c r="X7" s="62"/>
      <c r="Y7" s="197"/>
      <c r="Z7" s="62"/>
      <c r="AA7" s="292"/>
      <c r="AB7" s="292"/>
      <c r="AC7" s="292"/>
      <c r="AD7" s="292"/>
      <c r="AE7" s="292"/>
      <c r="AF7" s="292"/>
      <c r="AG7" s="292"/>
      <c r="AH7" s="292"/>
      <c r="AI7" s="292"/>
      <c r="AJ7" s="292"/>
    </row>
    <row r="8" spans="1:36" x14ac:dyDescent="0.25">
      <c r="A8" s="164" t="s">
        <v>245</v>
      </c>
      <c r="B8" s="190">
        <v>2.68</v>
      </c>
      <c r="C8" s="190">
        <v>3.28</v>
      </c>
      <c r="D8" s="190">
        <v>9.5</v>
      </c>
      <c r="E8" s="192">
        <v>15.28</v>
      </c>
      <c r="F8" s="192">
        <v>17.13</v>
      </c>
      <c r="G8" s="192">
        <v>22.95</v>
      </c>
      <c r="H8" s="192">
        <v>22.4</v>
      </c>
      <c r="I8" s="192">
        <v>24.16</v>
      </c>
      <c r="J8" s="192">
        <v>23.15</v>
      </c>
      <c r="K8" s="192">
        <v>21.95</v>
      </c>
      <c r="L8" s="192">
        <v>20.85</v>
      </c>
      <c r="M8" s="192">
        <v>17.98</v>
      </c>
      <c r="N8" s="192">
        <v>12.8</v>
      </c>
      <c r="O8" s="192">
        <v>11.78</v>
      </c>
      <c r="P8" s="192">
        <v>5.8</v>
      </c>
      <c r="Q8" s="192">
        <v>3.58</v>
      </c>
      <c r="S8" s="220"/>
      <c r="T8" s="292"/>
      <c r="U8" s="292"/>
      <c r="V8" s="292"/>
      <c r="W8" s="292"/>
      <c r="X8" s="62"/>
      <c r="Y8" s="197"/>
      <c r="Z8" s="62"/>
      <c r="AA8" s="292"/>
      <c r="AB8" s="292"/>
      <c r="AC8" s="292"/>
      <c r="AD8" s="292"/>
      <c r="AE8" s="292"/>
      <c r="AF8" s="292"/>
      <c r="AG8" s="292"/>
      <c r="AH8" s="292"/>
      <c r="AI8" s="292"/>
      <c r="AJ8" s="292"/>
    </row>
    <row r="9" spans="1:36" x14ac:dyDescent="0.25">
      <c r="A9" s="382" t="s">
        <v>247</v>
      </c>
      <c r="B9" s="191">
        <v>9</v>
      </c>
      <c r="C9" s="299">
        <v>9</v>
      </c>
      <c r="D9" s="299">
        <v>9</v>
      </c>
    </row>
    <row r="10" spans="1:36" x14ac:dyDescent="0.25">
      <c r="A10" s="282" t="s">
        <v>246</v>
      </c>
      <c r="C10" s="198"/>
      <c r="D10" s="198"/>
      <c r="E10" s="300">
        <v>23.3</v>
      </c>
      <c r="F10" s="300">
        <v>23.3</v>
      </c>
      <c r="G10" s="300">
        <v>23.3</v>
      </c>
      <c r="H10" s="300">
        <v>23.3</v>
      </c>
      <c r="I10" s="300">
        <v>23.3</v>
      </c>
      <c r="J10" s="300">
        <v>23.3</v>
      </c>
      <c r="K10" s="300">
        <v>23.3</v>
      </c>
      <c r="L10" s="300">
        <v>23.3</v>
      </c>
      <c r="M10" s="300">
        <v>23.3</v>
      </c>
      <c r="N10" s="300">
        <v>23.3</v>
      </c>
      <c r="O10" s="300">
        <v>23.3</v>
      </c>
      <c r="P10" s="300">
        <v>23.3</v>
      </c>
      <c r="Q10" s="300">
        <v>23.3</v>
      </c>
    </row>
  </sheetData>
  <mergeCells count="6">
    <mergeCell ref="B1:Q1"/>
    <mergeCell ref="A1:A2"/>
    <mergeCell ref="S1:S2"/>
    <mergeCell ref="T1:AJ1"/>
    <mergeCell ref="B3:D3"/>
    <mergeCell ref="E3:Q3"/>
  </mergeCell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pageSetUpPr fitToPage="1"/>
  </sheetPr>
  <dimension ref="A1:U60"/>
  <sheetViews>
    <sheetView topLeftCell="A31" zoomScale="75" zoomScaleNormal="75" workbookViewId="0">
      <selection activeCell="A5" sqref="A5:A10"/>
    </sheetView>
  </sheetViews>
  <sheetFormatPr defaultRowHeight="13" x14ac:dyDescent="0.3"/>
  <cols>
    <col min="1" max="1" width="35.36328125" style="1" customWidth="1"/>
    <col min="2" max="2" width="9.36328125" bestFit="1" customWidth="1"/>
    <col min="3" max="3" width="9.453125" customWidth="1"/>
    <col min="4" max="4" width="9.36328125" bestFit="1" customWidth="1"/>
    <col min="5" max="5" width="9.08984375" bestFit="1" customWidth="1"/>
    <col min="6" max="6" width="9.6328125" bestFit="1" customWidth="1"/>
    <col min="7" max="7" width="9.36328125" bestFit="1" customWidth="1"/>
    <col min="8" max="8" width="8.08984375" bestFit="1" customWidth="1"/>
    <col min="9" max="9" width="8.54296875" bestFit="1" customWidth="1"/>
    <col min="10" max="10" width="8.36328125" bestFit="1" customWidth="1"/>
    <col min="11" max="11" width="9.6328125" bestFit="1" customWidth="1"/>
    <col min="12" max="12" width="9.36328125" bestFit="1" customWidth="1"/>
    <col min="13" max="13" width="9.6328125" bestFit="1" customWidth="1"/>
    <col min="14" max="14" width="9.36328125" bestFit="1" customWidth="1"/>
    <col min="15" max="15" width="9.08984375" bestFit="1" customWidth="1"/>
    <col min="16" max="16" width="9.36328125" bestFit="1" customWidth="1"/>
    <col min="17" max="17" width="9.6328125" bestFit="1" customWidth="1"/>
    <col min="18" max="18" width="7.08984375" customWidth="1"/>
    <col min="19" max="19" width="12.54296875" customWidth="1"/>
    <col min="20" max="20" width="13.08984375" customWidth="1"/>
    <col min="21" max="21" width="14" customWidth="1"/>
    <col min="22" max="22" width="9.90625" bestFit="1" customWidth="1"/>
    <col min="23" max="23" width="10.36328125" bestFit="1" customWidth="1"/>
    <col min="24" max="24" width="10.90625" bestFit="1" customWidth="1"/>
    <col min="25" max="25" width="11.08984375" bestFit="1" customWidth="1"/>
    <col min="26" max="26" width="10.453125" customWidth="1"/>
    <col min="27" max="27" width="10.90625" customWidth="1"/>
    <col min="28" max="29" width="11.36328125" customWidth="1"/>
    <col min="30" max="30" width="10.90625" bestFit="1" customWidth="1"/>
  </cols>
  <sheetData>
    <row r="1" spans="1:21" ht="15.5" x14ac:dyDescent="0.35">
      <c r="A1" s="788" t="s">
        <v>3</v>
      </c>
      <c r="B1" s="788"/>
      <c r="C1" s="788"/>
      <c r="D1" s="788"/>
      <c r="E1" s="788"/>
      <c r="F1" s="788"/>
      <c r="G1" s="788"/>
      <c r="H1" s="788"/>
      <c r="I1" s="788"/>
      <c r="J1" s="788"/>
      <c r="K1" s="788"/>
      <c r="L1" s="788"/>
      <c r="M1" s="788"/>
      <c r="N1" s="788"/>
      <c r="O1" s="788"/>
      <c r="P1" s="788"/>
    </row>
    <row r="2" spans="1:21" ht="15.5" x14ac:dyDescent="0.35">
      <c r="A2" s="788" t="s">
        <v>213</v>
      </c>
      <c r="B2" s="788"/>
      <c r="C2" s="788"/>
      <c r="D2" s="788"/>
      <c r="E2" s="788"/>
      <c r="F2" s="788"/>
      <c r="G2" s="788"/>
      <c r="H2" s="788"/>
      <c r="I2" s="788"/>
      <c r="J2" s="788"/>
      <c r="K2" s="788"/>
      <c r="L2" s="788"/>
      <c r="M2" s="788"/>
      <c r="N2" s="788"/>
      <c r="O2" s="788"/>
      <c r="P2" s="788"/>
    </row>
    <row r="4" spans="1:21" s="7" customFormat="1" ht="42" x14ac:dyDescent="0.3">
      <c r="A4" s="134" t="s">
        <v>2</v>
      </c>
      <c r="B4" s="580">
        <v>40921</v>
      </c>
      <c r="C4" s="580">
        <v>40949</v>
      </c>
      <c r="D4" s="580">
        <v>40994</v>
      </c>
      <c r="E4" s="580">
        <v>41022</v>
      </c>
      <c r="F4" s="580">
        <v>41050</v>
      </c>
      <c r="G4" s="580">
        <v>41086</v>
      </c>
      <c r="H4" s="580">
        <v>41099</v>
      </c>
      <c r="I4" s="580">
        <v>41113</v>
      </c>
      <c r="J4" s="580">
        <v>41127</v>
      </c>
      <c r="K4" s="580">
        <v>41148</v>
      </c>
      <c r="L4" s="580">
        <v>41162</v>
      </c>
      <c r="M4" s="580">
        <v>41177</v>
      </c>
      <c r="N4" s="580">
        <v>41204</v>
      </c>
      <c r="O4" s="580">
        <v>41239</v>
      </c>
      <c r="P4" s="580">
        <v>41257</v>
      </c>
      <c r="Q4" s="142" t="s">
        <v>91</v>
      </c>
      <c r="R4" s="134" t="s">
        <v>83</v>
      </c>
      <c r="S4" s="143" t="s">
        <v>92</v>
      </c>
      <c r="T4" s="143" t="s">
        <v>93</v>
      </c>
      <c r="U4" s="143" t="s">
        <v>94</v>
      </c>
    </row>
    <row r="5" spans="1:21" s="3" customFormat="1" ht="14" x14ac:dyDescent="0.3">
      <c r="A5" s="148" t="s">
        <v>857</v>
      </c>
      <c r="B5" s="473">
        <v>32</v>
      </c>
      <c r="C5" s="474">
        <v>5</v>
      </c>
      <c r="D5" s="474">
        <v>11</v>
      </c>
      <c r="E5" s="474">
        <v>9</v>
      </c>
      <c r="F5" s="474">
        <v>40</v>
      </c>
      <c r="G5" s="125">
        <v>37</v>
      </c>
      <c r="H5" s="473">
        <v>160</v>
      </c>
      <c r="I5" s="473">
        <v>43</v>
      </c>
      <c r="J5" s="476">
        <v>9</v>
      </c>
      <c r="K5" s="476">
        <v>13</v>
      </c>
      <c r="L5" s="125">
        <v>9</v>
      </c>
      <c r="M5" s="474">
        <v>95</v>
      </c>
      <c r="N5" s="477">
        <v>12</v>
      </c>
      <c r="O5" s="477">
        <v>5</v>
      </c>
      <c r="P5" s="479">
        <v>4</v>
      </c>
      <c r="Q5" s="141">
        <f>AVERAGE(B5:P5)</f>
        <v>32.266666666666666</v>
      </c>
      <c r="R5" s="141">
        <f>MAX(B5:P5)</f>
        <v>160</v>
      </c>
      <c r="S5" s="141">
        <f>AVERAGE(H5:M5)</f>
        <v>54.833333333333336</v>
      </c>
      <c r="T5" s="141">
        <f>AVERAGE(B8:P9)</f>
        <v>61.6</v>
      </c>
      <c r="U5" s="141">
        <f>AVERAGE(H8:M9)</f>
        <v>97.166666666666671</v>
      </c>
    </row>
    <row r="6" spans="1:21" s="3" customFormat="1" ht="14" x14ac:dyDescent="0.3">
      <c r="A6" s="148" t="s">
        <v>856</v>
      </c>
      <c r="B6" s="101">
        <v>2</v>
      </c>
      <c r="C6" s="330">
        <v>31</v>
      </c>
      <c r="D6" s="330">
        <v>19</v>
      </c>
      <c r="E6" s="330">
        <v>7</v>
      </c>
      <c r="F6" s="330">
        <v>73</v>
      </c>
      <c r="G6" s="320">
        <v>90</v>
      </c>
      <c r="H6" s="101">
        <v>134</v>
      </c>
      <c r="I6" s="101">
        <v>144</v>
      </c>
      <c r="J6" s="121">
        <v>89</v>
      </c>
      <c r="K6" s="121">
        <v>68</v>
      </c>
      <c r="L6" s="123">
        <v>40</v>
      </c>
      <c r="M6" s="330">
        <v>153</v>
      </c>
      <c r="N6" s="125">
        <v>26</v>
      </c>
      <c r="O6" s="122">
        <v>17</v>
      </c>
      <c r="P6" s="127">
        <v>32</v>
      </c>
      <c r="Q6" s="141">
        <f>AVERAGE(B6:P6)</f>
        <v>61.666666666666664</v>
      </c>
      <c r="R6" s="141">
        <f>MAX(B6:P6)</f>
        <v>153</v>
      </c>
      <c r="S6" s="141">
        <f>AVERAGE(H6:M6)</f>
        <v>104.66666666666667</v>
      </c>
      <c r="T6" s="86"/>
      <c r="U6" s="86"/>
    </row>
    <row r="7" spans="1:21" s="3" customFormat="1" ht="14" x14ac:dyDescent="0.3">
      <c r="A7" s="149" t="s">
        <v>858</v>
      </c>
      <c r="B7" s="101">
        <v>14</v>
      </c>
      <c r="C7" s="330">
        <v>21</v>
      </c>
      <c r="D7" s="330">
        <v>16</v>
      </c>
      <c r="E7" s="330">
        <v>21</v>
      </c>
      <c r="F7" s="330">
        <v>21</v>
      </c>
      <c r="G7" s="320">
        <v>30</v>
      </c>
      <c r="H7" s="101">
        <v>51</v>
      </c>
      <c r="I7" s="101">
        <v>67</v>
      </c>
      <c r="J7" s="121">
        <v>122</v>
      </c>
      <c r="K7" s="121">
        <v>97</v>
      </c>
      <c r="L7" s="125">
        <v>100</v>
      </c>
      <c r="M7" s="330">
        <v>117</v>
      </c>
      <c r="N7" s="320">
        <v>75</v>
      </c>
      <c r="O7" s="320">
        <v>53</v>
      </c>
      <c r="P7" s="127">
        <v>34</v>
      </c>
      <c r="Q7" s="141">
        <f>AVERAGE(B7:P7)</f>
        <v>55.93333333333333</v>
      </c>
      <c r="R7" s="141">
        <f>MAX(B7:P7)</f>
        <v>122</v>
      </c>
      <c r="S7" s="141">
        <f>AVERAGE(H7:M7)</f>
        <v>92.333333333333329</v>
      </c>
      <c r="T7" s="86"/>
      <c r="U7" s="86"/>
    </row>
    <row r="8" spans="1:21" s="3" customFormat="1" ht="14" x14ac:dyDescent="0.3">
      <c r="A8" s="149" t="s">
        <v>865</v>
      </c>
      <c r="B8" s="101">
        <v>22</v>
      </c>
      <c r="C8" s="330">
        <v>14</v>
      </c>
      <c r="D8" s="330">
        <v>13</v>
      </c>
      <c r="E8" s="330">
        <v>21</v>
      </c>
      <c r="F8" s="330">
        <v>14</v>
      </c>
      <c r="G8" s="320">
        <v>24</v>
      </c>
      <c r="H8" s="101">
        <v>61</v>
      </c>
      <c r="I8" s="101">
        <v>66</v>
      </c>
      <c r="J8" s="121">
        <v>93</v>
      </c>
      <c r="K8" s="121">
        <v>74</v>
      </c>
      <c r="L8" s="125">
        <v>113</v>
      </c>
      <c r="M8" s="330">
        <v>143</v>
      </c>
      <c r="N8" s="122">
        <v>78</v>
      </c>
      <c r="O8" s="122">
        <v>37</v>
      </c>
      <c r="P8" s="127">
        <v>28</v>
      </c>
      <c r="Q8" s="141">
        <f>AVERAGE(B8:P8)</f>
        <v>53.4</v>
      </c>
      <c r="R8" s="141">
        <f>MAX(B8:P8)</f>
        <v>143</v>
      </c>
      <c r="S8" s="141">
        <f>AVERAGE(H8:M8)</f>
        <v>91.666666666666671</v>
      </c>
      <c r="T8" s="86"/>
      <c r="U8" s="86"/>
    </row>
    <row r="9" spans="1:21" s="3" customFormat="1" ht="14" x14ac:dyDescent="0.3">
      <c r="A9" s="149" t="s">
        <v>867</v>
      </c>
      <c r="B9" s="473">
        <v>23</v>
      </c>
      <c r="C9" s="474">
        <v>15</v>
      </c>
      <c r="D9" s="474">
        <v>25</v>
      </c>
      <c r="E9" s="474">
        <v>21</v>
      </c>
      <c r="F9" s="474">
        <v>41</v>
      </c>
      <c r="G9" s="475">
        <v>49</v>
      </c>
      <c r="H9" s="473">
        <v>129</v>
      </c>
      <c r="I9" s="473">
        <v>139</v>
      </c>
      <c r="J9" s="476">
        <v>104</v>
      </c>
      <c r="K9" s="476">
        <v>63</v>
      </c>
      <c r="L9" s="125">
        <v>106</v>
      </c>
      <c r="M9" s="474">
        <v>75</v>
      </c>
      <c r="N9" s="477">
        <v>105</v>
      </c>
      <c r="O9" s="477">
        <v>121</v>
      </c>
      <c r="P9" s="478">
        <v>31</v>
      </c>
      <c r="Q9" s="141">
        <f>AVERAGE(B9:P9)</f>
        <v>69.8</v>
      </c>
      <c r="R9" s="141">
        <f>MAX(B9:P9)</f>
        <v>139</v>
      </c>
      <c r="S9" s="141">
        <f>AVERAGE(H9:M9)</f>
        <v>102.66666666666667</v>
      </c>
      <c r="T9" s="86"/>
      <c r="U9" s="86"/>
    </row>
    <row r="10" spans="1:21" ht="14" x14ac:dyDescent="0.25">
      <c r="A10" s="584" t="s">
        <v>866</v>
      </c>
      <c r="B10">
        <f>AVERAGE(B8:B9)</f>
        <v>22.5</v>
      </c>
      <c r="C10">
        <f t="shared" ref="C10:P10" si="0">AVERAGE(C8:C9)</f>
        <v>14.5</v>
      </c>
      <c r="D10">
        <f t="shared" si="0"/>
        <v>19</v>
      </c>
      <c r="E10">
        <f t="shared" si="0"/>
        <v>21</v>
      </c>
      <c r="F10">
        <f t="shared" si="0"/>
        <v>27.5</v>
      </c>
      <c r="G10">
        <f t="shared" si="0"/>
        <v>36.5</v>
      </c>
      <c r="H10">
        <f t="shared" si="0"/>
        <v>95</v>
      </c>
      <c r="I10">
        <f t="shared" si="0"/>
        <v>102.5</v>
      </c>
      <c r="J10">
        <f t="shared" si="0"/>
        <v>98.5</v>
      </c>
      <c r="K10">
        <f t="shared" si="0"/>
        <v>68.5</v>
      </c>
      <c r="L10">
        <f t="shared" si="0"/>
        <v>109.5</v>
      </c>
      <c r="M10">
        <f t="shared" si="0"/>
        <v>109</v>
      </c>
      <c r="N10">
        <f t="shared" si="0"/>
        <v>91.5</v>
      </c>
      <c r="O10">
        <f t="shared" si="0"/>
        <v>79</v>
      </c>
      <c r="P10">
        <f t="shared" si="0"/>
        <v>29.5</v>
      </c>
    </row>
    <row r="11" spans="1:21" x14ac:dyDescent="0.3">
      <c r="B11" s="817"/>
      <c r="C11" s="817"/>
      <c r="D11" s="817"/>
      <c r="E11" s="817"/>
      <c r="F11" s="817"/>
    </row>
    <row r="12" spans="1:21" x14ac:dyDescent="0.3">
      <c r="B12" s="817"/>
      <c r="C12" s="817"/>
      <c r="D12" s="817"/>
      <c r="E12" s="817"/>
      <c r="F12" s="817"/>
    </row>
    <row r="13" spans="1:21" x14ac:dyDescent="0.3">
      <c r="A13" s="818" t="s">
        <v>67</v>
      </c>
      <c r="B13" s="818"/>
      <c r="C13" s="818"/>
      <c r="D13" s="818"/>
      <c r="E13" s="818"/>
      <c r="F13" s="818"/>
      <c r="G13" s="818"/>
      <c r="H13" s="818"/>
      <c r="I13" s="818"/>
      <c r="J13" s="818"/>
      <c r="K13" s="818"/>
      <c r="L13" s="818"/>
      <c r="M13" s="818"/>
    </row>
    <row r="14" spans="1:21" x14ac:dyDescent="0.3">
      <c r="A14" s="131"/>
      <c r="B14" s="131" t="s">
        <v>69</v>
      </c>
      <c r="C14" s="131" t="s">
        <v>70</v>
      </c>
      <c r="D14" s="131" t="s">
        <v>71</v>
      </c>
      <c r="E14" s="131" t="s">
        <v>72</v>
      </c>
      <c r="F14" s="131" t="s">
        <v>73</v>
      </c>
      <c r="G14" s="131" t="s">
        <v>74</v>
      </c>
      <c r="H14" s="131" t="s">
        <v>75</v>
      </c>
      <c r="I14" s="131" t="s">
        <v>76</v>
      </c>
      <c r="J14" s="131" t="s">
        <v>77</v>
      </c>
      <c r="K14" s="131" t="s">
        <v>78</v>
      </c>
      <c r="L14" s="131" t="s">
        <v>79</v>
      </c>
      <c r="M14" s="131" t="s">
        <v>80</v>
      </c>
    </row>
    <row r="15" spans="1:21" ht="14" x14ac:dyDescent="0.3">
      <c r="A15" s="148" t="s">
        <v>857</v>
      </c>
      <c r="B15" s="65">
        <f t="shared" ref="B15:G15" si="1">B5</f>
        <v>32</v>
      </c>
      <c r="C15" s="65">
        <f t="shared" si="1"/>
        <v>5</v>
      </c>
      <c r="D15" s="65">
        <f t="shared" si="1"/>
        <v>11</v>
      </c>
      <c r="E15" s="65">
        <f t="shared" si="1"/>
        <v>9</v>
      </c>
      <c r="F15" s="65">
        <f t="shared" si="1"/>
        <v>40</v>
      </c>
      <c r="G15" s="65">
        <f t="shared" si="1"/>
        <v>37</v>
      </c>
      <c r="H15" s="65">
        <f t="shared" ref="H15:H20" si="2">AVERAGE(H5:I5)</f>
        <v>101.5</v>
      </c>
      <c r="I15" s="65">
        <f t="shared" ref="I15:I20" si="3">AVERAGE(J5:K5)</f>
        <v>11</v>
      </c>
      <c r="J15" s="65">
        <f t="shared" ref="J15:J20" si="4">AVERAGE(L5:M5)</f>
        <v>52</v>
      </c>
      <c r="K15" s="65">
        <f t="shared" ref="K15:K20" si="5">N5</f>
        <v>12</v>
      </c>
      <c r="L15" s="65">
        <f t="shared" ref="L15:L19" si="6">O5</f>
        <v>5</v>
      </c>
      <c r="M15" s="65">
        <f t="shared" ref="M15:M20" si="7">P5</f>
        <v>4</v>
      </c>
    </row>
    <row r="16" spans="1:21" ht="14" x14ac:dyDescent="0.3">
      <c r="A16" s="148" t="s">
        <v>856</v>
      </c>
      <c r="B16" s="65">
        <f t="shared" ref="B16:G20" si="8">B6</f>
        <v>2</v>
      </c>
      <c r="C16" s="65">
        <f t="shared" si="8"/>
        <v>31</v>
      </c>
      <c r="D16" s="65">
        <f t="shared" si="8"/>
        <v>19</v>
      </c>
      <c r="E16" s="65">
        <f t="shared" si="8"/>
        <v>7</v>
      </c>
      <c r="F16" s="65">
        <f t="shared" si="8"/>
        <v>73</v>
      </c>
      <c r="G16" s="65">
        <f t="shared" si="8"/>
        <v>90</v>
      </c>
      <c r="H16" s="65">
        <f t="shared" si="2"/>
        <v>139</v>
      </c>
      <c r="I16" s="65">
        <f t="shared" si="3"/>
        <v>78.5</v>
      </c>
      <c r="J16" s="65">
        <f t="shared" si="4"/>
        <v>96.5</v>
      </c>
      <c r="K16" s="65">
        <f t="shared" si="5"/>
        <v>26</v>
      </c>
      <c r="L16" s="65">
        <f t="shared" si="6"/>
        <v>17</v>
      </c>
      <c r="M16" s="65">
        <f t="shared" si="7"/>
        <v>32</v>
      </c>
    </row>
    <row r="17" spans="1:13" ht="14" x14ac:dyDescent="0.3">
      <c r="A17" s="149" t="s">
        <v>858</v>
      </c>
      <c r="B17" s="65">
        <f t="shared" si="8"/>
        <v>14</v>
      </c>
      <c r="C17" s="65">
        <f t="shared" si="8"/>
        <v>21</v>
      </c>
      <c r="D17" s="65">
        <f t="shared" si="8"/>
        <v>16</v>
      </c>
      <c r="E17" s="65">
        <f t="shared" si="8"/>
        <v>21</v>
      </c>
      <c r="F17" s="65">
        <f t="shared" si="8"/>
        <v>21</v>
      </c>
      <c r="G17" s="65">
        <f t="shared" si="8"/>
        <v>30</v>
      </c>
      <c r="H17" s="65">
        <f t="shared" si="2"/>
        <v>59</v>
      </c>
      <c r="I17" s="65">
        <f t="shared" si="3"/>
        <v>109.5</v>
      </c>
      <c r="J17" s="65">
        <f t="shared" si="4"/>
        <v>108.5</v>
      </c>
      <c r="K17" s="65">
        <f t="shared" si="5"/>
        <v>75</v>
      </c>
      <c r="L17" s="65">
        <f t="shared" si="6"/>
        <v>53</v>
      </c>
      <c r="M17" s="65">
        <f t="shared" si="7"/>
        <v>34</v>
      </c>
    </row>
    <row r="18" spans="1:13" ht="14" x14ac:dyDescent="0.3">
      <c r="A18" s="146" t="s">
        <v>1091</v>
      </c>
      <c r="B18" s="65">
        <f t="shared" si="8"/>
        <v>22</v>
      </c>
      <c r="C18" s="65">
        <f t="shared" si="8"/>
        <v>14</v>
      </c>
      <c r="D18" s="65">
        <f t="shared" si="8"/>
        <v>13</v>
      </c>
      <c r="E18" s="65">
        <f t="shared" si="8"/>
        <v>21</v>
      </c>
      <c r="F18" s="65">
        <f t="shared" si="8"/>
        <v>14</v>
      </c>
      <c r="G18" s="65">
        <f t="shared" si="8"/>
        <v>24</v>
      </c>
      <c r="H18" s="65">
        <f t="shared" si="2"/>
        <v>63.5</v>
      </c>
      <c r="I18" s="65">
        <f t="shared" si="3"/>
        <v>83.5</v>
      </c>
      <c r="J18" s="65">
        <f t="shared" si="4"/>
        <v>128</v>
      </c>
      <c r="K18" s="65">
        <f t="shared" si="5"/>
        <v>78</v>
      </c>
      <c r="L18" s="65">
        <f t="shared" si="6"/>
        <v>37</v>
      </c>
      <c r="M18" s="65">
        <f t="shared" si="7"/>
        <v>28</v>
      </c>
    </row>
    <row r="19" spans="1:13" ht="14" x14ac:dyDescent="0.3">
      <c r="A19" s="146" t="s">
        <v>1092</v>
      </c>
      <c r="B19" s="65">
        <f t="shared" si="8"/>
        <v>23</v>
      </c>
      <c r="C19" s="65">
        <f t="shared" si="8"/>
        <v>15</v>
      </c>
      <c r="D19" s="65">
        <f t="shared" si="8"/>
        <v>25</v>
      </c>
      <c r="E19" s="65">
        <f t="shared" si="8"/>
        <v>21</v>
      </c>
      <c r="F19" s="65">
        <f t="shared" si="8"/>
        <v>41</v>
      </c>
      <c r="G19" s="65">
        <f t="shared" si="8"/>
        <v>49</v>
      </c>
      <c r="H19" s="65">
        <f t="shared" si="2"/>
        <v>134</v>
      </c>
      <c r="I19" s="65">
        <f t="shared" si="3"/>
        <v>83.5</v>
      </c>
      <c r="J19" s="65">
        <f t="shared" si="4"/>
        <v>90.5</v>
      </c>
      <c r="K19" s="65">
        <f t="shared" si="5"/>
        <v>105</v>
      </c>
      <c r="L19" s="65">
        <f t="shared" si="6"/>
        <v>121</v>
      </c>
      <c r="M19" s="65">
        <f t="shared" si="7"/>
        <v>31</v>
      </c>
    </row>
    <row r="20" spans="1:13" ht="14" x14ac:dyDescent="0.3">
      <c r="A20" s="584" t="s">
        <v>866</v>
      </c>
      <c r="B20" s="65">
        <f t="shared" si="8"/>
        <v>22.5</v>
      </c>
      <c r="C20" s="65">
        <f t="shared" si="8"/>
        <v>14.5</v>
      </c>
      <c r="D20" s="65">
        <f t="shared" si="8"/>
        <v>19</v>
      </c>
      <c r="E20" s="65">
        <f t="shared" si="8"/>
        <v>21</v>
      </c>
      <c r="F20" s="65">
        <f t="shared" si="8"/>
        <v>27.5</v>
      </c>
      <c r="G20" s="65">
        <f t="shared" si="8"/>
        <v>36.5</v>
      </c>
      <c r="H20" s="65">
        <f t="shared" si="2"/>
        <v>98.75</v>
      </c>
      <c r="I20" s="65">
        <f t="shared" si="3"/>
        <v>83.5</v>
      </c>
      <c r="J20" s="65">
        <f t="shared" si="4"/>
        <v>109.25</v>
      </c>
      <c r="K20" s="65">
        <f t="shared" si="5"/>
        <v>91.5</v>
      </c>
      <c r="L20" s="65">
        <f t="shared" ref="L20" si="9">O10</f>
        <v>79</v>
      </c>
      <c r="M20" s="65">
        <f t="shared" si="7"/>
        <v>29.5</v>
      </c>
    </row>
    <row r="28" spans="1:13" x14ac:dyDescent="0.3">
      <c r="A28" s="66"/>
    </row>
    <row r="29" spans="1:13" ht="12.5" x14ac:dyDescent="0.25">
      <c r="A29"/>
    </row>
    <row r="30" spans="1:13" x14ac:dyDescent="0.3">
      <c r="B30" s="1"/>
      <c r="C30" s="1"/>
      <c r="D30" s="1"/>
      <c r="E30" s="1"/>
    </row>
    <row r="31" spans="1:13" x14ac:dyDescent="0.3">
      <c r="B31" s="1"/>
      <c r="C31" s="1"/>
      <c r="D31" s="1"/>
      <c r="E31" s="1"/>
    </row>
    <row r="32" spans="1:13" x14ac:dyDescent="0.3">
      <c r="B32" s="3"/>
      <c r="C32" s="3"/>
      <c r="D32" s="3"/>
      <c r="E32" s="3"/>
    </row>
    <row r="33" spans="1:21" x14ac:dyDescent="0.3">
      <c r="B33" s="3"/>
      <c r="C33" s="3"/>
      <c r="D33" s="3"/>
      <c r="E33" s="3"/>
    </row>
    <row r="34" spans="1:21" x14ac:dyDescent="0.3">
      <c r="B34" s="3"/>
      <c r="C34" s="3"/>
      <c r="D34" s="3"/>
      <c r="E34" s="3"/>
    </row>
    <row r="35" spans="1:21" x14ac:dyDescent="0.3">
      <c r="B35" s="3"/>
      <c r="C35" s="3"/>
      <c r="D35" s="3"/>
      <c r="E35" s="3"/>
    </row>
    <row r="36" spans="1:21" x14ac:dyDescent="0.3">
      <c r="B36" s="3"/>
      <c r="C36" s="3"/>
      <c r="D36" s="3"/>
      <c r="E36" s="3"/>
    </row>
    <row r="37" spans="1:21" x14ac:dyDescent="0.3">
      <c r="B37" s="3"/>
      <c r="C37" s="3"/>
      <c r="D37" s="3"/>
      <c r="E37" s="3"/>
    </row>
    <row r="38" spans="1:21" x14ac:dyDescent="0.3">
      <c r="B38" s="3"/>
      <c r="C38" s="3"/>
      <c r="D38" s="3"/>
      <c r="E38" s="3"/>
    </row>
    <row r="39" spans="1:21" x14ac:dyDescent="0.3">
      <c r="B39" s="3"/>
      <c r="C39" s="3"/>
      <c r="D39" s="3"/>
      <c r="E39" s="3"/>
    </row>
    <row r="45" spans="1:21" ht="15.5" x14ac:dyDescent="0.35">
      <c r="A45" s="788" t="s">
        <v>212</v>
      </c>
      <c r="B45" s="788"/>
      <c r="C45" s="788"/>
      <c r="D45" s="788"/>
      <c r="E45" s="788"/>
      <c r="F45" s="788"/>
      <c r="G45" s="788"/>
      <c r="H45" s="788"/>
      <c r="I45" s="788"/>
      <c r="J45" s="788"/>
      <c r="K45" s="788"/>
      <c r="L45" s="788"/>
      <c r="M45" s="788"/>
      <c r="N45" s="788"/>
      <c r="O45" s="788"/>
      <c r="P45" s="788"/>
      <c r="Q45" s="78"/>
      <c r="R45" s="78"/>
      <c r="S45" s="78"/>
    </row>
    <row r="46" spans="1:21" ht="42.5" x14ac:dyDescent="0.35">
      <c r="A46" s="136" t="s">
        <v>2</v>
      </c>
      <c r="B46" s="580">
        <v>40921</v>
      </c>
      <c r="C46" s="580">
        <v>40949</v>
      </c>
      <c r="D46" s="580">
        <v>40994</v>
      </c>
      <c r="E46" s="580">
        <v>41022</v>
      </c>
      <c r="F46" s="580">
        <v>41050</v>
      </c>
      <c r="G46" s="580">
        <v>41086</v>
      </c>
      <c r="H46" s="580">
        <v>41099</v>
      </c>
      <c r="I46" s="580">
        <v>41113</v>
      </c>
      <c r="J46" s="580">
        <v>41127</v>
      </c>
      <c r="K46" s="580">
        <v>41148</v>
      </c>
      <c r="L46" s="580">
        <v>41162</v>
      </c>
      <c r="M46" s="580">
        <v>41177</v>
      </c>
      <c r="N46" s="580">
        <v>41204</v>
      </c>
      <c r="O46" s="580">
        <v>41239</v>
      </c>
      <c r="P46" s="580">
        <v>41257</v>
      </c>
      <c r="Q46" s="142" t="s">
        <v>91</v>
      </c>
      <c r="R46" s="142" t="s">
        <v>83</v>
      </c>
      <c r="S46" s="142" t="s">
        <v>109</v>
      </c>
      <c r="T46" s="143" t="s">
        <v>93</v>
      </c>
      <c r="U46" s="143" t="s">
        <v>94</v>
      </c>
    </row>
    <row r="47" spans="1:21" ht="15.5" x14ac:dyDescent="0.35">
      <c r="A47" s="148" t="s">
        <v>857</v>
      </c>
      <c r="B47" s="563">
        <v>26</v>
      </c>
      <c r="C47" s="563">
        <v>2</v>
      </c>
      <c r="D47" s="563">
        <v>2</v>
      </c>
      <c r="E47" s="563">
        <v>7</v>
      </c>
      <c r="F47" s="563">
        <v>19</v>
      </c>
      <c r="G47" s="562">
        <v>12</v>
      </c>
      <c r="H47" s="159">
        <v>67</v>
      </c>
      <c r="I47" s="159">
        <v>24</v>
      </c>
      <c r="J47" s="162">
        <v>5</v>
      </c>
      <c r="K47" s="162">
        <v>10</v>
      </c>
      <c r="L47" s="166">
        <v>5</v>
      </c>
      <c r="M47" s="474">
        <v>56</v>
      </c>
      <c r="N47" s="477">
        <v>8</v>
      </c>
      <c r="O47" s="477">
        <v>2</v>
      </c>
      <c r="P47" s="479">
        <v>6</v>
      </c>
      <c r="Q47" s="481">
        <f t="shared" ref="Q47" si="10">AVERAGE(B47:P47)</f>
        <v>16.733333333333334</v>
      </c>
      <c r="R47" s="139">
        <f>MAX(B47:P47)</f>
        <v>67</v>
      </c>
      <c r="S47" s="139">
        <f>AVERAGE(H47:M47)</f>
        <v>27.833333333333332</v>
      </c>
      <c r="T47" s="140">
        <f>AVERAGE(B50:P51)</f>
        <v>27.6</v>
      </c>
      <c r="U47" s="139">
        <f>AVERAGE(H50:M51)</f>
        <v>47.5</v>
      </c>
    </row>
    <row r="48" spans="1:21" ht="15.5" x14ac:dyDescent="0.35">
      <c r="A48" s="148" t="s">
        <v>856</v>
      </c>
      <c r="B48" s="102">
        <v>4</v>
      </c>
      <c r="C48" s="330">
        <v>29</v>
      </c>
      <c r="D48" s="330">
        <v>6</v>
      </c>
      <c r="E48" s="330">
        <v>19</v>
      </c>
      <c r="F48" s="330">
        <v>37</v>
      </c>
      <c r="G48" s="320">
        <v>61</v>
      </c>
      <c r="H48" s="101">
        <v>45</v>
      </c>
      <c r="I48" s="101">
        <v>110</v>
      </c>
      <c r="J48" s="121">
        <v>67</v>
      </c>
      <c r="K48" s="121">
        <v>46</v>
      </c>
      <c r="L48" s="123">
        <v>32</v>
      </c>
      <c r="M48" s="474">
        <v>148</v>
      </c>
      <c r="N48" s="125">
        <v>17</v>
      </c>
      <c r="O48" s="477">
        <v>10</v>
      </c>
      <c r="P48" s="479">
        <v>22</v>
      </c>
      <c r="Q48" s="139">
        <f>AVERAGE(B48:P48)</f>
        <v>43.533333333333331</v>
      </c>
      <c r="R48" s="139">
        <f>MAX(B48:P48)</f>
        <v>148</v>
      </c>
      <c r="S48" s="139">
        <f>AVERAGE(H48:M48)</f>
        <v>74.666666666666671</v>
      </c>
    </row>
    <row r="49" spans="1:19" ht="15.5" x14ac:dyDescent="0.35">
      <c r="A49" s="149" t="s">
        <v>858</v>
      </c>
      <c r="B49" s="102">
        <v>8</v>
      </c>
      <c r="C49" s="330">
        <v>12</v>
      </c>
      <c r="D49" s="330">
        <v>5</v>
      </c>
      <c r="E49" s="330">
        <v>9</v>
      </c>
      <c r="F49" s="330">
        <v>9</v>
      </c>
      <c r="G49" s="320">
        <v>10</v>
      </c>
      <c r="H49" s="101">
        <v>25</v>
      </c>
      <c r="I49" s="101">
        <v>34</v>
      </c>
      <c r="J49" s="121">
        <v>55</v>
      </c>
      <c r="K49" s="121">
        <v>34</v>
      </c>
      <c r="L49" s="123">
        <v>73</v>
      </c>
      <c r="M49" s="474">
        <v>53</v>
      </c>
      <c r="N49" s="125">
        <v>46</v>
      </c>
      <c r="O49" s="125">
        <v>11</v>
      </c>
      <c r="P49" s="479">
        <v>7</v>
      </c>
      <c r="Q49" s="139">
        <f>AVERAGE(B49:P49)</f>
        <v>26.066666666666666</v>
      </c>
      <c r="R49" s="139">
        <f>MAX(B49:P49)</f>
        <v>73</v>
      </c>
      <c r="S49" s="139">
        <f>AVERAGE(H49:M49)</f>
        <v>45.666666666666664</v>
      </c>
    </row>
    <row r="50" spans="1:19" ht="15.5" x14ac:dyDescent="0.35">
      <c r="A50" s="149" t="s">
        <v>869</v>
      </c>
      <c r="B50" s="102">
        <v>15</v>
      </c>
      <c r="C50" s="330">
        <v>8</v>
      </c>
      <c r="D50" s="330">
        <v>4</v>
      </c>
      <c r="E50" s="330">
        <v>5</v>
      </c>
      <c r="F50" s="330">
        <v>10</v>
      </c>
      <c r="G50" s="320">
        <v>10</v>
      </c>
      <c r="H50" s="101">
        <v>26</v>
      </c>
      <c r="I50" s="101">
        <v>35</v>
      </c>
      <c r="J50" s="121">
        <v>60</v>
      </c>
      <c r="K50" s="121">
        <v>35</v>
      </c>
      <c r="L50" s="123">
        <v>72</v>
      </c>
      <c r="M50" s="474">
        <v>58</v>
      </c>
      <c r="N50" s="477">
        <v>46</v>
      </c>
      <c r="O50" s="477">
        <v>7</v>
      </c>
      <c r="P50" s="479">
        <v>6</v>
      </c>
      <c r="Q50" s="139">
        <f>AVERAGE(B50:P50)</f>
        <v>26.466666666666665</v>
      </c>
      <c r="R50" s="139">
        <f>MAX(B50:P50)</f>
        <v>72</v>
      </c>
      <c r="S50" s="139">
        <f>AVERAGE(H50:M50)</f>
        <v>47.666666666666664</v>
      </c>
    </row>
    <row r="51" spans="1:19" ht="15.5" x14ac:dyDescent="0.35">
      <c r="A51" s="149" t="s">
        <v>870</v>
      </c>
      <c r="B51" s="167">
        <v>7</v>
      </c>
      <c r="C51" s="188">
        <v>6</v>
      </c>
      <c r="D51" s="563">
        <v>5</v>
      </c>
      <c r="E51" s="563">
        <v>7</v>
      </c>
      <c r="F51" s="563">
        <v>23</v>
      </c>
      <c r="G51" s="168">
        <v>13</v>
      </c>
      <c r="H51" s="159">
        <v>34</v>
      </c>
      <c r="I51" s="159">
        <v>34</v>
      </c>
      <c r="J51" s="162">
        <v>63</v>
      </c>
      <c r="K51" s="162">
        <v>34</v>
      </c>
      <c r="L51" s="166">
        <v>73</v>
      </c>
      <c r="M51" s="474">
        <v>46</v>
      </c>
      <c r="N51" s="477">
        <v>51</v>
      </c>
      <c r="O51" s="477">
        <v>30</v>
      </c>
      <c r="P51" s="478">
        <v>5</v>
      </c>
      <c r="Q51" s="139">
        <f>AVERAGE(B51:P51)</f>
        <v>28.733333333333334</v>
      </c>
      <c r="R51" s="139">
        <f>MAX(B51:P51)</f>
        <v>73</v>
      </c>
      <c r="S51" s="139">
        <f>AVERAGE(H51:M51)</f>
        <v>47.333333333333336</v>
      </c>
    </row>
    <row r="52" spans="1:19" ht="14" x14ac:dyDescent="0.25">
      <c r="A52" s="584" t="s">
        <v>868</v>
      </c>
      <c r="B52">
        <f>AVERAGE(B50:B51)</f>
        <v>11</v>
      </c>
      <c r="C52">
        <f t="shared" ref="C52:P52" si="11">AVERAGE(C50:C51)</f>
        <v>7</v>
      </c>
      <c r="D52">
        <f t="shared" si="11"/>
        <v>4.5</v>
      </c>
      <c r="E52">
        <f t="shared" si="11"/>
        <v>6</v>
      </c>
      <c r="F52">
        <f t="shared" si="11"/>
        <v>16.5</v>
      </c>
      <c r="G52">
        <f t="shared" si="11"/>
        <v>11.5</v>
      </c>
      <c r="H52">
        <f t="shared" si="11"/>
        <v>30</v>
      </c>
      <c r="I52">
        <f t="shared" si="11"/>
        <v>34.5</v>
      </c>
      <c r="J52">
        <f t="shared" si="11"/>
        <v>61.5</v>
      </c>
      <c r="K52">
        <f t="shared" si="11"/>
        <v>34.5</v>
      </c>
      <c r="L52">
        <f t="shared" si="11"/>
        <v>72.5</v>
      </c>
      <c r="M52">
        <f t="shared" si="11"/>
        <v>52</v>
      </c>
      <c r="N52">
        <f t="shared" si="11"/>
        <v>48.5</v>
      </c>
      <c r="O52">
        <f t="shared" si="11"/>
        <v>18.5</v>
      </c>
      <c r="P52">
        <f t="shared" si="11"/>
        <v>5.5</v>
      </c>
    </row>
    <row r="53" spans="1:19" ht="15.5" x14ac:dyDescent="0.35">
      <c r="A53" s="788" t="s">
        <v>211</v>
      </c>
      <c r="B53" s="788"/>
      <c r="C53" s="788"/>
      <c r="D53" s="788"/>
      <c r="E53" s="788"/>
      <c r="F53" s="788"/>
      <c r="G53" s="788"/>
      <c r="H53" s="788"/>
      <c r="I53" s="788"/>
      <c r="J53" s="788"/>
      <c r="K53" s="788"/>
      <c r="L53" s="788"/>
      <c r="M53" s="788"/>
      <c r="N53" s="788"/>
      <c r="O53" s="788"/>
      <c r="P53" s="788"/>
    </row>
    <row r="54" spans="1:19" x14ac:dyDescent="0.3">
      <c r="A54" s="131"/>
      <c r="B54" s="131" t="s">
        <v>69</v>
      </c>
      <c r="C54" s="131" t="s">
        <v>70</v>
      </c>
      <c r="D54" s="131" t="s">
        <v>71</v>
      </c>
      <c r="E54" s="131" t="s">
        <v>72</v>
      </c>
      <c r="F54" s="131" t="s">
        <v>73</v>
      </c>
      <c r="G54" s="131" t="s">
        <v>74</v>
      </c>
      <c r="H54" s="131" t="s">
        <v>75</v>
      </c>
      <c r="I54" s="131" t="s">
        <v>76</v>
      </c>
      <c r="J54" s="131" t="s">
        <v>77</v>
      </c>
      <c r="K54" s="131" t="s">
        <v>78</v>
      </c>
      <c r="L54" s="131" t="s">
        <v>79</v>
      </c>
      <c r="M54" s="131" t="s">
        <v>80</v>
      </c>
    </row>
    <row r="55" spans="1:19" ht="14" x14ac:dyDescent="0.3">
      <c r="A55" s="148" t="s">
        <v>857</v>
      </c>
      <c r="B55" s="137">
        <f t="shared" ref="B55:G55" si="12">B47</f>
        <v>26</v>
      </c>
      <c r="C55" s="137">
        <f t="shared" si="12"/>
        <v>2</v>
      </c>
      <c r="D55" s="137">
        <f t="shared" si="12"/>
        <v>2</v>
      </c>
      <c r="E55" s="137">
        <f t="shared" si="12"/>
        <v>7</v>
      </c>
      <c r="F55" s="137">
        <f t="shared" si="12"/>
        <v>19</v>
      </c>
      <c r="G55" s="137">
        <f t="shared" si="12"/>
        <v>12</v>
      </c>
      <c r="H55" s="137">
        <f t="shared" ref="H55:H60" si="13">AVERAGE(H47:I47)</f>
        <v>45.5</v>
      </c>
      <c r="I55" s="137">
        <f t="shared" ref="I55:I60" si="14">AVERAGE(J47:K47)</f>
        <v>7.5</v>
      </c>
      <c r="J55" s="137">
        <f t="shared" ref="J55:J60" si="15">AVERAGE(L47:M47)</f>
        <v>30.5</v>
      </c>
      <c r="K55" s="137">
        <f t="shared" ref="K55:K60" si="16">N47</f>
        <v>8</v>
      </c>
      <c r="L55" s="137">
        <f t="shared" ref="L55:L59" si="17">O47</f>
        <v>2</v>
      </c>
      <c r="M55" s="137">
        <f t="shared" ref="M55:M60" si="18">P47</f>
        <v>6</v>
      </c>
    </row>
    <row r="56" spans="1:19" ht="14" x14ac:dyDescent="0.3">
      <c r="A56" s="148" t="s">
        <v>856</v>
      </c>
      <c r="B56" s="137">
        <f t="shared" ref="B56:G60" si="19">B48</f>
        <v>4</v>
      </c>
      <c r="C56" s="137">
        <f t="shared" si="19"/>
        <v>29</v>
      </c>
      <c r="D56" s="137">
        <f t="shared" si="19"/>
        <v>6</v>
      </c>
      <c r="E56" s="137">
        <f t="shared" si="19"/>
        <v>19</v>
      </c>
      <c r="F56" s="137">
        <f t="shared" si="19"/>
        <v>37</v>
      </c>
      <c r="G56" s="137">
        <f t="shared" si="19"/>
        <v>61</v>
      </c>
      <c r="H56" s="137">
        <f t="shared" si="13"/>
        <v>77.5</v>
      </c>
      <c r="I56" s="137">
        <f t="shared" si="14"/>
        <v>56.5</v>
      </c>
      <c r="J56" s="137">
        <f t="shared" si="15"/>
        <v>90</v>
      </c>
      <c r="K56" s="137">
        <f t="shared" si="16"/>
        <v>17</v>
      </c>
      <c r="L56" s="137">
        <f t="shared" si="17"/>
        <v>10</v>
      </c>
      <c r="M56" s="137">
        <f t="shared" si="18"/>
        <v>22</v>
      </c>
    </row>
    <row r="57" spans="1:19" ht="14" x14ac:dyDescent="0.3">
      <c r="A57" s="149" t="s">
        <v>858</v>
      </c>
      <c r="B57" s="137">
        <f t="shared" si="19"/>
        <v>8</v>
      </c>
      <c r="C57" s="137">
        <f t="shared" si="19"/>
        <v>12</v>
      </c>
      <c r="D57" s="137">
        <f t="shared" si="19"/>
        <v>5</v>
      </c>
      <c r="E57" s="137">
        <f t="shared" si="19"/>
        <v>9</v>
      </c>
      <c r="F57" s="137">
        <f t="shared" si="19"/>
        <v>9</v>
      </c>
      <c r="G57" s="137">
        <f t="shared" si="19"/>
        <v>10</v>
      </c>
      <c r="H57" s="137">
        <f t="shared" si="13"/>
        <v>29.5</v>
      </c>
      <c r="I57" s="137">
        <f t="shared" si="14"/>
        <v>44.5</v>
      </c>
      <c r="J57" s="137">
        <f t="shared" si="15"/>
        <v>63</v>
      </c>
      <c r="K57" s="137">
        <f t="shared" si="16"/>
        <v>46</v>
      </c>
      <c r="L57" s="137">
        <f t="shared" si="17"/>
        <v>11</v>
      </c>
      <c r="M57" s="137">
        <f t="shared" si="18"/>
        <v>7</v>
      </c>
    </row>
    <row r="58" spans="1:19" ht="14" x14ac:dyDescent="0.3">
      <c r="A58" s="146" t="s">
        <v>1093</v>
      </c>
      <c r="B58" s="137">
        <f t="shared" si="19"/>
        <v>15</v>
      </c>
      <c r="C58" s="137">
        <f t="shared" si="19"/>
        <v>8</v>
      </c>
      <c r="D58" s="137">
        <f t="shared" si="19"/>
        <v>4</v>
      </c>
      <c r="E58" s="137">
        <f t="shared" si="19"/>
        <v>5</v>
      </c>
      <c r="F58" s="137">
        <f t="shared" si="19"/>
        <v>10</v>
      </c>
      <c r="G58" s="137">
        <f t="shared" si="19"/>
        <v>10</v>
      </c>
      <c r="H58" s="137">
        <f t="shared" si="13"/>
        <v>30.5</v>
      </c>
      <c r="I58" s="137">
        <f t="shared" si="14"/>
        <v>47.5</v>
      </c>
      <c r="J58" s="137">
        <f t="shared" si="15"/>
        <v>65</v>
      </c>
      <c r="K58" s="137">
        <f t="shared" si="16"/>
        <v>46</v>
      </c>
      <c r="L58" s="137">
        <f t="shared" si="17"/>
        <v>7</v>
      </c>
      <c r="M58" s="137">
        <f t="shared" si="18"/>
        <v>6</v>
      </c>
    </row>
    <row r="59" spans="1:19" ht="14" x14ac:dyDescent="0.3">
      <c r="A59" s="146" t="s">
        <v>1094</v>
      </c>
      <c r="B59" s="137">
        <f t="shared" si="19"/>
        <v>7</v>
      </c>
      <c r="C59" s="137">
        <f t="shared" si="19"/>
        <v>6</v>
      </c>
      <c r="D59" s="137">
        <f t="shared" si="19"/>
        <v>5</v>
      </c>
      <c r="E59" s="137">
        <f t="shared" si="19"/>
        <v>7</v>
      </c>
      <c r="F59" s="137">
        <f t="shared" si="19"/>
        <v>23</v>
      </c>
      <c r="G59" s="137">
        <f t="shared" si="19"/>
        <v>13</v>
      </c>
      <c r="H59" s="137">
        <f t="shared" si="13"/>
        <v>34</v>
      </c>
      <c r="I59" s="137">
        <f t="shared" si="14"/>
        <v>48.5</v>
      </c>
      <c r="J59" s="137">
        <f t="shared" si="15"/>
        <v>59.5</v>
      </c>
      <c r="K59" s="137">
        <f t="shared" si="16"/>
        <v>51</v>
      </c>
      <c r="L59" s="137">
        <f t="shared" si="17"/>
        <v>30</v>
      </c>
      <c r="M59" s="137">
        <f t="shared" si="18"/>
        <v>5</v>
      </c>
    </row>
    <row r="60" spans="1:19" ht="14" x14ac:dyDescent="0.3">
      <c r="A60" s="584" t="s">
        <v>868</v>
      </c>
      <c r="B60" s="137">
        <f t="shared" si="19"/>
        <v>11</v>
      </c>
      <c r="C60" s="137">
        <f t="shared" si="19"/>
        <v>7</v>
      </c>
      <c r="D60" s="137">
        <f t="shared" si="19"/>
        <v>4.5</v>
      </c>
      <c r="E60" s="137">
        <f t="shared" si="19"/>
        <v>6</v>
      </c>
      <c r="F60" s="137">
        <f t="shared" si="19"/>
        <v>16.5</v>
      </c>
      <c r="G60" s="137">
        <f t="shared" si="19"/>
        <v>11.5</v>
      </c>
      <c r="H60" s="137">
        <f t="shared" si="13"/>
        <v>32.25</v>
      </c>
      <c r="I60" s="137">
        <f t="shared" si="14"/>
        <v>48</v>
      </c>
      <c r="J60" s="137">
        <f t="shared" si="15"/>
        <v>62.25</v>
      </c>
      <c r="K60" s="137">
        <f t="shared" si="16"/>
        <v>48.5</v>
      </c>
      <c r="L60" s="137">
        <f t="shared" ref="L60" si="20">O52</f>
        <v>18.5</v>
      </c>
      <c r="M60" s="137">
        <f t="shared" si="18"/>
        <v>5.5</v>
      </c>
    </row>
  </sheetData>
  <mergeCells count="7">
    <mergeCell ref="A45:P45"/>
    <mergeCell ref="A53:P53"/>
    <mergeCell ref="A1:P1"/>
    <mergeCell ref="A2:P2"/>
    <mergeCell ref="B11:F11"/>
    <mergeCell ref="B12:F12"/>
    <mergeCell ref="A13:M13"/>
  </mergeCells>
  <phoneticPr fontId="0" type="noConversion"/>
  <pageMargins left="0.75" right="0.75" top="1" bottom="1" header="0.5" footer="0.5"/>
  <pageSetup orientation="landscape" horizontalDpi="4294967294"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
    <pageSetUpPr fitToPage="1"/>
  </sheetPr>
  <dimension ref="A1:U33"/>
  <sheetViews>
    <sheetView topLeftCell="E7" zoomScale="75" zoomScaleNormal="75" workbookViewId="0">
      <selection activeCell="Q25" sqref="Q25:S25"/>
    </sheetView>
  </sheetViews>
  <sheetFormatPr defaultColWidth="9.08984375" defaultRowHeight="13" x14ac:dyDescent="0.3"/>
  <cols>
    <col min="1" max="1" width="36.453125" style="1" customWidth="1"/>
    <col min="2" max="2" width="17.453125" style="11" bestFit="1" customWidth="1"/>
    <col min="3" max="3" width="12.36328125" style="11" bestFit="1" customWidth="1"/>
    <col min="4" max="4" width="12.453125" style="11" bestFit="1" customWidth="1"/>
    <col min="5" max="5" width="13.453125" style="11" customWidth="1"/>
    <col min="6" max="6" width="12.6328125" style="11" bestFit="1" customWidth="1"/>
    <col min="7" max="7" width="12.08984375" style="11" customWidth="1"/>
    <col min="8" max="8" width="12.6328125" style="11" bestFit="1" customWidth="1"/>
    <col min="9" max="9" width="12.08984375" style="11" bestFit="1" customWidth="1"/>
    <col min="10" max="10" width="11.6328125" style="11" bestFit="1" customWidth="1"/>
    <col min="11" max="11" width="11.6328125" style="11" customWidth="1"/>
    <col min="12" max="12" width="12.453125" style="11" bestFit="1" customWidth="1"/>
    <col min="13" max="13" width="11.08984375" style="11" bestFit="1" customWidth="1"/>
    <col min="14" max="14" width="12.453125" style="11" bestFit="1" customWidth="1"/>
    <col min="15" max="15" width="9.453125" style="11" bestFit="1" customWidth="1"/>
    <col min="16" max="16" width="9.36328125" style="11" bestFit="1" customWidth="1"/>
    <col min="17" max="17" width="12" style="11" customWidth="1"/>
    <col min="18" max="18" width="9.6328125" style="11" bestFit="1" customWidth="1"/>
    <col min="19" max="19" width="13" style="11" customWidth="1"/>
    <col min="20" max="20" width="11.54296875" style="11" bestFit="1" customWidth="1"/>
    <col min="21" max="22" width="11.08984375" style="11" bestFit="1" customWidth="1"/>
    <col min="23" max="23" width="9.90625" style="11" bestFit="1" customWidth="1"/>
    <col min="24" max="24" width="10.36328125" style="11" bestFit="1" customWidth="1"/>
    <col min="25" max="25" width="10.90625" style="11" bestFit="1" customWidth="1"/>
    <col min="26" max="26" width="11.08984375" style="11" bestFit="1" customWidth="1"/>
    <col min="27" max="27" width="11" style="11" customWidth="1"/>
    <col min="28" max="28" width="11.453125" style="11" customWidth="1"/>
    <col min="29" max="29" width="11.90625" style="11" customWidth="1"/>
    <col min="30" max="30" width="11.36328125" style="11" customWidth="1"/>
    <col min="31" max="31" width="10.90625" style="11" bestFit="1" customWidth="1"/>
    <col min="32" max="16384" width="9.08984375" style="11"/>
  </cols>
  <sheetData>
    <row r="1" spans="1:21" x14ac:dyDescent="0.3">
      <c r="A1" s="791" t="s">
        <v>3</v>
      </c>
      <c r="B1" s="791"/>
      <c r="C1" s="791"/>
      <c r="D1" s="791"/>
      <c r="E1" s="791"/>
      <c r="F1" s="791"/>
      <c r="G1" s="791"/>
      <c r="H1" s="791"/>
      <c r="I1" s="791"/>
      <c r="J1" s="791"/>
      <c r="K1" s="791"/>
      <c r="L1" s="791"/>
      <c r="M1" s="791"/>
      <c r="N1" s="791"/>
      <c r="O1" s="791"/>
      <c r="P1" s="791"/>
      <c r="Q1" s="791"/>
    </row>
    <row r="3" spans="1:21" x14ac:dyDescent="0.3">
      <c r="B3" s="818" t="s">
        <v>134</v>
      </c>
      <c r="C3" s="818"/>
      <c r="D3" s="818"/>
      <c r="E3" s="818"/>
      <c r="F3" s="818"/>
      <c r="G3" s="818"/>
      <c r="H3" s="818"/>
      <c r="I3" s="818"/>
      <c r="J3" s="818"/>
      <c r="K3" s="818"/>
      <c r="L3" s="818"/>
      <c r="M3" s="818"/>
      <c r="N3" s="818"/>
    </row>
    <row r="4" spans="1:21" ht="28" x14ac:dyDescent="0.3">
      <c r="A4" s="147"/>
      <c r="B4" s="580">
        <v>40921</v>
      </c>
      <c r="C4" s="580">
        <v>40949</v>
      </c>
      <c r="D4" s="580">
        <v>40994</v>
      </c>
      <c r="E4" s="580">
        <v>41022</v>
      </c>
      <c r="F4" s="580">
        <v>41050</v>
      </c>
      <c r="G4" s="580">
        <v>41086</v>
      </c>
      <c r="H4" s="580">
        <v>41099</v>
      </c>
      <c r="I4" s="580">
        <v>41113</v>
      </c>
      <c r="J4" s="580">
        <v>41127</v>
      </c>
      <c r="K4" s="580">
        <v>41148</v>
      </c>
      <c r="L4" s="580">
        <v>41162</v>
      </c>
      <c r="M4" s="580">
        <v>41177</v>
      </c>
      <c r="N4" s="579">
        <v>41204</v>
      </c>
      <c r="O4" s="580">
        <v>41239</v>
      </c>
      <c r="P4" s="580">
        <v>41257</v>
      </c>
      <c r="Q4" s="135" t="s">
        <v>91</v>
      </c>
      <c r="R4" s="133" t="s">
        <v>83</v>
      </c>
      <c r="S4" s="135" t="s">
        <v>109</v>
      </c>
      <c r="T4" s="135" t="s">
        <v>124</v>
      </c>
      <c r="U4" s="135" t="s">
        <v>125</v>
      </c>
    </row>
    <row r="5" spans="1:21" ht="14" x14ac:dyDescent="0.3">
      <c r="A5" s="148" t="s">
        <v>857</v>
      </c>
      <c r="B5" s="473">
        <v>858</v>
      </c>
      <c r="C5" s="474">
        <v>438</v>
      </c>
      <c r="D5" s="474">
        <v>217</v>
      </c>
      <c r="E5" s="474">
        <v>164</v>
      </c>
      <c r="F5" s="474">
        <v>287</v>
      </c>
      <c r="G5" s="125">
        <v>233</v>
      </c>
      <c r="H5" s="473">
        <v>212</v>
      </c>
      <c r="I5" s="473">
        <v>177</v>
      </c>
      <c r="J5" s="476">
        <v>583</v>
      </c>
      <c r="K5" s="476">
        <v>725</v>
      </c>
      <c r="L5" s="125">
        <v>824</v>
      </c>
      <c r="M5" s="137">
        <v>117</v>
      </c>
      <c r="N5" s="137">
        <v>441</v>
      </c>
      <c r="O5" s="581">
        <v>679</v>
      </c>
      <c r="P5" s="581">
        <v>726</v>
      </c>
      <c r="Q5" s="145">
        <f>AVERAGE(B5:P5)</f>
        <v>445.4</v>
      </c>
      <c r="R5" s="145">
        <f>MAX(B5:P5)</f>
        <v>858</v>
      </c>
      <c r="S5" s="145">
        <f>AVERAGE(H5:M5)</f>
        <v>439.66666666666669</v>
      </c>
      <c r="T5" s="145">
        <f>AVERAGE(B8:P9)</f>
        <v>133.5</v>
      </c>
      <c r="U5" s="145">
        <f>AVERAGE(H8:M9)</f>
        <v>31.75</v>
      </c>
    </row>
    <row r="6" spans="1:21" ht="14" x14ac:dyDescent="0.3">
      <c r="A6" s="148" t="s">
        <v>856</v>
      </c>
      <c r="B6" s="583">
        <v>526</v>
      </c>
      <c r="C6" s="474">
        <v>904</v>
      </c>
      <c r="D6" s="474">
        <v>726</v>
      </c>
      <c r="E6" s="474">
        <v>1219</v>
      </c>
      <c r="F6" s="474">
        <v>1133</v>
      </c>
      <c r="G6" s="125">
        <v>233</v>
      </c>
      <c r="H6" s="473">
        <v>331</v>
      </c>
      <c r="I6" s="473">
        <v>1041</v>
      </c>
      <c r="J6" s="476">
        <v>585</v>
      </c>
      <c r="K6" s="476">
        <v>668</v>
      </c>
      <c r="L6" s="125">
        <v>2063</v>
      </c>
      <c r="M6" s="137">
        <v>2448</v>
      </c>
      <c r="N6" s="137">
        <v>417</v>
      </c>
      <c r="O6" s="581">
        <v>1884</v>
      </c>
      <c r="P6" s="581">
        <v>1195</v>
      </c>
      <c r="Q6" s="145">
        <f t="shared" ref="Q6:Q8" si="0">AVERAGE(B6:P6)</f>
        <v>1024.8666666666666</v>
      </c>
      <c r="R6" s="145">
        <f t="shared" ref="R6:R9" si="1">MAX(B6:P6)</f>
        <v>2448</v>
      </c>
      <c r="S6" s="145">
        <f t="shared" ref="S6:S10" si="2">AVERAGE(H6:M6)</f>
        <v>1189.3333333333333</v>
      </c>
      <c r="T6" s="138"/>
      <c r="U6" s="138"/>
    </row>
    <row r="7" spans="1:21" ht="14" x14ac:dyDescent="0.3">
      <c r="A7" s="149" t="s">
        <v>858</v>
      </c>
      <c r="B7" s="473">
        <v>482</v>
      </c>
      <c r="C7" s="474">
        <v>704</v>
      </c>
      <c r="D7" s="474">
        <v>356</v>
      </c>
      <c r="E7" s="474">
        <v>214</v>
      </c>
      <c r="F7" s="474">
        <v>163</v>
      </c>
      <c r="G7" s="125">
        <v>21</v>
      </c>
      <c r="H7" s="473">
        <v>51</v>
      </c>
      <c r="I7" s="473">
        <v>13</v>
      </c>
      <c r="J7" s="476">
        <v>29</v>
      </c>
      <c r="K7" s="476">
        <v>112</v>
      </c>
      <c r="L7" s="125">
        <v>112</v>
      </c>
      <c r="M7" s="137">
        <v>59</v>
      </c>
      <c r="N7" s="137">
        <v>52</v>
      </c>
      <c r="O7" s="581">
        <v>66</v>
      </c>
      <c r="P7" s="581">
        <v>72</v>
      </c>
      <c r="Q7" s="145">
        <f t="shared" si="0"/>
        <v>167.06666666666666</v>
      </c>
      <c r="R7" s="145">
        <f t="shared" si="1"/>
        <v>704</v>
      </c>
      <c r="S7" s="145">
        <f t="shared" si="2"/>
        <v>62.666666666666664</v>
      </c>
      <c r="T7" s="138"/>
      <c r="U7" s="138"/>
    </row>
    <row r="8" spans="1:21" ht="14" x14ac:dyDescent="0.3">
      <c r="A8" s="149" t="s">
        <v>214</v>
      </c>
      <c r="B8" s="473">
        <v>606</v>
      </c>
      <c r="C8" s="475">
        <v>704</v>
      </c>
      <c r="D8" s="474">
        <v>370</v>
      </c>
      <c r="E8" s="474">
        <v>224</v>
      </c>
      <c r="F8" s="474">
        <v>170</v>
      </c>
      <c r="G8" s="125">
        <v>21</v>
      </c>
      <c r="H8" s="473">
        <v>43</v>
      </c>
      <c r="I8" s="473">
        <v>7</v>
      </c>
      <c r="J8" s="476">
        <v>26</v>
      </c>
      <c r="K8" s="476">
        <v>22</v>
      </c>
      <c r="L8" s="125">
        <v>32</v>
      </c>
      <c r="M8" s="137">
        <v>47</v>
      </c>
      <c r="N8" s="137">
        <v>49</v>
      </c>
      <c r="O8" s="581">
        <v>66</v>
      </c>
      <c r="P8" s="581">
        <v>91</v>
      </c>
      <c r="Q8" s="145">
        <f t="shared" si="0"/>
        <v>165.2</v>
      </c>
      <c r="R8" s="145">
        <f t="shared" si="1"/>
        <v>704</v>
      </c>
      <c r="S8" s="145">
        <f t="shared" si="2"/>
        <v>29.5</v>
      </c>
      <c r="T8" s="138"/>
      <c r="U8" s="138"/>
    </row>
    <row r="9" spans="1:21" ht="14" x14ac:dyDescent="0.3">
      <c r="A9" s="149" t="s">
        <v>215</v>
      </c>
      <c r="B9" s="473">
        <v>179</v>
      </c>
      <c r="C9" s="474">
        <v>297</v>
      </c>
      <c r="D9" s="474">
        <v>339</v>
      </c>
      <c r="E9" s="474">
        <v>205</v>
      </c>
      <c r="F9" s="474">
        <v>114</v>
      </c>
      <c r="G9" s="475">
        <v>18</v>
      </c>
      <c r="H9" s="473">
        <v>70</v>
      </c>
      <c r="I9" s="473">
        <v>10</v>
      </c>
      <c r="J9" s="476">
        <v>26</v>
      </c>
      <c r="K9" s="476">
        <v>30</v>
      </c>
      <c r="L9" s="125">
        <v>30</v>
      </c>
      <c r="M9" s="137">
        <v>38</v>
      </c>
      <c r="N9" s="137">
        <v>41</v>
      </c>
      <c r="O9" s="581">
        <v>63</v>
      </c>
      <c r="P9" s="581">
        <v>67</v>
      </c>
      <c r="Q9" s="145">
        <f>AVERAGE(A9:P9)</f>
        <v>101.8</v>
      </c>
      <c r="R9" s="145">
        <f t="shared" si="1"/>
        <v>339</v>
      </c>
      <c r="S9" s="145">
        <f t="shared" si="2"/>
        <v>34</v>
      </c>
      <c r="T9" s="138"/>
      <c r="U9" s="138"/>
    </row>
    <row r="10" spans="1:21" ht="14" x14ac:dyDescent="0.3">
      <c r="A10" s="149" t="s">
        <v>862</v>
      </c>
      <c r="B10" s="473">
        <f>AVERAGE(B8:B9)</f>
        <v>392.5</v>
      </c>
      <c r="C10" s="473">
        <f t="shared" ref="C10:P10" si="3">AVERAGE(C8:C9)</f>
        <v>500.5</v>
      </c>
      <c r="D10" s="473">
        <f t="shared" si="3"/>
        <v>354.5</v>
      </c>
      <c r="E10" s="473">
        <f t="shared" si="3"/>
        <v>214.5</v>
      </c>
      <c r="F10" s="473">
        <f t="shared" si="3"/>
        <v>142</v>
      </c>
      <c r="G10" s="473">
        <f t="shared" si="3"/>
        <v>19.5</v>
      </c>
      <c r="H10" s="473">
        <f t="shared" si="3"/>
        <v>56.5</v>
      </c>
      <c r="I10" s="473">
        <f t="shared" si="3"/>
        <v>8.5</v>
      </c>
      <c r="J10" s="473">
        <f t="shared" si="3"/>
        <v>26</v>
      </c>
      <c r="K10" s="473">
        <f t="shared" si="3"/>
        <v>26</v>
      </c>
      <c r="L10" s="473">
        <f t="shared" si="3"/>
        <v>31</v>
      </c>
      <c r="M10" s="473">
        <f t="shared" si="3"/>
        <v>42.5</v>
      </c>
      <c r="N10" s="473">
        <f t="shared" si="3"/>
        <v>45</v>
      </c>
      <c r="O10" s="473">
        <f t="shared" si="3"/>
        <v>64.5</v>
      </c>
      <c r="P10" s="473">
        <f t="shared" si="3"/>
        <v>79</v>
      </c>
      <c r="Q10" s="145">
        <f>AVERAGE(A10:P10)</f>
        <v>133.5</v>
      </c>
      <c r="R10" s="145"/>
      <c r="S10" s="145">
        <f t="shared" si="2"/>
        <v>31.75</v>
      </c>
      <c r="T10" s="138"/>
      <c r="U10" s="138"/>
    </row>
    <row r="11" spans="1:21" ht="14" x14ac:dyDescent="0.3">
      <c r="A11" s="584"/>
      <c r="B11" s="585"/>
      <c r="C11" s="585"/>
      <c r="D11" s="585"/>
      <c r="E11" s="585"/>
      <c r="F11" s="585"/>
      <c r="G11" s="585"/>
      <c r="H11" s="585"/>
      <c r="I11" s="585"/>
      <c r="J11" s="585"/>
      <c r="K11" s="585"/>
      <c r="L11" s="585"/>
      <c r="M11" s="585"/>
      <c r="N11" s="585"/>
      <c r="O11" s="585"/>
      <c r="P11" s="585"/>
      <c r="Q11" s="618"/>
      <c r="R11" s="618"/>
      <c r="S11" s="618"/>
      <c r="T11" s="138"/>
      <c r="U11" s="138"/>
    </row>
    <row r="12" spans="1:21" ht="14" x14ac:dyDescent="0.3">
      <c r="A12" s="584"/>
      <c r="B12" s="621" t="s">
        <v>69</v>
      </c>
      <c r="C12" s="621" t="s">
        <v>70</v>
      </c>
      <c r="D12" s="621" t="s">
        <v>71</v>
      </c>
      <c r="E12" s="621" t="s">
        <v>72</v>
      </c>
      <c r="F12" s="621" t="s">
        <v>73</v>
      </c>
      <c r="G12" s="621" t="s">
        <v>74</v>
      </c>
      <c r="H12" s="621" t="s">
        <v>75</v>
      </c>
      <c r="I12" s="621" t="s">
        <v>76</v>
      </c>
      <c r="J12" s="621" t="s">
        <v>77</v>
      </c>
      <c r="K12" s="621" t="s">
        <v>78</v>
      </c>
      <c r="L12" s="621" t="s">
        <v>79</v>
      </c>
      <c r="M12" s="621" t="s">
        <v>80</v>
      </c>
      <c r="N12" s="585"/>
      <c r="O12" s="585"/>
      <c r="P12" s="585"/>
      <c r="Q12" s="618"/>
      <c r="R12" s="618"/>
      <c r="S12" s="618"/>
      <c r="T12" s="138"/>
      <c r="U12" s="138"/>
    </row>
    <row r="13" spans="1:21" ht="14" x14ac:dyDescent="0.3">
      <c r="A13" s="619" t="s">
        <v>857</v>
      </c>
      <c r="B13" s="473">
        <f>B5</f>
        <v>858</v>
      </c>
      <c r="C13" s="473">
        <f t="shared" ref="C13:G13" si="4">C5</f>
        <v>438</v>
      </c>
      <c r="D13" s="473">
        <f t="shared" si="4"/>
        <v>217</v>
      </c>
      <c r="E13" s="473">
        <f t="shared" si="4"/>
        <v>164</v>
      </c>
      <c r="F13" s="473">
        <f t="shared" si="4"/>
        <v>287</v>
      </c>
      <c r="G13" s="473">
        <f t="shared" si="4"/>
        <v>233</v>
      </c>
      <c r="H13" s="473">
        <f>(H5+I5)/2</f>
        <v>194.5</v>
      </c>
      <c r="I13" s="473">
        <f>(J5+K5)/2</f>
        <v>654</v>
      </c>
      <c r="J13" s="473">
        <f>(L5+M5)/2</f>
        <v>470.5</v>
      </c>
      <c r="K13" s="476">
        <f>N5</f>
        <v>441</v>
      </c>
      <c r="L13" s="476">
        <f t="shared" ref="L13:M18" si="5">O5</f>
        <v>679</v>
      </c>
      <c r="M13" s="476">
        <f t="shared" si="5"/>
        <v>726</v>
      </c>
      <c r="N13" s="585"/>
      <c r="O13" s="585"/>
      <c r="P13" s="585"/>
      <c r="Q13" s="618"/>
      <c r="R13" s="618"/>
      <c r="S13" s="618"/>
      <c r="T13" s="138"/>
      <c r="U13" s="138"/>
    </row>
    <row r="14" spans="1:21" ht="14" x14ac:dyDescent="0.3">
      <c r="A14" s="619" t="s">
        <v>856</v>
      </c>
      <c r="B14" s="473">
        <f t="shared" ref="B14:G18" si="6">B6</f>
        <v>526</v>
      </c>
      <c r="C14" s="473">
        <f t="shared" si="6"/>
        <v>904</v>
      </c>
      <c r="D14" s="473">
        <f t="shared" si="6"/>
        <v>726</v>
      </c>
      <c r="E14" s="473">
        <f t="shared" si="6"/>
        <v>1219</v>
      </c>
      <c r="F14" s="473">
        <f t="shared" si="6"/>
        <v>1133</v>
      </c>
      <c r="G14" s="473">
        <f t="shared" si="6"/>
        <v>233</v>
      </c>
      <c r="H14" s="473">
        <f t="shared" ref="H14:H18" si="7">(H6+I6)/2</f>
        <v>686</v>
      </c>
      <c r="I14" s="473">
        <f t="shared" ref="I14:I18" si="8">(J6+K6)/2</f>
        <v>626.5</v>
      </c>
      <c r="J14" s="473">
        <f t="shared" ref="J14:J18" si="9">(L6+M6)/2</f>
        <v>2255.5</v>
      </c>
      <c r="K14" s="476">
        <f t="shared" ref="K14:K18" si="10">N6</f>
        <v>417</v>
      </c>
      <c r="L14" s="476">
        <f t="shared" si="5"/>
        <v>1884</v>
      </c>
      <c r="M14" s="476">
        <f t="shared" si="5"/>
        <v>1195</v>
      </c>
      <c r="N14" s="585"/>
      <c r="O14" s="585"/>
      <c r="P14" s="585"/>
      <c r="Q14" s="618"/>
      <c r="R14" s="618"/>
      <c r="S14" s="618"/>
      <c r="T14" s="138"/>
      <c r="U14" s="138"/>
    </row>
    <row r="15" spans="1:21" ht="14" x14ac:dyDescent="0.3">
      <c r="A15" s="620" t="s">
        <v>858</v>
      </c>
      <c r="B15" s="473">
        <f t="shared" si="6"/>
        <v>482</v>
      </c>
      <c r="C15" s="473">
        <f t="shared" si="6"/>
        <v>704</v>
      </c>
      <c r="D15" s="473">
        <f t="shared" si="6"/>
        <v>356</v>
      </c>
      <c r="E15" s="473">
        <f t="shared" si="6"/>
        <v>214</v>
      </c>
      <c r="F15" s="473">
        <f t="shared" si="6"/>
        <v>163</v>
      </c>
      <c r="G15" s="473">
        <f t="shared" si="6"/>
        <v>21</v>
      </c>
      <c r="H15" s="473">
        <f t="shared" si="7"/>
        <v>32</v>
      </c>
      <c r="I15" s="473">
        <f t="shared" si="8"/>
        <v>70.5</v>
      </c>
      <c r="J15" s="473">
        <f t="shared" si="9"/>
        <v>85.5</v>
      </c>
      <c r="K15" s="476">
        <f t="shared" si="10"/>
        <v>52</v>
      </c>
      <c r="L15" s="476">
        <f t="shared" si="5"/>
        <v>66</v>
      </c>
      <c r="M15" s="476">
        <f t="shared" si="5"/>
        <v>72</v>
      </c>
      <c r="N15" s="585"/>
      <c r="O15" s="585"/>
      <c r="P15" s="585"/>
      <c r="Q15" s="618"/>
      <c r="R15" s="618"/>
      <c r="S15" s="618"/>
      <c r="T15" s="138"/>
      <c r="U15" s="138"/>
    </row>
    <row r="16" spans="1:21" ht="14" x14ac:dyDescent="0.3">
      <c r="A16" s="620" t="s">
        <v>214</v>
      </c>
      <c r="B16" s="473">
        <f t="shared" si="6"/>
        <v>606</v>
      </c>
      <c r="C16" s="473">
        <f t="shared" si="6"/>
        <v>704</v>
      </c>
      <c r="D16" s="473">
        <f t="shared" si="6"/>
        <v>370</v>
      </c>
      <c r="E16" s="473">
        <f t="shared" si="6"/>
        <v>224</v>
      </c>
      <c r="F16" s="473">
        <f t="shared" si="6"/>
        <v>170</v>
      </c>
      <c r="G16" s="473">
        <f t="shared" si="6"/>
        <v>21</v>
      </c>
      <c r="H16" s="473">
        <f t="shared" si="7"/>
        <v>25</v>
      </c>
      <c r="I16" s="473">
        <f t="shared" si="8"/>
        <v>24</v>
      </c>
      <c r="J16" s="473">
        <f t="shared" si="9"/>
        <v>39.5</v>
      </c>
      <c r="K16" s="476">
        <f t="shared" si="10"/>
        <v>49</v>
      </c>
      <c r="L16" s="476">
        <f t="shared" si="5"/>
        <v>66</v>
      </c>
      <c r="M16" s="476">
        <f t="shared" si="5"/>
        <v>91</v>
      </c>
      <c r="N16" s="585"/>
      <c r="O16" s="585"/>
      <c r="P16" s="585"/>
      <c r="Q16" s="618"/>
      <c r="R16" s="618"/>
      <c r="S16" s="618"/>
      <c r="T16" s="138"/>
      <c r="U16" s="138"/>
    </row>
    <row r="17" spans="1:21" ht="14" x14ac:dyDescent="0.3">
      <c r="A17" s="620" t="s">
        <v>215</v>
      </c>
      <c r="B17" s="473">
        <f t="shared" si="6"/>
        <v>179</v>
      </c>
      <c r="C17" s="473">
        <f t="shared" si="6"/>
        <v>297</v>
      </c>
      <c r="D17" s="473">
        <f t="shared" si="6"/>
        <v>339</v>
      </c>
      <c r="E17" s="473">
        <f t="shared" si="6"/>
        <v>205</v>
      </c>
      <c r="F17" s="473">
        <f t="shared" si="6"/>
        <v>114</v>
      </c>
      <c r="G17" s="473">
        <f t="shared" si="6"/>
        <v>18</v>
      </c>
      <c r="H17" s="473">
        <f t="shared" si="7"/>
        <v>40</v>
      </c>
      <c r="I17" s="473">
        <f t="shared" si="8"/>
        <v>28</v>
      </c>
      <c r="J17" s="473">
        <f t="shared" si="9"/>
        <v>34</v>
      </c>
      <c r="K17" s="476">
        <f t="shared" si="10"/>
        <v>41</v>
      </c>
      <c r="L17" s="476">
        <f t="shared" si="5"/>
        <v>63</v>
      </c>
      <c r="M17" s="476">
        <f t="shared" si="5"/>
        <v>67</v>
      </c>
      <c r="N17" s="585"/>
      <c r="O17" s="585"/>
      <c r="P17" s="585"/>
      <c r="Q17" s="618"/>
      <c r="R17" s="618"/>
      <c r="S17" s="618"/>
      <c r="T17" s="138"/>
      <c r="U17" s="138"/>
    </row>
    <row r="18" spans="1:21" ht="14" x14ac:dyDescent="0.3">
      <c r="A18" s="620" t="s">
        <v>862</v>
      </c>
      <c r="B18" s="473">
        <f t="shared" si="6"/>
        <v>392.5</v>
      </c>
      <c r="C18" s="473">
        <f t="shared" si="6"/>
        <v>500.5</v>
      </c>
      <c r="D18" s="473">
        <f t="shared" si="6"/>
        <v>354.5</v>
      </c>
      <c r="E18" s="473">
        <f t="shared" si="6"/>
        <v>214.5</v>
      </c>
      <c r="F18" s="473">
        <f t="shared" si="6"/>
        <v>142</v>
      </c>
      <c r="G18" s="473">
        <f t="shared" si="6"/>
        <v>19.5</v>
      </c>
      <c r="H18" s="473">
        <f t="shared" si="7"/>
        <v>32.5</v>
      </c>
      <c r="I18" s="473">
        <f t="shared" si="8"/>
        <v>26</v>
      </c>
      <c r="J18" s="473">
        <f t="shared" si="9"/>
        <v>36.75</v>
      </c>
      <c r="K18" s="476">
        <f t="shared" si="10"/>
        <v>45</v>
      </c>
      <c r="L18" s="476">
        <f t="shared" si="5"/>
        <v>64.5</v>
      </c>
      <c r="M18" s="476">
        <f t="shared" si="5"/>
        <v>79</v>
      </c>
      <c r="N18" s="585"/>
      <c r="O18" s="585"/>
      <c r="P18" s="585"/>
      <c r="Q18" s="618"/>
      <c r="R18" s="618"/>
      <c r="S18" s="618"/>
      <c r="T18" s="138"/>
      <c r="U18" s="138"/>
    </row>
    <row r="19" spans="1:21" ht="28" x14ac:dyDescent="0.3">
      <c r="G19" s="1" t="s">
        <v>210</v>
      </c>
      <c r="Q19" s="135" t="s">
        <v>91</v>
      </c>
      <c r="R19" s="133" t="s">
        <v>83</v>
      </c>
      <c r="S19" s="135" t="s">
        <v>109</v>
      </c>
      <c r="T19" s="135" t="s">
        <v>124</v>
      </c>
      <c r="U19" s="135" t="s">
        <v>125</v>
      </c>
    </row>
    <row r="20" spans="1:21" ht="14" x14ac:dyDescent="0.3">
      <c r="A20" s="148" t="s">
        <v>857</v>
      </c>
      <c r="B20" s="473">
        <v>938</v>
      </c>
      <c r="C20" s="474">
        <v>579</v>
      </c>
      <c r="D20" s="474">
        <v>389</v>
      </c>
      <c r="E20" s="474">
        <v>323</v>
      </c>
      <c r="F20" s="474">
        <v>627</v>
      </c>
      <c r="G20" s="125">
        <v>595</v>
      </c>
      <c r="H20" s="473">
        <v>740</v>
      </c>
      <c r="I20" s="473">
        <v>484</v>
      </c>
      <c r="J20" s="476">
        <v>891</v>
      </c>
      <c r="K20" s="476">
        <v>893</v>
      </c>
      <c r="L20" s="125">
        <v>984</v>
      </c>
      <c r="M20" s="137">
        <v>489</v>
      </c>
      <c r="N20" s="137">
        <v>648</v>
      </c>
      <c r="O20" s="581">
        <v>872</v>
      </c>
      <c r="P20" s="581">
        <v>1016</v>
      </c>
      <c r="Q20" s="145">
        <f>AVERAGE(B20:P20)</f>
        <v>697.86666666666667</v>
      </c>
      <c r="R20" s="145">
        <f>MAX(B20:P20)</f>
        <v>1016</v>
      </c>
      <c r="S20" s="145">
        <f>AVERAGE(H20:M20)</f>
        <v>746.83333333333337</v>
      </c>
      <c r="T20" s="145">
        <f>AVERAGE(B23:P24)</f>
        <v>670.2</v>
      </c>
      <c r="U20" s="145">
        <f>AVERAGE(H23:M24)</f>
        <v>646.58333333333337</v>
      </c>
    </row>
    <row r="21" spans="1:21" ht="14" x14ac:dyDescent="0.3">
      <c r="A21" s="148" t="s">
        <v>856</v>
      </c>
      <c r="B21" s="582">
        <v>623</v>
      </c>
      <c r="C21" s="474">
        <v>1115</v>
      </c>
      <c r="D21" s="474">
        <v>1015</v>
      </c>
      <c r="E21" s="474">
        <v>1494</v>
      </c>
      <c r="F21" s="474">
        <v>1487</v>
      </c>
      <c r="G21" s="125">
        <v>1888</v>
      </c>
      <c r="H21" s="473">
        <v>1113</v>
      </c>
      <c r="I21" s="473">
        <v>1262</v>
      </c>
      <c r="J21" s="476">
        <v>1020</v>
      </c>
      <c r="K21" s="476">
        <v>998</v>
      </c>
      <c r="L21" s="125">
        <v>2356</v>
      </c>
      <c r="M21" s="137">
        <v>3302</v>
      </c>
      <c r="N21" s="137">
        <v>640</v>
      </c>
      <c r="O21" s="581">
        <v>2125</v>
      </c>
      <c r="P21" s="581">
        <v>2318</v>
      </c>
      <c r="Q21" s="145">
        <f t="shared" ref="Q21:Q24" si="11">AVERAGE(B21:P21)</f>
        <v>1517.0666666666666</v>
      </c>
      <c r="R21" s="145">
        <f t="shared" ref="R21:R24" si="12">MAX(B21:P21)</f>
        <v>3302</v>
      </c>
      <c r="S21" s="145">
        <f t="shared" ref="S21:S24" si="13">AVERAGE(H21:M21)</f>
        <v>1675.1666666666667</v>
      </c>
      <c r="T21" s="138"/>
      <c r="U21" s="138"/>
    </row>
    <row r="22" spans="1:21" ht="14" x14ac:dyDescent="0.3">
      <c r="A22" s="149" t="s">
        <v>858</v>
      </c>
      <c r="B22" s="473">
        <v>767</v>
      </c>
      <c r="C22" s="474">
        <v>884</v>
      </c>
      <c r="D22" s="474">
        <v>689</v>
      </c>
      <c r="E22" s="474">
        <v>612</v>
      </c>
      <c r="F22" s="474">
        <v>504</v>
      </c>
      <c r="G22" s="125">
        <v>435</v>
      </c>
      <c r="H22" s="473">
        <v>499</v>
      </c>
      <c r="I22" s="473">
        <v>342</v>
      </c>
      <c r="J22" s="476">
        <v>704</v>
      </c>
      <c r="K22" s="476">
        <v>848</v>
      </c>
      <c r="L22" s="125">
        <v>848</v>
      </c>
      <c r="M22" s="137">
        <v>520</v>
      </c>
      <c r="N22" s="137">
        <v>474</v>
      </c>
      <c r="O22" s="581">
        <v>593</v>
      </c>
      <c r="P22" s="581">
        <v>435</v>
      </c>
      <c r="Q22" s="145">
        <f t="shared" si="11"/>
        <v>610.26666666666665</v>
      </c>
      <c r="R22" s="145">
        <f t="shared" si="12"/>
        <v>884</v>
      </c>
      <c r="S22" s="145">
        <f t="shared" si="13"/>
        <v>626.83333333333337</v>
      </c>
      <c r="T22" s="138"/>
      <c r="U22" s="138"/>
    </row>
    <row r="23" spans="1:21" ht="14" x14ac:dyDescent="0.3">
      <c r="A23" s="146" t="s">
        <v>859</v>
      </c>
      <c r="B23" s="473">
        <v>908</v>
      </c>
      <c r="C23" s="475">
        <v>884</v>
      </c>
      <c r="D23" s="474">
        <v>680</v>
      </c>
      <c r="E23" s="474">
        <v>550</v>
      </c>
      <c r="F23" s="474">
        <v>600</v>
      </c>
      <c r="G23" s="125">
        <v>583</v>
      </c>
      <c r="H23" s="473">
        <v>577</v>
      </c>
      <c r="I23" s="473">
        <v>335</v>
      </c>
      <c r="J23" s="476">
        <v>729</v>
      </c>
      <c r="K23" s="476">
        <v>944</v>
      </c>
      <c r="L23" s="125">
        <v>944</v>
      </c>
      <c r="M23" s="137">
        <v>380</v>
      </c>
      <c r="N23" s="137">
        <v>943</v>
      </c>
      <c r="O23" s="581">
        <v>593</v>
      </c>
      <c r="P23" s="581">
        <v>491</v>
      </c>
      <c r="Q23" s="145">
        <f t="shared" si="11"/>
        <v>676.06666666666672</v>
      </c>
      <c r="R23" s="145">
        <f t="shared" si="12"/>
        <v>944</v>
      </c>
      <c r="S23" s="145">
        <f t="shared" si="13"/>
        <v>651.5</v>
      </c>
      <c r="T23" s="138"/>
      <c r="U23" s="138"/>
    </row>
    <row r="24" spans="1:21" ht="14" x14ac:dyDescent="0.3">
      <c r="A24" s="146" t="s">
        <v>860</v>
      </c>
      <c r="B24" s="473">
        <v>726</v>
      </c>
      <c r="C24" s="474">
        <v>843</v>
      </c>
      <c r="D24" s="474">
        <v>736</v>
      </c>
      <c r="E24" s="474">
        <v>527</v>
      </c>
      <c r="F24" s="474">
        <v>695</v>
      </c>
      <c r="G24" s="475">
        <v>539</v>
      </c>
      <c r="H24" s="473">
        <v>647</v>
      </c>
      <c r="I24" s="473">
        <v>427</v>
      </c>
      <c r="J24" s="476">
        <v>567</v>
      </c>
      <c r="K24" s="476">
        <v>931</v>
      </c>
      <c r="L24" s="125">
        <v>931</v>
      </c>
      <c r="M24" s="137">
        <v>347</v>
      </c>
      <c r="N24" s="137">
        <v>661</v>
      </c>
      <c r="O24" s="581">
        <v>872</v>
      </c>
      <c r="P24" s="581">
        <v>516</v>
      </c>
      <c r="Q24" s="145">
        <f t="shared" si="11"/>
        <v>664.33333333333337</v>
      </c>
      <c r="R24" s="145">
        <f t="shared" si="12"/>
        <v>931</v>
      </c>
      <c r="S24" s="145">
        <f t="shared" si="13"/>
        <v>641.66666666666663</v>
      </c>
      <c r="T24" s="138"/>
      <c r="U24" s="138"/>
    </row>
    <row r="25" spans="1:21" ht="14" x14ac:dyDescent="0.25">
      <c r="A25" s="584" t="s">
        <v>861</v>
      </c>
      <c r="B25" s="11">
        <f>AVERAGE(B23:B24)</f>
        <v>817</v>
      </c>
      <c r="C25" s="11">
        <f t="shared" ref="C25:S25" si="14">AVERAGE(C23:C24)</f>
        <v>863.5</v>
      </c>
      <c r="D25" s="11">
        <f t="shared" si="14"/>
        <v>708</v>
      </c>
      <c r="E25" s="11">
        <f t="shared" si="14"/>
        <v>538.5</v>
      </c>
      <c r="F25" s="11">
        <f t="shared" si="14"/>
        <v>647.5</v>
      </c>
      <c r="G25" s="11">
        <f t="shared" si="14"/>
        <v>561</v>
      </c>
      <c r="H25" s="11">
        <f t="shared" si="14"/>
        <v>612</v>
      </c>
      <c r="I25" s="11">
        <f t="shared" si="14"/>
        <v>381</v>
      </c>
      <c r="J25" s="11">
        <f t="shared" si="14"/>
        <v>648</v>
      </c>
      <c r="K25" s="11">
        <f t="shared" si="14"/>
        <v>937.5</v>
      </c>
      <c r="L25" s="11">
        <f t="shared" si="14"/>
        <v>937.5</v>
      </c>
      <c r="M25" s="11">
        <f t="shared" si="14"/>
        <v>363.5</v>
      </c>
      <c r="N25" s="11">
        <f t="shared" si="14"/>
        <v>802</v>
      </c>
      <c r="O25" s="11">
        <f t="shared" si="14"/>
        <v>732.5</v>
      </c>
      <c r="P25" s="11">
        <f t="shared" si="14"/>
        <v>503.5</v>
      </c>
      <c r="Q25" s="762">
        <f t="shared" si="14"/>
        <v>670.2</v>
      </c>
      <c r="R25" s="762">
        <f t="shared" si="14"/>
        <v>937.5</v>
      </c>
      <c r="S25" s="762">
        <f t="shared" si="14"/>
        <v>646.58333333333326</v>
      </c>
    </row>
    <row r="27" spans="1:21" x14ac:dyDescent="0.3">
      <c r="B27" s="621" t="s">
        <v>69</v>
      </c>
      <c r="C27" s="621" t="s">
        <v>70</v>
      </c>
      <c r="D27" s="621" t="s">
        <v>71</v>
      </c>
      <c r="E27" s="621" t="s">
        <v>72</v>
      </c>
      <c r="F27" s="621" t="s">
        <v>73</v>
      </c>
      <c r="G27" s="621" t="s">
        <v>74</v>
      </c>
      <c r="H27" s="621" t="s">
        <v>75</v>
      </c>
      <c r="I27" s="621" t="s">
        <v>76</v>
      </c>
      <c r="J27" s="621" t="s">
        <v>77</v>
      </c>
      <c r="K27" s="621" t="s">
        <v>78</v>
      </c>
      <c r="L27" s="621" t="s">
        <v>79</v>
      </c>
      <c r="M27" s="621" t="s">
        <v>80</v>
      </c>
    </row>
    <row r="28" spans="1:21" ht="14" x14ac:dyDescent="0.25">
      <c r="A28" s="148" t="s">
        <v>857</v>
      </c>
      <c r="B28" s="473">
        <f>B20</f>
        <v>938</v>
      </c>
      <c r="C28" s="473">
        <f t="shared" ref="C28:G28" si="15">C20</f>
        <v>579</v>
      </c>
      <c r="D28" s="473">
        <f t="shared" si="15"/>
        <v>389</v>
      </c>
      <c r="E28" s="473">
        <f t="shared" si="15"/>
        <v>323</v>
      </c>
      <c r="F28" s="473">
        <f t="shared" si="15"/>
        <v>627</v>
      </c>
      <c r="G28" s="473">
        <f t="shared" si="15"/>
        <v>595</v>
      </c>
      <c r="H28" s="473">
        <f>(H20+I20)/2</f>
        <v>612</v>
      </c>
      <c r="I28" s="473">
        <f>(J20+K20)/2</f>
        <v>892</v>
      </c>
      <c r="J28" s="473">
        <f>(L20+M20)/2</f>
        <v>736.5</v>
      </c>
      <c r="K28" s="476">
        <f>N20</f>
        <v>648</v>
      </c>
      <c r="L28" s="476">
        <f t="shared" ref="L28" si="16">O20</f>
        <v>872</v>
      </c>
      <c r="M28" s="476">
        <f t="shared" ref="M28" si="17">P20</f>
        <v>1016</v>
      </c>
    </row>
    <row r="29" spans="1:21" ht="14" x14ac:dyDescent="0.25">
      <c r="A29" s="148" t="s">
        <v>856</v>
      </c>
      <c r="B29" s="473">
        <f t="shared" ref="B29:G29" si="18">B21</f>
        <v>623</v>
      </c>
      <c r="C29" s="473">
        <f t="shared" si="18"/>
        <v>1115</v>
      </c>
      <c r="D29" s="473">
        <f t="shared" si="18"/>
        <v>1015</v>
      </c>
      <c r="E29" s="473">
        <f t="shared" si="18"/>
        <v>1494</v>
      </c>
      <c r="F29" s="473">
        <f t="shared" si="18"/>
        <v>1487</v>
      </c>
      <c r="G29" s="473">
        <f t="shared" si="18"/>
        <v>1888</v>
      </c>
      <c r="H29" s="473">
        <f t="shared" ref="H29:H33" si="19">(H21+I21)/2</f>
        <v>1187.5</v>
      </c>
      <c r="I29" s="473">
        <f t="shared" ref="I29:J33" si="20">(J21+K21)/2</f>
        <v>1009</v>
      </c>
      <c r="J29" s="473">
        <f t="shared" ref="J29:J32" si="21">(L21+M21)/2</f>
        <v>2829</v>
      </c>
      <c r="K29" s="476">
        <f t="shared" ref="K29:K33" si="22">N21</f>
        <v>640</v>
      </c>
      <c r="L29" s="476">
        <f t="shared" ref="L29:L33" si="23">O21</f>
        <v>2125</v>
      </c>
      <c r="M29" s="476">
        <f t="shared" ref="M29:M33" si="24">P21</f>
        <v>2318</v>
      </c>
    </row>
    <row r="30" spans="1:21" ht="14" x14ac:dyDescent="0.25">
      <c r="A30" s="149" t="s">
        <v>858</v>
      </c>
      <c r="B30" s="473">
        <f t="shared" ref="B30:G30" si="25">B22</f>
        <v>767</v>
      </c>
      <c r="C30" s="473">
        <f t="shared" si="25"/>
        <v>884</v>
      </c>
      <c r="D30" s="473">
        <f t="shared" si="25"/>
        <v>689</v>
      </c>
      <c r="E30" s="473">
        <f t="shared" si="25"/>
        <v>612</v>
      </c>
      <c r="F30" s="473">
        <f t="shared" si="25"/>
        <v>504</v>
      </c>
      <c r="G30" s="473">
        <f t="shared" si="25"/>
        <v>435</v>
      </c>
      <c r="H30" s="473">
        <f t="shared" si="19"/>
        <v>420.5</v>
      </c>
      <c r="I30" s="473">
        <f t="shared" si="20"/>
        <v>776</v>
      </c>
      <c r="J30" s="473">
        <f t="shared" si="21"/>
        <v>684</v>
      </c>
      <c r="K30" s="476">
        <f t="shared" si="22"/>
        <v>474</v>
      </c>
      <c r="L30" s="476">
        <f t="shared" si="23"/>
        <v>593</v>
      </c>
      <c r="M30" s="476">
        <f t="shared" si="24"/>
        <v>435</v>
      </c>
    </row>
    <row r="31" spans="1:21" ht="14" x14ac:dyDescent="0.25">
      <c r="A31" s="146" t="s">
        <v>859</v>
      </c>
      <c r="B31" s="473">
        <f t="shared" ref="B31:G31" si="26">B23</f>
        <v>908</v>
      </c>
      <c r="C31" s="473">
        <f t="shared" si="26"/>
        <v>884</v>
      </c>
      <c r="D31" s="473">
        <f t="shared" si="26"/>
        <v>680</v>
      </c>
      <c r="E31" s="473">
        <f t="shared" si="26"/>
        <v>550</v>
      </c>
      <c r="F31" s="473">
        <f t="shared" si="26"/>
        <v>600</v>
      </c>
      <c r="G31" s="473">
        <f t="shared" si="26"/>
        <v>583</v>
      </c>
      <c r="H31" s="473">
        <f t="shared" si="19"/>
        <v>456</v>
      </c>
      <c r="I31" s="473">
        <f t="shared" si="20"/>
        <v>836.5</v>
      </c>
      <c r="J31" s="473">
        <f t="shared" si="21"/>
        <v>662</v>
      </c>
      <c r="K31" s="476">
        <f t="shared" si="22"/>
        <v>943</v>
      </c>
      <c r="L31" s="476">
        <f t="shared" si="23"/>
        <v>593</v>
      </c>
      <c r="M31" s="476">
        <f t="shared" si="24"/>
        <v>491</v>
      </c>
    </row>
    <row r="32" spans="1:21" ht="14" x14ac:dyDescent="0.25">
      <c r="A32" s="146" t="s">
        <v>860</v>
      </c>
      <c r="B32" s="473">
        <f t="shared" ref="B32:G32" si="27">B24</f>
        <v>726</v>
      </c>
      <c r="C32" s="473">
        <f t="shared" si="27"/>
        <v>843</v>
      </c>
      <c r="D32" s="473">
        <f t="shared" si="27"/>
        <v>736</v>
      </c>
      <c r="E32" s="473">
        <f t="shared" si="27"/>
        <v>527</v>
      </c>
      <c r="F32" s="473">
        <f t="shared" si="27"/>
        <v>695</v>
      </c>
      <c r="G32" s="473">
        <f t="shared" si="27"/>
        <v>539</v>
      </c>
      <c r="H32" s="473">
        <f t="shared" si="19"/>
        <v>537</v>
      </c>
      <c r="I32" s="473">
        <f t="shared" si="20"/>
        <v>749</v>
      </c>
      <c r="J32" s="473">
        <f t="shared" si="21"/>
        <v>639</v>
      </c>
      <c r="K32" s="476">
        <f t="shared" si="22"/>
        <v>661</v>
      </c>
      <c r="L32" s="476">
        <f t="shared" si="23"/>
        <v>872</v>
      </c>
      <c r="M32" s="476">
        <f t="shared" si="24"/>
        <v>516</v>
      </c>
    </row>
    <row r="33" spans="1:13" ht="14" x14ac:dyDescent="0.25">
      <c r="A33" s="584" t="s">
        <v>861</v>
      </c>
      <c r="B33" s="473">
        <f t="shared" ref="B33:G33" si="28">B25</f>
        <v>817</v>
      </c>
      <c r="C33" s="473">
        <f t="shared" si="28"/>
        <v>863.5</v>
      </c>
      <c r="D33" s="473">
        <f t="shared" si="28"/>
        <v>708</v>
      </c>
      <c r="E33" s="473">
        <f t="shared" si="28"/>
        <v>538.5</v>
      </c>
      <c r="F33" s="473">
        <f t="shared" si="28"/>
        <v>647.5</v>
      </c>
      <c r="G33" s="473">
        <f t="shared" si="28"/>
        <v>561</v>
      </c>
      <c r="H33" s="473">
        <f t="shared" si="19"/>
        <v>496.5</v>
      </c>
      <c r="I33" s="473">
        <f t="shared" si="20"/>
        <v>792.75</v>
      </c>
      <c r="J33" s="473">
        <f t="shared" si="20"/>
        <v>937.5</v>
      </c>
      <c r="K33" s="476">
        <f t="shared" si="22"/>
        <v>802</v>
      </c>
      <c r="L33" s="476">
        <f t="shared" si="23"/>
        <v>732.5</v>
      </c>
      <c r="M33" s="476">
        <f t="shared" si="24"/>
        <v>503.5</v>
      </c>
    </row>
  </sheetData>
  <mergeCells count="2">
    <mergeCell ref="B3:N3"/>
    <mergeCell ref="A1:Q1"/>
  </mergeCells>
  <phoneticPr fontId="0" type="noConversion"/>
  <pageMargins left="0.25" right="0.25" top="1" bottom="1" header="0.5" footer="0.5"/>
  <pageSetup orientation="landscape" horizontalDpi="4294967294"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1:U31"/>
  <sheetViews>
    <sheetView topLeftCell="A10" zoomScale="75" zoomScaleNormal="75" workbookViewId="0">
      <selection activeCell="B8" sqref="B8:P8"/>
    </sheetView>
  </sheetViews>
  <sheetFormatPr defaultRowHeight="13" x14ac:dyDescent="0.3"/>
  <cols>
    <col min="1" max="1" width="35.6328125" style="1" bestFit="1" customWidth="1"/>
    <col min="2" max="2" width="12" bestFit="1" customWidth="1"/>
    <col min="3" max="3" width="12.08984375" bestFit="1" customWidth="1"/>
    <col min="4" max="5" width="12.36328125" bestFit="1" customWidth="1"/>
    <col min="6" max="6" width="12.08984375" bestFit="1" customWidth="1"/>
    <col min="7" max="7" width="12" bestFit="1" customWidth="1"/>
    <col min="8" max="8" width="10.36328125" bestFit="1" customWidth="1"/>
    <col min="9" max="9" width="12" bestFit="1" customWidth="1"/>
    <col min="10" max="10" width="11.54296875" bestFit="1" customWidth="1"/>
    <col min="11" max="11" width="12.36328125" bestFit="1" customWidth="1"/>
    <col min="12" max="12" width="11" bestFit="1" customWidth="1"/>
    <col min="13" max="13" width="12.36328125" bestFit="1" customWidth="1"/>
    <col min="14" max="14" width="12.36328125" customWidth="1"/>
    <col min="15" max="15" width="12.08984375" bestFit="1" customWidth="1"/>
    <col min="16" max="16" width="12" bestFit="1" customWidth="1"/>
    <col min="17" max="17" width="9.6328125" bestFit="1" customWidth="1"/>
    <col min="18" max="18" width="6.54296875" bestFit="1" customWidth="1"/>
    <col min="19" max="19" width="10.54296875" bestFit="1" customWidth="1"/>
    <col min="20" max="21" width="11.08984375" bestFit="1" customWidth="1"/>
    <col min="22" max="22" width="9.90625" bestFit="1" customWidth="1"/>
    <col min="23" max="23" width="10.36328125" bestFit="1" customWidth="1"/>
    <col min="24" max="24" width="10.90625" bestFit="1" customWidth="1"/>
    <col min="25" max="25" width="11.54296875" customWidth="1"/>
    <col min="26" max="26" width="10.36328125" customWidth="1"/>
    <col min="27" max="27" width="11.90625" customWidth="1"/>
    <col min="28" max="28" width="10.6328125" customWidth="1"/>
    <col min="29" max="29" width="11" customWidth="1"/>
    <col min="30" max="30" width="10.90625" bestFit="1" customWidth="1"/>
    <col min="31" max="31" width="10" bestFit="1" customWidth="1"/>
  </cols>
  <sheetData>
    <row r="1" spans="1:21" x14ac:dyDescent="0.3">
      <c r="A1" s="791" t="s">
        <v>3</v>
      </c>
      <c r="B1" s="791"/>
      <c r="C1" s="791"/>
      <c r="D1" s="791"/>
      <c r="E1" s="791"/>
      <c r="F1" s="791"/>
      <c r="G1" s="791"/>
      <c r="H1" s="791"/>
      <c r="I1" s="791"/>
      <c r="J1" s="791"/>
      <c r="K1" s="791"/>
      <c r="L1" s="791"/>
      <c r="M1" s="791"/>
      <c r="N1" s="791"/>
      <c r="O1" s="791"/>
      <c r="P1" s="791"/>
    </row>
    <row r="2" spans="1:21" x14ac:dyDescent="0.3">
      <c r="A2" s="791" t="s">
        <v>4</v>
      </c>
      <c r="B2" s="791"/>
      <c r="C2" s="791"/>
      <c r="D2" s="791"/>
      <c r="E2" s="791"/>
      <c r="F2" s="791"/>
      <c r="G2" s="791"/>
      <c r="H2" s="791"/>
      <c r="I2" s="791"/>
      <c r="J2" s="791"/>
      <c r="K2" s="791"/>
      <c r="L2" s="791"/>
      <c r="M2" s="791"/>
      <c r="N2" s="791"/>
      <c r="O2" s="791"/>
      <c r="P2" s="791"/>
    </row>
    <row r="5" spans="1:21" s="7" customFormat="1" ht="28" x14ac:dyDescent="0.3">
      <c r="A5" s="144" t="s">
        <v>2</v>
      </c>
      <c r="B5" s="580">
        <v>40921</v>
      </c>
      <c r="C5" s="580">
        <v>40949</v>
      </c>
      <c r="D5" s="580">
        <v>40994</v>
      </c>
      <c r="E5" s="580">
        <v>41022</v>
      </c>
      <c r="F5" s="580">
        <v>41050</v>
      </c>
      <c r="G5" s="580">
        <v>41086</v>
      </c>
      <c r="H5" s="580">
        <v>41099</v>
      </c>
      <c r="I5" s="580">
        <v>41113</v>
      </c>
      <c r="J5" s="580">
        <v>41127</v>
      </c>
      <c r="K5" s="580">
        <v>41148</v>
      </c>
      <c r="L5" s="580">
        <v>41162</v>
      </c>
      <c r="M5" s="580">
        <v>41177</v>
      </c>
      <c r="N5" s="580">
        <v>41204</v>
      </c>
      <c r="O5" s="580">
        <v>41239</v>
      </c>
      <c r="P5" s="580">
        <v>41257</v>
      </c>
      <c r="Q5" s="135" t="s">
        <v>91</v>
      </c>
      <c r="R5" s="135" t="s">
        <v>83</v>
      </c>
      <c r="S5" s="135" t="s">
        <v>109</v>
      </c>
      <c r="T5" s="135" t="s">
        <v>124</v>
      </c>
      <c r="U5" s="135" t="s">
        <v>125</v>
      </c>
    </row>
    <row r="6" spans="1:21" s="3" customFormat="1" ht="14" x14ac:dyDescent="0.3">
      <c r="A6" s="148" t="s">
        <v>857</v>
      </c>
      <c r="B6" s="474">
        <v>1</v>
      </c>
      <c r="C6" s="474">
        <v>4.4000000000000004</v>
      </c>
      <c r="D6" s="474">
        <v>12.6</v>
      </c>
      <c r="E6" s="474">
        <v>4.8</v>
      </c>
      <c r="F6" s="474">
        <v>26.5</v>
      </c>
      <c r="G6" s="125">
        <v>12.5</v>
      </c>
      <c r="H6" s="473">
        <v>190.5</v>
      </c>
      <c r="I6" s="473">
        <v>16.600000000000001</v>
      </c>
      <c r="J6" s="246">
        <v>51.4</v>
      </c>
      <c r="K6" s="246">
        <v>18.399999999999999</v>
      </c>
      <c r="L6" s="102">
        <v>11.1</v>
      </c>
      <c r="M6" s="474">
        <v>11</v>
      </c>
      <c r="N6" s="477">
        <v>18.100000000000001</v>
      </c>
      <c r="O6" s="477">
        <v>18.399999999999999</v>
      </c>
      <c r="P6" s="478">
        <v>16.2</v>
      </c>
      <c r="Q6" s="130">
        <f>AVERAGE(B6:P6)</f>
        <v>27.566666666666666</v>
      </c>
      <c r="R6" s="130">
        <f>MAX(B6:P6)</f>
        <v>190.5</v>
      </c>
      <c r="S6" s="130">
        <f>AVERAGE(H6:M6)</f>
        <v>49.833333333333336</v>
      </c>
      <c r="T6" s="130">
        <f>AVERAGE(B9:P10)</f>
        <v>9.8933333333333362</v>
      </c>
      <c r="U6" s="130">
        <f>AVERAGE(H9:M10)</f>
        <v>15.083333333333334</v>
      </c>
    </row>
    <row r="7" spans="1:21" s="3" customFormat="1" ht="14" x14ac:dyDescent="0.3">
      <c r="A7" s="148" t="s">
        <v>856</v>
      </c>
      <c r="B7" s="102">
        <v>1</v>
      </c>
      <c r="C7" s="474">
        <v>1</v>
      </c>
      <c r="D7" s="474">
        <v>27.2</v>
      </c>
      <c r="E7" s="474">
        <v>6.2</v>
      </c>
      <c r="F7" s="474">
        <v>14.6</v>
      </c>
      <c r="G7" s="125">
        <v>9.8000000000000007</v>
      </c>
      <c r="H7" s="473">
        <v>46</v>
      </c>
      <c r="I7" s="473">
        <v>25</v>
      </c>
      <c r="J7" s="246">
        <v>16.600000000000001</v>
      </c>
      <c r="K7" s="246">
        <v>13.2</v>
      </c>
      <c r="L7" s="125">
        <v>56.6</v>
      </c>
      <c r="M7" s="330">
        <v>5</v>
      </c>
      <c r="N7" s="125">
        <v>6.2</v>
      </c>
      <c r="O7" s="122">
        <v>4.4000000000000004</v>
      </c>
      <c r="P7" s="127">
        <v>4</v>
      </c>
      <c r="Q7" s="130">
        <f>AVERAGE(B7:P7)</f>
        <v>15.786666666666665</v>
      </c>
      <c r="R7" s="130">
        <f>MAX(B7:P7)</f>
        <v>56.6</v>
      </c>
      <c r="S7" s="130">
        <f>AVERAGE(H7:M7)</f>
        <v>27.066666666666666</v>
      </c>
      <c r="T7" s="86"/>
      <c r="U7" s="86"/>
    </row>
    <row r="8" spans="1:21" s="3" customFormat="1" ht="14" x14ac:dyDescent="0.3">
      <c r="A8" s="149" t="s">
        <v>858</v>
      </c>
      <c r="B8" s="474">
        <v>1</v>
      </c>
      <c r="C8" s="474">
        <v>1</v>
      </c>
      <c r="D8" s="474">
        <v>4</v>
      </c>
      <c r="E8" s="474">
        <v>8</v>
      </c>
      <c r="F8" s="474">
        <v>4.2</v>
      </c>
      <c r="G8" s="474">
        <v>8.3000000000000007</v>
      </c>
      <c r="H8" s="670">
        <v>8.6</v>
      </c>
      <c r="I8" s="671">
        <v>20.399999999999999</v>
      </c>
      <c r="J8" s="671">
        <v>11</v>
      </c>
      <c r="K8" s="671">
        <v>10.199999999999999</v>
      </c>
      <c r="L8" s="125">
        <v>13</v>
      </c>
      <c r="M8" s="330">
        <v>9.8000000000000007</v>
      </c>
      <c r="N8" s="320">
        <v>5</v>
      </c>
      <c r="O8" s="320">
        <v>10.8</v>
      </c>
      <c r="P8" s="128">
        <v>7.6</v>
      </c>
      <c r="Q8" s="130">
        <f>AVERAGE(B8:P8)</f>
        <v>8.1933333333333334</v>
      </c>
      <c r="R8" s="130">
        <f>MAX(B8:P8)</f>
        <v>20.399999999999999</v>
      </c>
      <c r="S8" s="130">
        <f>AVERAGE(H8:M8)</f>
        <v>12.166666666666666</v>
      </c>
      <c r="T8" s="86"/>
      <c r="U8" s="86"/>
    </row>
    <row r="9" spans="1:21" s="3" customFormat="1" ht="14" x14ac:dyDescent="0.3">
      <c r="A9" s="149" t="s">
        <v>1095</v>
      </c>
      <c r="B9" s="245">
        <v>1</v>
      </c>
      <c r="C9" s="671">
        <v>1</v>
      </c>
      <c r="D9" s="671">
        <v>4</v>
      </c>
      <c r="E9" s="671">
        <v>5.6</v>
      </c>
      <c r="F9" s="671">
        <v>1</v>
      </c>
      <c r="G9" s="245">
        <v>4.9000000000000004</v>
      </c>
      <c r="H9" s="246">
        <v>7.8</v>
      </c>
      <c r="I9" s="246">
        <v>11.2</v>
      </c>
      <c r="J9" s="246">
        <v>10.8</v>
      </c>
      <c r="K9" s="246">
        <v>10</v>
      </c>
      <c r="L9" s="246">
        <v>7.3</v>
      </c>
      <c r="M9" s="330">
        <v>11.4</v>
      </c>
      <c r="N9" s="128">
        <v>5.8</v>
      </c>
      <c r="O9" s="128">
        <v>8</v>
      </c>
      <c r="P9" s="128">
        <v>6</v>
      </c>
      <c r="Q9" s="130">
        <f>AVERAGE(B9:P9)</f>
        <v>6.3866666666666667</v>
      </c>
      <c r="R9" s="130">
        <f>MAX(B9:P9)</f>
        <v>11.4</v>
      </c>
      <c r="S9" s="130">
        <f>AVERAGE(H9:M9)</f>
        <v>9.7499999999999982</v>
      </c>
      <c r="T9" s="86"/>
      <c r="U9" s="86"/>
    </row>
    <row r="10" spans="1:21" s="3" customFormat="1" ht="14" x14ac:dyDescent="0.3">
      <c r="A10" s="149" t="s">
        <v>1096</v>
      </c>
      <c r="B10" s="102">
        <v>1</v>
      </c>
      <c r="C10" s="474">
        <v>4</v>
      </c>
      <c r="D10" s="474">
        <v>4</v>
      </c>
      <c r="E10" s="474">
        <v>5.8</v>
      </c>
      <c r="F10" s="474">
        <v>8.1999999999999993</v>
      </c>
      <c r="G10" s="125">
        <v>17.600000000000001</v>
      </c>
      <c r="H10" s="473">
        <v>41</v>
      </c>
      <c r="I10" s="473">
        <v>41.2</v>
      </c>
      <c r="J10" s="672">
        <v>10</v>
      </c>
      <c r="K10" s="672">
        <v>9.4</v>
      </c>
      <c r="L10" s="125">
        <v>7.5</v>
      </c>
      <c r="M10" s="474">
        <v>13.4</v>
      </c>
      <c r="N10" s="125">
        <v>11.5</v>
      </c>
      <c r="O10" s="125">
        <v>17.600000000000001</v>
      </c>
      <c r="P10" s="478">
        <v>8.8000000000000007</v>
      </c>
      <c r="Q10" s="130">
        <f>AVERAGE(B10:P10)</f>
        <v>13.400000000000002</v>
      </c>
      <c r="R10" s="130">
        <f>MAX(B10:P10)</f>
        <v>41.2</v>
      </c>
      <c r="S10" s="130">
        <f>AVERAGE(H10:M10)</f>
        <v>20.416666666666668</v>
      </c>
      <c r="T10" s="86"/>
      <c r="U10" s="86"/>
    </row>
    <row r="11" spans="1:21" ht="14" x14ac:dyDescent="0.25">
      <c r="A11" s="149" t="s">
        <v>1097</v>
      </c>
    </row>
    <row r="12" spans="1:21" x14ac:dyDescent="0.3">
      <c r="B12" s="50"/>
      <c r="C12" s="50"/>
      <c r="D12" s="50"/>
      <c r="E12" s="50"/>
    </row>
    <row r="13" spans="1:21" x14ac:dyDescent="0.3">
      <c r="B13" s="50"/>
      <c r="C13" s="50"/>
      <c r="D13" s="50"/>
      <c r="E13" s="50"/>
    </row>
    <row r="15" spans="1:21" x14ac:dyDescent="0.3">
      <c r="A15" s="47"/>
      <c r="B15" s="47" t="s">
        <v>69</v>
      </c>
      <c r="C15" s="47" t="s">
        <v>70</v>
      </c>
      <c r="D15" s="47" t="s">
        <v>71</v>
      </c>
      <c r="E15" s="47" t="s">
        <v>72</v>
      </c>
      <c r="F15" s="47" t="s">
        <v>73</v>
      </c>
      <c r="G15" s="47" t="s">
        <v>74</v>
      </c>
      <c r="H15" s="47" t="s">
        <v>75</v>
      </c>
      <c r="I15" s="47" t="s">
        <v>76</v>
      </c>
      <c r="J15" s="47" t="s">
        <v>77</v>
      </c>
      <c r="K15" s="47" t="s">
        <v>78</v>
      </c>
      <c r="L15" s="47" t="s">
        <v>79</v>
      </c>
      <c r="M15" s="47" t="s">
        <v>80</v>
      </c>
      <c r="N15" s="77"/>
    </row>
    <row r="16" spans="1:21" ht="14" x14ac:dyDescent="0.3">
      <c r="A16" s="148" t="s">
        <v>857</v>
      </c>
      <c r="B16" s="65">
        <f t="shared" ref="B16:G16" si="0">B6</f>
        <v>1</v>
      </c>
      <c r="C16" s="65">
        <f t="shared" si="0"/>
        <v>4.4000000000000004</v>
      </c>
      <c r="D16" s="65">
        <f t="shared" si="0"/>
        <v>12.6</v>
      </c>
      <c r="E16" s="65">
        <f t="shared" si="0"/>
        <v>4.8</v>
      </c>
      <c r="F16" s="65">
        <f t="shared" si="0"/>
        <v>26.5</v>
      </c>
      <c r="G16" s="65">
        <f t="shared" si="0"/>
        <v>12.5</v>
      </c>
      <c r="H16" s="65">
        <f>AVERAGE(H6:I6)</f>
        <v>103.55</v>
      </c>
      <c r="I16" s="65">
        <f>AVERAGE(J6:K6)</f>
        <v>34.9</v>
      </c>
      <c r="J16" s="65">
        <f>AVERAGE(L6:M6)</f>
        <v>11.05</v>
      </c>
      <c r="K16" s="65">
        <f>N6</f>
        <v>18.100000000000001</v>
      </c>
      <c r="L16" s="65">
        <f t="shared" ref="L16:M20" si="1">O6</f>
        <v>18.399999999999999</v>
      </c>
      <c r="M16" s="65">
        <f t="shared" si="1"/>
        <v>16.2</v>
      </c>
      <c r="N16" s="2"/>
    </row>
    <row r="17" spans="1:14" ht="14" x14ac:dyDescent="0.3">
      <c r="A17" s="148" t="s">
        <v>856</v>
      </c>
      <c r="B17" s="65">
        <f t="shared" ref="B17:G20" si="2">B7</f>
        <v>1</v>
      </c>
      <c r="C17" s="65">
        <f t="shared" si="2"/>
        <v>1</v>
      </c>
      <c r="D17" s="65">
        <f t="shared" si="2"/>
        <v>27.2</v>
      </c>
      <c r="E17" s="65">
        <f t="shared" si="2"/>
        <v>6.2</v>
      </c>
      <c r="F17" s="65">
        <f t="shared" si="2"/>
        <v>14.6</v>
      </c>
      <c r="G17" s="65">
        <f t="shared" si="2"/>
        <v>9.8000000000000007</v>
      </c>
      <c r="H17" s="65">
        <f>AVERAGE(H7:I7)</f>
        <v>35.5</v>
      </c>
      <c r="I17" s="65">
        <f>AVERAGE(J7:K7)</f>
        <v>14.9</v>
      </c>
      <c r="J17" s="65">
        <f>AVERAGE(L7:M7)</f>
        <v>30.8</v>
      </c>
      <c r="K17" s="65">
        <f>N7</f>
        <v>6.2</v>
      </c>
      <c r="L17" s="65">
        <f t="shared" si="1"/>
        <v>4.4000000000000004</v>
      </c>
      <c r="M17" s="65">
        <f t="shared" si="1"/>
        <v>4</v>
      </c>
      <c r="N17" s="2"/>
    </row>
    <row r="18" spans="1:14" ht="14" x14ac:dyDescent="0.3">
      <c r="A18" s="149" t="s">
        <v>858</v>
      </c>
      <c r="B18" s="65">
        <f t="shared" si="2"/>
        <v>1</v>
      </c>
      <c r="C18" s="65">
        <f t="shared" si="2"/>
        <v>1</v>
      </c>
      <c r="D18" s="65">
        <f t="shared" si="2"/>
        <v>4</v>
      </c>
      <c r="E18" s="65">
        <f t="shared" si="2"/>
        <v>8</v>
      </c>
      <c r="F18" s="65">
        <f t="shared" si="2"/>
        <v>4.2</v>
      </c>
      <c r="G18" s="65">
        <f t="shared" si="2"/>
        <v>8.3000000000000007</v>
      </c>
      <c r="H18" s="65">
        <f>AVERAGE(H8:I8)</f>
        <v>14.5</v>
      </c>
      <c r="I18" s="65">
        <f>AVERAGE(J8:K8)</f>
        <v>10.6</v>
      </c>
      <c r="J18" s="65">
        <f>AVERAGE(L8:M8)</f>
        <v>11.4</v>
      </c>
      <c r="K18" s="65">
        <f>N8</f>
        <v>5</v>
      </c>
      <c r="L18" s="65">
        <f t="shared" si="1"/>
        <v>10.8</v>
      </c>
      <c r="M18" s="65">
        <f t="shared" si="1"/>
        <v>7.6</v>
      </c>
      <c r="N18" s="2"/>
    </row>
    <row r="19" spans="1:14" ht="14" x14ac:dyDescent="0.3">
      <c r="A19" s="149" t="s">
        <v>1095</v>
      </c>
      <c r="B19" s="65">
        <f t="shared" si="2"/>
        <v>1</v>
      </c>
      <c r="C19" s="65">
        <f t="shared" si="2"/>
        <v>1</v>
      </c>
      <c r="D19" s="65">
        <f t="shared" si="2"/>
        <v>4</v>
      </c>
      <c r="E19" s="65">
        <f t="shared" si="2"/>
        <v>5.6</v>
      </c>
      <c r="F19" s="65">
        <f t="shared" si="2"/>
        <v>1</v>
      </c>
      <c r="G19" s="65">
        <f t="shared" si="2"/>
        <v>4.9000000000000004</v>
      </c>
      <c r="H19" s="65">
        <f>AVERAGE(H9:I9)</f>
        <v>9.5</v>
      </c>
      <c r="I19" s="65">
        <f>AVERAGE(J9:K9)</f>
        <v>10.4</v>
      </c>
      <c r="J19" s="65">
        <f>AVERAGE(L9:M9)</f>
        <v>9.35</v>
      </c>
      <c r="K19" s="65">
        <f>N9</f>
        <v>5.8</v>
      </c>
      <c r="L19" s="65">
        <f t="shared" si="1"/>
        <v>8</v>
      </c>
      <c r="M19" s="65">
        <f t="shared" si="1"/>
        <v>6</v>
      </c>
      <c r="N19" s="2"/>
    </row>
    <row r="20" spans="1:14" ht="14" x14ac:dyDescent="0.3">
      <c r="A20" s="149" t="s">
        <v>1096</v>
      </c>
      <c r="B20" s="65">
        <f t="shared" si="2"/>
        <v>1</v>
      </c>
      <c r="C20" s="65">
        <f t="shared" si="2"/>
        <v>4</v>
      </c>
      <c r="D20" s="65">
        <f t="shared" si="2"/>
        <v>4</v>
      </c>
      <c r="E20" s="65">
        <f t="shared" si="2"/>
        <v>5.8</v>
      </c>
      <c r="F20" s="65">
        <f t="shared" si="2"/>
        <v>8.1999999999999993</v>
      </c>
      <c r="G20" s="65">
        <f t="shared" si="2"/>
        <v>17.600000000000001</v>
      </c>
      <c r="H20" s="65">
        <f>AVERAGE(H10:I10)</f>
        <v>41.1</v>
      </c>
      <c r="I20" s="65">
        <f>AVERAGE(J10:K10)</f>
        <v>9.6999999999999993</v>
      </c>
      <c r="J20" s="65">
        <f>AVERAGE(L10:M10)</f>
        <v>10.45</v>
      </c>
      <c r="K20" s="65">
        <f>N10</f>
        <v>11.5</v>
      </c>
      <c r="L20" s="65">
        <f t="shared" si="1"/>
        <v>17.600000000000001</v>
      </c>
      <c r="M20" s="65">
        <f t="shared" si="1"/>
        <v>8.8000000000000007</v>
      </c>
      <c r="N20" s="2"/>
    </row>
    <row r="21" spans="1:14" ht="14" x14ac:dyDescent="0.25">
      <c r="A21" s="149" t="s">
        <v>1097</v>
      </c>
    </row>
    <row r="31" spans="1:14" x14ac:dyDescent="0.3">
      <c r="G31" s="59"/>
    </row>
  </sheetData>
  <mergeCells count="2">
    <mergeCell ref="A1:P1"/>
    <mergeCell ref="A2:P2"/>
  </mergeCells>
  <phoneticPr fontId="0" type="noConversion"/>
  <pageMargins left="0.75" right="0.75" top="1" bottom="1" header="0.5" footer="0.5"/>
  <pageSetup scale="51" orientation="landscape" horizontalDpi="4294967294"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
    <pageSetUpPr fitToPage="1"/>
  </sheetPr>
  <dimension ref="A1:AB26"/>
  <sheetViews>
    <sheetView topLeftCell="A7" zoomScale="75" zoomScaleNormal="75" workbookViewId="0">
      <selection activeCell="R6" sqref="R6"/>
    </sheetView>
  </sheetViews>
  <sheetFormatPr defaultRowHeight="13" x14ac:dyDescent="0.3"/>
  <cols>
    <col min="1" max="1" width="21.36328125" style="1" bestFit="1" customWidth="1"/>
    <col min="2" max="2" width="12" bestFit="1" customWidth="1"/>
    <col min="3" max="3" width="11.6328125" bestFit="1" customWidth="1"/>
    <col min="4" max="4" width="12" bestFit="1" customWidth="1"/>
    <col min="5" max="5" width="12.36328125" bestFit="1" customWidth="1"/>
    <col min="6" max="6" width="12.54296875" bestFit="1" customWidth="1"/>
    <col min="7" max="7" width="12.08984375" bestFit="1" customWidth="1"/>
    <col min="8" max="8" width="12" bestFit="1" customWidth="1"/>
    <col min="9" max="9" width="11" bestFit="1" customWidth="1"/>
    <col min="10" max="10" width="11.453125" bestFit="1" customWidth="1"/>
    <col min="11" max="11" width="12" bestFit="1" customWidth="1"/>
    <col min="12" max="12" width="12.36328125" bestFit="1" customWidth="1"/>
    <col min="13" max="13" width="12.36328125" customWidth="1"/>
    <col min="14" max="16" width="12.08984375" bestFit="1" customWidth="1"/>
    <col min="17" max="17" width="9.6328125" bestFit="1" customWidth="1"/>
    <col min="18" max="18" width="10.453125" bestFit="1" customWidth="1"/>
    <col min="19" max="20" width="11.54296875" bestFit="1" customWidth="1"/>
  </cols>
  <sheetData>
    <row r="1" spans="1:20" ht="15.5" x14ac:dyDescent="0.35">
      <c r="A1" s="788" t="s">
        <v>0</v>
      </c>
      <c r="B1" s="788"/>
      <c r="C1" s="788"/>
      <c r="D1" s="788"/>
      <c r="E1" s="788"/>
      <c r="F1" s="788"/>
      <c r="G1" s="788"/>
      <c r="H1" s="788"/>
      <c r="I1" s="788"/>
      <c r="J1" s="788"/>
      <c r="K1" s="788"/>
      <c r="L1" s="788"/>
      <c r="M1" s="788"/>
      <c r="N1" s="788"/>
      <c r="O1" s="788"/>
      <c r="P1" s="788"/>
    </row>
    <row r="3" spans="1:20" x14ac:dyDescent="0.3">
      <c r="A3" s="150" t="s">
        <v>1</v>
      </c>
    </row>
    <row r="4" spans="1:20" s="7" customFormat="1" ht="26" x14ac:dyDescent="0.3">
      <c r="A4" s="151" t="s">
        <v>2</v>
      </c>
      <c r="B4" s="580">
        <v>40921</v>
      </c>
      <c r="C4" s="580">
        <v>40949</v>
      </c>
      <c r="D4" s="580">
        <v>40994</v>
      </c>
      <c r="E4" s="580">
        <v>41022</v>
      </c>
      <c r="F4" s="580">
        <v>41050</v>
      </c>
      <c r="G4" s="580">
        <v>41086</v>
      </c>
      <c r="H4" s="580">
        <v>41099</v>
      </c>
      <c r="I4" s="580">
        <v>41113</v>
      </c>
      <c r="J4" s="580">
        <v>41127</v>
      </c>
      <c r="K4" s="580">
        <v>41148</v>
      </c>
      <c r="L4" s="580">
        <v>41162</v>
      </c>
      <c r="M4" s="580">
        <v>41177</v>
      </c>
      <c r="N4" s="580">
        <v>41204</v>
      </c>
      <c r="O4" s="580">
        <v>41239</v>
      </c>
      <c r="P4" s="580">
        <v>41257</v>
      </c>
      <c r="Q4" s="213"/>
      <c r="R4" s="548" t="s">
        <v>17</v>
      </c>
      <c r="S4" s="154" t="s">
        <v>109</v>
      </c>
      <c r="T4" s="151" t="s">
        <v>83</v>
      </c>
    </row>
    <row r="5" spans="1:20" ht="15.5" x14ac:dyDescent="0.35">
      <c r="A5" s="107">
        <v>40</v>
      </c>
      <c r="B5" s="330">
        <v>3.9</v>
      </c>
      <c r="C5" s="330">
        <v>3.3</v>
      </c>
      <c r="D5" s="330">
        <v>4.5</v>
      </c>
      <c r="E5" s="330">
        <v>5.9</v>
      </c>
      <c r="F5" s="330">
        <v>2.6</v>
      </c>
      <c r="G5" s="320">
        <v>8.5</v>
      </c>
      <c r="H5" s="101">
        <v>9.6999999999999993</v>
      </c>
      <c r="I5" s="101">
        <v>18.600000000000001</v>
      </c>
      <c r="J5" s="124">
        <v>23.9</v>
      </c>
      <c r="K5" s="124">
        <v>24.6</v>
      </c>
      <c r="L5" s="125">
        <v>20.8</v>
      </c>
      <c r="M5" s="190">
        <v>52.9</v>
      </c>
      <c r="N5" s="551">
        <v>18.3</v>
      </c>
      <c r="O5" s="551">
        <v>15.3</v>
      </c>
      <c r="P5" s="551">
        <v>10.3</v>
      </c>
      <c r="Q5" s="551"/>
      <c r="R5" s="604">
        <f>AVERAGE(B5:P5)</f>
        <v>14.873333333333335</v>
      </c>
      <c r="S5" s="603">
        <f>AVERAGE(H5:M5)</f>
        <v>25.083333333333332</v>
      </c>
      <c r="T5" s="603">
        <f>MAX(B5:P5)</f>
        <v>52.9</v>
      </c>
    </row>
    <row r="7" spans="1:20" x14ac:dyDescent="0.3">
      <c r="A7" s="150" t="s">
        <v>5</v>
      </c>
    </row>
    <row r="8" spans="1:20" s="7" customFormat="1" ht="26" x14ac:dyDescent="0.3">
      <c r="A8" s="151" t="s">
        <v>2</v>
      </c>
      <c r="B8" s="212">
        <v>40921</v>
      </c>
      <c r="C8" s="212">
        <v>40949</v>
      </c>
      <c r="D8" s="212">
        <v>40994</v>
      </c>
      <c r="E8" s="212">
        <v>41022</v>
      </c>
      <c r="F8" s="212">
        <v>41050</v>
      </c>
      <c r="G8" s="212">
        <v>41085</v>
      </c>
      <c r="H8" s="213">
        <v>41099</v>
      </c>
      <c r="I8" s="213">
        <v>41113</v>
      </c>
      <c r="J8" s="213">
        <v>41127</v>
      </c>
      <c r="K8" s="212">
        <v>41148</v>
      </c>
      <c r="L8" s="212">
        <v>41162</v>
      </c>
      <c r="M8" s="214">
        <v>41177</v>
      </c>
      <c r="N8" s="214">
        <v>41197</v>
      </c>
      <c r="O8" s="214">
        <v>41204</v>
      </c>
      <c r="P8" s="580">
        <v>41239</v>
      </c>
      <c r="Q8" s="580">
        <v>41257</v>
      </c>
      <c r="R8" s="151" t="s">
        <v>17</v>
      </c>
      <c r="S8" s="153" t="s">
        <v>109</v>
      </c>
      <c r="T8" s="151" t="s">
        <v>83</v>
      </c>
    </row>
    <row r="9" spans="1:20" s="7" customFormat="1" ht="15.5" x14ac:dyDescent="0.35">
      <c r="A9" s="549">
        <v>40</v>
      </c>
      <c r="B9" s="552">
        <v>2.15</v>
      </c>
      <c r="C9" s="552">
        <v>2.35</v>
      </c>
      <c r="D9" s="552">
        <v>2.6</v>
      </c>
      <c r="E9" s="552">
        <v>3.45</v>
      </c>
      <c r="F9" s="552">
        <v>4.55</v>
      </c>
      <c r="G9" s="552">
        <v>2.4</v>
      </c>
      <c r="H9" s="552">
        <v>0.88</v>
      </c>
      <c r="I9" s="552">
        <v>1.4</v>
      </c>
      <c r="J9" s="552">
        <v>1.3</v>
      </c>
      <c r="K9" s="552">
        <v>1.35</v>
      </c>
      <c r="L9" s="552">
        <v>1.47</v>
      </c>
      <c r="M9" s="552">
        <v>1.35</v>
      </c>
      <c r="N9" s="552">
        <v>2.41</v>
      </c>
      <c r="O9" s="552">
        <v>2.31</v>
      </c>
      <c r="P9" s="552">
        <v>2.2000000000000002</v>
      </c>
      <c r="Q9" s="552">
        <v>2.75</v>
      </c>
      <c r="R9" s="600">
        <f>AVERAGE(B9:Q9)</f>
        <v>2.1825000000000001</v>
      </c>
      <c r="S9" s="600">
        <f>AVERAGE(H9:M9)</f>
        <v>1.2916666666666667</v>
      </c>
      <c r="T9" s="601">
        <f>MAX(B9:P9)</f>
        <v>4.55</v>
      </c>
    </row>
    <row r="10" spans="1:20" s="7" customFormat="1" ht="15.5" x14ac:dyDescent="0.35">
      <c r="A10" s="549">
        <v>41</v>
      </c>
      <c r="B10" s="552">
        <v>3.18</v>
      </c>
      <c r="C10" s="552">
        <v>2.4500000000000002</v>
      </c>
      <c r="D10" s="552">
        <v>2.7</v>
      </c>
      <c r="E10" s="552">
        <v>3.4</v>
      </c>
      <c r="F10" s="552">
        <v>4</v>
      </c>
      <c r="G10" s="552">
        <v>2.44</v>
      </c>
      <c r="H10" s="552">
        <v>1.1000000000000001</v>
      </c>
      <c r="I10" s="552">
        <v>1.51</v>
      </c>
      <c r="J10" s="552">
        <v>1.45</v>
      </c>
      <c r="K10" s="552">
        <v>1.21</v>
      </c>
      <c r="L10" s="552">
        <v>1.46</v>
      </c>
      <c r="M10" s="552">
        <v>1.3</v>
      </c>
      <c r="N10" s="552">
        <v>2.6</v>
      </c>
      <c r="O10" s="552">
        <v>2.62</v>
      </c>
      <c r="P10" s="552">
        <v>2.34</v>
      </c>
      <c r="Q10" s="552"/>
      <c r="R10" s="600">
        <f t="shared" ref="R10:R13" si="0">AVERAGE(B10:Q10)</f>
        <v>2.250666666666667</v>
      </c>
      <c r="S10" s="600">
        <f t="shared" ref="S10:S13" si="1">AVERAGE(H10:M10)</f>
        <v>1.3383333333333336</v>
      </c>
      <c r="T10" s="601">
        <f t="shared" ref="T10:T13" si="2">MAX(B10:P10)</f>
        <v>4</v>
      </c>
    </row>
    <row r="11" spans="1:20" s="7" customFormat="1" ht="15.5" x14ac:dyDescent="0.35">
      <c r="A11" s="549">
        <v>42</v>
      </c>
      <c r="B11" s="552">
        <v>2.1</v>
      </c>
      <c r="C11" s="552">
        <v>2.4500000000000002</v>
      </c>
      <c r="D11" s="552">
        <v>2.7</v>
      </c>
      <c r="E11" s="552">
        <v>3.4</v>
      </c>
      <c r="F11" s="552">
        <v>4.67</v>
      </c>
      <c r="G11" s="552">
        <v>2.2400000000000002</v>
      </c>
      <c r="H11" s="552">
        <v>0.75</v>
      </c>
      <c r="I11" s="552">
        <v>1.59</v>
      </c>
      <c r="J11" s="552">
        <v>1.35</v>
      </c>
      <c r="K11" s="552">
        <v>1.51</v>
      </c>
      <c r="L11" s="552">
        <v>1.47</v>
      </c>
      <c r="M11" s="552">
        <v>1.3</v>
      </c>
      <c r="N11" s="552">
        <v>2.16</v>
      </c>
      <c r="O11" s="552">
        <v>2.68</v>
      </c>
      <c r="P11" s="552">
        <v>2.4500000000000002</v>
      </c>
      <c r="Q11" s="552"/>
      <c r="R11" s="600">
        <f t="shared" si="0"/>
        <v>2.1880000000000006</v>
      </c>
      <c r="S11" s="600">
        <f t="shared" si="1"/>
        <v>1.3283333333333334</v>
      </c>
      <c r="T11" s="601">
        <f t="shared" si="2"/>
        <v>4.67</v>
      </c>
    </row>
    <row r="12" spans="1:20" s="7" customFormat="1" ht="15.5" x14ac:dyDescent="0.35">
      <c r="A12" s="549">
        <v>43</v>
      </c>
      <c r="B12" s="552">
        <v>2.61</v>
      </c>
      <c r="C12" s="552">
        <v>2.5</v>
      </c>
      <c r="D12" s="552">
        <v>1.55</v>
      </c>
      <c r="E12" s="552">
        <v>3.2</v>
      </c>
      <c r="F12" s="552">
        <v>3.82</v>
      </c>
      <c r="G12" s="552">
        <v>1.9</v>
      </c>
      <c r="H12" s="552">
        <v>1.42</v>
      </c>
      <c r="I12" s="552">
        <v>1.55</v>
      </c>
      <c r="J12" s="552">
        <v>1.62</v>
      </c>
      <c r="K12" s="552">
        <v>1.83</v>
      </c>
      <c r="L12" s="552">
        <v>1.85</v>
      </c>
      <c r="M12" s="552">
        <v>1.34</v>
      </c>
      <c r="N12" s="552">
        <v>1.98</v>
      </c>
      <c r="O12" s="552">
        <v>2.91</v>
      </c>
      <c r="P12" s="552">
        <v>1.68</v>
      </c>
      <c r="Q12" s="552"/>
      <c r="R12" s="600">
        <f t="shared" si="0"/>
        <v>2.1173333333333333</v>
      </c>
      <c r="S12" s="600">
        <f t="shared" si="1"/>
        <v>1.6016666666666666</v>
      </c>
      <c r="T12" s="601">
        <f t="shared" si="2"/>
        <v>3.82</v>
      </c>
    </row>
    <row r="13" spans="1:20" s="3" customFormat="1" ht="15.5" x14ac:dyDescent="0.35">
      <c r="A13" s="549">
        <v>44</v>
      </c>
      <c r="B13" s="550">
        <v>2.94</v>
      </c>
      <c r="C13" s="550">
        <v>2.2000000000000002</v>
      </c>
      <c r="D13" s="550">
        <v>2.35</v>
      </c>
      <c r="E13" s="550">
        <v>2.82</v>
      </c>
      <c r="F13" s="550">
        <v>3.85</v>
      </c>
      <c r="G13" s="550">
        <v>2.52</v>
      </c>
      <c r="H13" s="550">
        <v>1.1000000000000001</v>
      </c>
      <c r="I13" s="550">
        <v>1.75</v>
      </c>
      <c r="J13" s="550">
        <v>1.48</v>
      </c>
      <c r="K13" s="550"/>
      <c r="L13" s="550">
        <v>1.9</v>
      </c>
      <c r="M13" s="550">
        <v>1.55</v>
      </c>
      <c r="N13" s="550">
        <v>2.1</v>
      </c>
      <c r="O13" s="550">
        <v>2.4500000000000002</v>
      </c>
      <c r="P13" s="550">
        <v>2.21</v>
      </c>
      <c r="Q13" s="190">
        <v>3.2</v>
      </c>
      <c r="R13" s="600">
        <f t="shared" si="0"/>
        <v>2.2946666666666666</v>
      </c>
      <c r="S13" s="600">
        <f t="shared" si="1"/>
        <v>1.556</v>
      </c>
      <c r="T13" s="601">
        <f t="shared" si="2"/>
        <v>3.85</v>
      </c>
    </row>
    <row r="14" spans="1:20" ht="14" x14ac:dyDescent="0.3">
      <c r="A14" s="151" t="s">
        <v>821</v>
      </c>
      <c r="B14" s="553">
        <f>AVERAGE(B9:B13)</f>
        <v>2.5959999999999996</v>
      </c>
      <c r="C14" s="553">
        <f t="shared" ref="C14:O14" si="3">AVERAGE(C9:C13)</f>
        <v>2.3899999999999997</v>
      </c>
      <c r="D14" s="553">
        <f t="shared" si="3"/>
        <v>2.38</v>
      </c>
      <c r="E14" s="553">
        <f t="shared" si="3"/>
        <v>3.254</v>
      </c>
      <c r="F14" s="553">
        <f t="shared" si="3"/>
        <v>4.1779999999999999</v>
      </c>
      <c r="G14" s="553">
        <f t="shared" si="3"/>
        <v>2.2999999999999998</v>
      </c>
      <c r="H14" s="553">
        <f t="shared" si="3"/>
        <v>1.05</v>
      </c>
      <c r="I14" s="553">
        <f t="shared" si="3"/>
        <v>1.56</v>
      </c>
      <c r="J14" s="553">
        <f t="shared" si="3"/>
        <v>1.44</v>
      </c>
      <c r="K14" s="553">
        <f t="shared" si="3"/>
        <v>1.4750000000000001</v>
      </c>
      <c r="L14" s="553">
        <f t="shared" si="3"/>
        <v>1.6300000000000001</v>
      </c>
      <c r="M14" s="553">
        <f t="shared" si="3"/>
        <v>1.3679999999999999</v>
      </c>
      <c r="N14" s="553">
        <f t="shared" si="3"/>
        <v>2.25</v>
      </c>
      <c r="O14" s="553">
        <f t="shared" si="3"/>
        <v>2.5939999999999999</v>
      </c>
      <c r="P14" s="553">
        <f t="shared" ref="P14:Q14" si="4">AVERAGE(P9:P13)</f>
        <v>2.1759999999999997</v>
      </c>
      <c r="Q14" s="553">
        <f t="shared" si="4"/>
        <v>2.9750000000000001</v>
      </c>
      <c r="R14" s="602">
        <f>AVERAGE(B9:Q13)</f>
        <v>2.2063157894736838</v>
      </c>
      <c r="S14" s="600">
        <f>AVERAGE(H14:M14)</f>
        <v>1.4204999999999999</v>
      </c>
      <c r="T14" s="600"/>
    </row>
    <row r="15" spans="1:20" x14ac:dyDescent="0.3">
      <c r="A15" s="107" t="s">
        <v>122</v>
      </c>
      <c r="B15" s="48">
        <f>B14*3.28</f>
        <v>8.514879999999998</v>
      </c>
      <c r="C15" s="48">
        <f t="shared" ref="C15:O15" si="5">C14*3.28</f>
        <v>7.8391999999999982</v>
      </c>
      <c r="D15" s="48">
        <f t="shared" si="5"/>
        <v>7.8063999999999991</v>
      </c>
      <c r="E15" s="48">
        <f t="shared" si="5"/>
        <v>10.673119999999999</v>
      </c>
      <c r="F15" s="48">
        <f t="shared" si="5"/>
        <v>13.70384</v>
      </c>
      <c r="G15" s="48">
        <f t="shared" si="5"/>
        <v>7.5439999999999987</v>
      </c>
      <c r="H15" s="48">
        <f t="shared" si="5"/>
        <v>3.444</v>
      </c>
      <c r="I15" s="48">
        <f t="shared" si="5"/>
        <v>5.1167999999999996</v>
      </c>
      <c r="J15" s="48">
        <f t="shared" si="5"/>
        <v>4.7231999999999994</v>
      </c>
      <c r="K15" s="48">
        <f t="shared" si="5"/>
        <v>4.8380000000000001</v>
      </c>
      <c r="L15" s="48">
        <f t="shared" si="5"/>
        <v>5.3464</v>
      </c>
      <c r="M15" s="48">
        <f t="shared" si="5"/>
        <v>4.4870399999999995</v>
      </c>
      <c r="N15" s="48">
        <f t="shared" si="5"/>
        <v>7.38</v>
      </c>
      <c r="O15" s="48">
        <f t="shared" si="5"/>
        <v>8.5083199999999994</v>
      </c>
      <c r="P15" s="48">
        <f t="shared" ref="P15:Q15" si="6">P14*3.28</f>
        <v>7.1372799999999987</v>
      </c>
      <c r="Q15" s="48">
        <f t="shared" si="6"/>
        <v>9.7579999999999991</v>
      </c>
    </row>
    <row r="18" spans="1:28" x14ac:dyDescent="0.3">
      <c r="Q18" s="61"/>
      <c r="R18" s="61"/>
      <c r="S18" s="61"/>
      <c r="T18" s="61"/>
      <c r="U18" s="61"/>
      <c r="V18" s="61"/>
      <c r="W18" s="61"/>
      <c r="X18" s="61"/>
      <c r="Y18" s="61"/>
      <c r="Z18" s="61"/>
      <c r="AA18" s="61"/>
      <c r="AB18" s="61"/>
    </row>
    <row r="19" spans="1:28" x14ac:dyDescent="0.3">
      <c r="A19" s="107"/>
      <c r="B19" s="152" t="s">
        <v>69</v>
      </c>
      <c r="C19" s="152" t="s">
        <v>70</v>
      </c>
      <c r="D19" s="152" t="s">
        <v>71</v>
      </c>
      <c r="E19" s="152" t="s">
        <v>72</v>
      </c>
      <c r="F19" s="152" t="s">
        <v>73</v>
      </c>
      <c r="G19" s="152" t="s">
        <v>74</v>
      </c>
      <c r="H19" s="152" t="s">
        <v>75</v>
      </c>
      <c r="I19" s="152" t="s">
        <v>76</v>
      </c>
      <c r="J19" s="152" t="s">
        <v>77</v>
      </c>
      <c r="K19" s="152" t="s">
        <v>78</v>
      </c>
      <c r="L19" s="152" t="s">
        <v>79</v>
      </c>
      <c r="M19" s="152" t="s">
        <v>80</v>
      </c>
      <c r="Q19" s="3"/>
      <c r="R19" s="3"/>
      <c r="S19" s="3"/>
      <c r="T19" s="3"/>
      <c r="U19" s="3"/>
      <c r="V19" s="3"/>
      <c r="W19" s="3"/>
      <c r="X19" s="3"/>
      <c r="Y19" s="3"/>
      <c r="Z19" s="3"/>
      <c r="AA19" s="3"/>
      <c r="AB19" s="3"/>
    </row>
    <row r="20" spans="1:28" x14ac:dyDescent="0.3">
      <c r="A20" s="107" t="s">
        <v>121</v>
      </c>
      <c r="B20" s="74">
        <f t="shared" ref="B20:G20" si="7">B5</f>
        <v>3.9</v>
      </c>
      <c r="C20" s="74">
        <f t="shared" si="7"/>
        <v>3.3</v>
      </c>
      <c r="D20" s="74">
        <f t="shared" si="7"/>
        <v>4.5</v>
      </c>
      <c r="E20" s="74">
        <f t="shared" si="7"/>
        <v>5.9</v>
      </c>
      <c r="F20" s="74">
        <f t="shared" si="7"/>
        <v>2.6</v>
      </c>
      <c r="G20" s="74">
        <f t="shared" si="7"/>
        <v>8.5</v>
      </c>
      <c r="H20" s="48">
        <f>AVERAGE(H5:I5)</f>
        <v>14.15</v>
      </c>
      <c r="I20" s="48">
        <f>AVERAGE(J5:K5)</f>
        <v>24.25</v>
      </c>
      <c r="J20" s="48">
        <f>AVERAGE(L5:M5)</f>
        <v>36.85</v>
      </c>
      <c r="K20" s="48">
        <f>N5</f>
        <v>18.3</v>
      </c>
      <c r="L20" s="74">
        <f>O5</f>
        <v>15.3</v>
      </c>
      <c r="M20" s="74">
        <f>P5</f>
        <v>10.3</v>
      </c>
      <c r="Q20" s="3"/>
      <c r="R20" s="3"/>
      <c r="S20" s="3"/>
      <c r="T20" s="3"/>
      <c r="U20" s="3"/>
      <c r="V20" s="3"/>
      <c r="W20" s="3"/>
      <c r="X20" s="3"/>
      <c r="Y20" s="3"/>
      <c r="Z20" s="3"/>
      <c r="AA20" s="3"/>
      <c r="AB20" s="3"/>
    </row>
    <row r="21" spans="1:28" x14ac:dyDescent="0.3">
      <c r="A21" s="107" t="s">
        <v>123</v>
      </c>
      <c r="B21" s="48">
        <f t="shared" ref="B21:G21" si="8">B15</f>
        <v>8.514879999999998</v>
      </c>
      <c r="C21" s="48">
        <f t="shared" si="8"/>
        <v>7.8391999999999982</v>
      </c>
      <c r="D21" s="48">
        <f t="shared" si="8"/>
        <v>7.8063999999999991</v>
      </c>
      <c r="E21" s="48">
        <f t="shared" si="8"/>
        <v>10.673119999999999</v>
      </c>
      <c r="F21" s="48">
        <f t="shared" si="8"/>
        <v>13.70384</v>
      </c>
      <c r="G21" s="48">
        <f t="shared" si="8"/>
        <v>7.5439999999999987</v>
      </c>
      <c r="H21" s="48">
        <f>AVERAGE(H15:I15)</f>
        <v>4.2804000000000002</v>
      </c>
      <c r="I21" s="48">
        <f>AVERAGE(J15:K15)</f>
        <v>4.7805999999999997</v>
      </c>
      <c r="J21" s="48">
        <f>AVERAGE(L15:M15)</f>
        <v>4.9167199999999998</v>
      </c>
      <c r="K21" s="48">
        <f>AVERAGE(N15:O15)</f>
        <v>7.9441600000000001</v>
      </c>
      <c r="L21" s="48">
        <f>P15</f>
        <v>7.1372799999999987</v>
      </c>
      <c r="M21" s="48">
        <f>Q15</f>
        <v>9.7579999999999991</v>
      </c>
      <c r="Q21" s="3"/>
      <c r="R21" s="3"/>
      <c r="S21" s="3"/>
      <c r="T21" s="3"/>
      <c r="U21" s="3"/>
      <c r="V21" s="3"/>
      <c r="W21" s="3"/>
      <c r="X21" s="3"/>
      <c r="Y21" s="3"/>
      <c r="Z21" s="3"/>
      <c r="AA21" s="3"/>
      <c r="AB21" s="3"/>
    </row>
    <row r="22" spans="1:28" x14ac:dyDescent="0.3">
      <c r="Q22" s="3"/>
      <c r="R22" s="3"/>
      <c r="S22" s="3"/>
      <c r="T22" s="3"/>
      <c r="U22" s="3"/>
      <c r="V22" s="3"/>
      <c r="W22" s="3"/>
      <c r="X22" s="3"/>
      <c r="Y22" s="3"/>
      <c r="Z22" s="3"/>
      <c r="AA22" s="3"/>
      <c r="AB22" s="3"/>
    </row>
    <row r="23" spans="1:28" x14ac:dyDescent="0.3">
      <c r="Q23" s="3"/>
      <c r="R23" s="3"/>
      <c r="S23" s="3"/>
      <c r="T23" s="3"/>
      <c r="U23" s="3"/>
      <c r="V23" s="3"/>
      <c r="W23" s="3"/>
      <c r="X23" s="3"/>
      <c r="Y23" s="3"/>
      <c r="Z23" s="3"/>
      <c r="AA23" s="3"/>
      <c r="AB23" s="3"/>
    </row>
    <row r="24" spans="1:28" x14ac:dyDescent="0.3">
      <c r="Q24" s="3"/>
      <c r="R24" s="3"/>
      <c r="S24" s="3"/>
      <c r="T24" s="3"/>
      <c r="U24" s="3"/>
      <c r="V24" s="3"/>
      <c r="W24" s="3"/>
      <c r="X24" s="3"/>
      <c r="Y24" s="3"/>
      <c r="Z24" s="3"/>
      <c r="AA24" s="3"/>
      <c r="AB24" s="3"/>
    </row>
    <row r="25" spans="1:28" x14ac:dyDescent="0.3">
      <c r="Q25" s="3"/>
      <c r="R25" s="3"/>
      <c r="S25" s="3"/>
      <c r="T25" s="3"/>
      <c r="U25" s="3"/>
      <c r="V25" s="3"/>
      <c r="W25" s="3"/>
      <c r="X25" s="3"/>
      <c r="Y25" s="3"/>
      <c r="Z25" s="3"/>
      <c r="AA25" s="3"/>
      <c r="AB25" s="3"/>
    </row>
    <row r="26" spans="1:28" x14ac:dyDescent="0.3">
      <c r="Q26" s="3"/>
      <c r="R26" s="3"/>
      <c r="S26" s="3"/>
      <c r="T26" s="3"/>
      <c r="U26" s="3"/>
      <c r="V26" s="3"/>
      <c r="W26" s="3"/>
      <c r="X26" s="3"/>
      <c r="Y26" s="3"/>
      <c r="Z26" s="3"/>
      <c r="AA26" s="3"/>
      <c r="AB26" s="3"/>
    </row>
  </sheetData>
  <mergeCells count="1">
    <mergeCell ref="A1:P1"/>
  </mergeCells>
  <phoneticPr fontId="0" type="noConversion"/>
  <pageMargins left="0.75" right="0.75" top="1" bottom="1" header="0.5" footer="0.5"/>
  <pageSetup orientation="landscape" horizontalDpi="4294967294"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O252"/>
  <sheetViews>
    <sheetView topLeftCell="A67" workbookViewId="0">
      <selection activeCell="D76" sqref="D76"/>
    </sheetView>
  </sheetViews>
  <sheetFormatPr defaultRowHeight="12.5" x14ac:dyDescent="0.25"/>
  <cols>
    <col min="1" max="1" width="26.453125" bestFit="1" customWidth="1"/>
    <col min="2" max="2" width="8.90625" bestFit="1" customWidth="1"/>
    <col min="3" max="4" width="10.36328125" bestFit="1" customWidth="1"/>
    <col min="5" max="6" width="9.08984375" bestFit="1" customWidth="1"/>
    <col min="7" max="7" width="7.453125" bestFit="1" customWidth="1"/>
    <col min="8" max="8" width="9.6328125" bestFit="1" customWidth="1"/>
    <col min="9" max="9" width="9.453125" bestFit="1" customWidth="1"/>
    <col min="10" max="11" width="8.90625" bestFit="1" customWidth="1"/>
    <col min="12" max="12" width="11.6328125" bestFit="1" customWidth="1"/>
    <col min="13" max="14" width="9.08984375" customWidth="1"/>
    <col min="15" max="15" width="10.08984375" customWidth="1"/>
    <col min="16" max="28" width="9.08984375" customWidth="1"/>
    <col min="29" max="31" width="10.08984375" customWidth="1"/>
    <col min="32" max="44" width="9.08984375" customWidth="1"/>
    <col min="45" max="46" width="10.08984375" customWidth="1"/>
    <col min="47" max="60" width="9.08984375" customWidth="1"/>
    <col min="61" max="62" width="10.08984375" customWidth="1"/>
    <col min="63" max="74" width="9.08984375" customWidth="1"/>
    <col min="75" max="76" width="10.08984375" customWidth="1"/>
    <col min="77" max="77" width="9.08984375" customWidth="1"/>
    <col min="90" max="90" width="10.08984375" bestFit="1" customWidth="1"/>
  </cols>
  <sheetData>
    <row r="1" spans="1:12" ht="13" x14ac:dyDescent="0.3">
      <c r="C1" s="77"/>
      <c r="E1" s="59"/>
      <c r="F1" s="729"/>
      <c r="G1" s="729"/>
      <c r="H1" s="730"/>
      <c r="I1" s="730"/>
      <c r="J1" s="730"/>
      <c r="K1" s="730"/>
      <c r="L1" s="490"/>
    </row>
    <row r="2" spans="1:12" s="30" customFormat="1" ht="11.5" x14ac:dyDescent="0.25">
      <c r="A2" s="731"/>
      <c r="B2" s="735">
        <v>41113</v>
      </c>
      <c r="C2" s="736"/>
      <c r="D2" s="735">
        <v>41127</v>
      </c>
      <c r="E2" s="735"/>
      <c r="F2" s="735">
        <v>41148</v>
      </c>
      <c r="G2" s="735"/>
      <c r="H2" s="735">
        <v>41162</v>
      </c>
      <c r="I2" s="735"/>
      <c r="J2" s="819">
        <v>41177</v>
      </c>
      <c r="K2" s="819"/>
    </row>
    <row r="3" spans="1:12" s="30" customFormat="1" ht="11.5" x14ac:dyDescent="0.25">
      <c r="A3" s="731" t="s">
        <v>660</v>
      </c>
      <c r="B3" s="737">
        <v>1496.9361702127676</v>
      </c>
      <c r="C3" s="737">
        <v>998.11475409836032</v>
      </c>
      <c r="D3" s="737">
        <v>6967.0990566037708</v>
      </c>
      <c r="E3" s="737">
        <v>3403.7735849056503</v>
      </c>
      <c r="F3" s="737">
        <v>4114.9635036496493</v>
      </c>
      <c r="G3" s="737">
        <v>650.92783505154512</v>
      </c>
      <c r="H3" s="737">
        <v>1942.9874213836467</v>
      </c>
      <c r="I3" s="737">
        <v>1223.402298850564</v>
      </c>
      <c r="J3" s="737">
        <v>1329.0338164251134</v>
      </c>
      <c r="K3" s="737">
        <v>1577.4413145539841</v>
      </c>
    </row>
    <row r="4" spans="1:12" s="30" customFormat="1" ht="13.5" x14ac:dyDescent="0.25">
      <c r="A4" s="731" t="s">
        <v>1173</v>
      </c>
      <c r="B4" s="737">
        <v>1168569.7872340414</v>
      </c>
      <c r="C4" s="737">
        <v>687731.87158470193</v>
      </c>
      <c r="D4" s="737">
        <v>7960703.1132075367</v>
      </c>
      <c r="E4" s="737">
        <v>1702248.4433962274</v>
      </c>
      <c r="F4" s="737">
        <v>4980151.0401459942</v>
      </c>
      <c r="G4" s="737">
        <v>891463.1056701031</v>
      </c>
      <c r="H4" s="737">
        <v>1509970.6918238997</v>
      </c>
      <c r="I4" s="737">
        <v>1373165.4022988428</v>
      </c>
      <c r="J4" s="737">
        <v>2452241.69082125</v>
      </c>
      <c r="K4" s="737">
        <v>2758246.1267605564</v>
      </c>
    </row>
    <row r="5" spans="1:12" s="30" customFormat="1" ht="11.5" x14ac:dyDescent="0.25">
      <c r="A5" s="731" t="s">
        <v>661</v>
      </c>
      <c r="B5" s="738">
        <v>50.969581604003906</v>
      </c>
      <c r="C5" s="738">
        <v>47.148956298828125</v>
      </c>
      <c r="D5" s="738">
        <v>64.808006286621094</v>
      </c>
      <c r="E5" s="738">
        <v>53.681709289550781</v>
      </c>
      <c r="F5" s="738">
        <v>61.424297332763672</v>
      </c>
      <c r="G5" s="738">
        <v>49.018604278564453</v>
      </c>
      <c r="H5" s="738">
        <v>52.817462921142578</v>
      </c>
      <c r="I5" s="738">
        <v>52.132717132568359</v>
      </c>
      <c r="J5" s="738">
        <v>56.31427001953125</v>
      </c>
      <c r="K5" s="738">
        <v>57.162372589111328</v>
      </c>
    </row>
    <row r="6" spans="1:12" s="30" customFormat="1" ht="11.5" x14ac:dyDescent="0.25">
      <c r="B6" s="739"/>
      <c r="C6" s="740"/>
      <c r="D6" s="740"/>
      <c r="E6" s="741"/>
      <c r="F6" s="741"/>
      <c r="G6" s="741"/>
      <c r="H6" s="740"/>
    </row>
    <row r="7" spans="1:12" s="30" customFormat="1" ht="11.5" x14ac:dyDescent="0.25">
      <c r="B7" s="742">
        <v>41113</v>
      </c>
      <c r="C7" s="743">
        <v>41127</v>
      </c>
      <c r="D7" s="743">
        <v>41148</v>
      </c>
      <c r="E7" s="744">
        <v>41162</v>
      </c>
      <c r="F7" s="744">
        <v>41177</v>
      </c>
      <c r="G7" s="745"/>
      <c r="H7" s="746"/>
    </row>
    <row r="8" spans="1:12" s="30" customFormat="1" ht="11.5" x14ac:dyDescent="0.25">
      <c r="A8" s="747" t="s">
        <v>660</v>
      </c>
      <c r="B8" s="748">
        <f>AVERAGE(B3:C3)</f>
        <v>1247.5254621555639</v>
      </c>
      <c r="C8" s="748">
        <f>AVERAGE(D3:E3)</f>
        <v>5185.4363207547103</v>
      </c>
      <c r="D8" s="748">
        <f>AVERAGE(F3:G3)</f>
        <v>2382.9456693505972</v>
      </c>
      <c r="E8" s="748">
        <f>AVERAGE(H3:I3)</f>
        <v>1583.1948601171052</v>
      </c>
      <c r="F8" s="748">
        <f>AVERAGE(J3:K3)</f>
        <v>1453.2375654895486</v>
      </c>
      <c r="G8" s="749"/>
      <c r="H8" s="749"/>
    </row>
    <row r="9" spans="1:12" s="30" customFormat="1" ht="13.5" x14ac:dyDescent="0.25">
      <c r="A9" s="731" t="s">
        <v>1173</v>
      </c>
      <c r="B9" s="748">
        <f t="shared" ref="B9" si="0">AVERAGE(B4:C4)</f>
        <v>928150.8294093716</v>
      </c>
      <c r="C9" s="748">
        <f t="shared" ref="C9:C10" si="1">AVERAGE(D4:E4)</f>
        <v>4831475.7783018816</v>
      </c>
      <c r="D9" s="748">
        <f t="shared" ref="D9:D10" si="2">AVERAGE(F4:G4)</f>
        <v>2935807.0729080485</v>
      </c>
      <c r="E9" s="748">
        <f t="shared" ref="E9:E10" si="3">AVERAGE(H4:I4)</f>
        <v>1441568.0470613712</v>
      </c>
      <c r="F9" s="748">
        <f t="shared" ref="F9:F10" si="4">AVERAGE(J4:K4)</f>
        <v>2605243.9087909032</v>
      </c>
      <c r="G9" s="750"/>
      <c r="H9" s="750"/>
    </row>
    <row r="10" spans="1:12" s="30" customFormat="1" ht="11.5" x14ac:dyDescent="0.25">
      <c r="A10" s="747" t="s">
        <v>661</v>
      </c>
      <c r="B10" s="748">
        <f t="shared" ref="B10" si="5">AVERAGE(B5:C5)</f>
        <v>49.059268951416016</v>
      </c>
      <c r="C10" s="748">
        <f t="shared" si="1"/>
        <v>59.244857788085938</v>
      </c>
      <c r="D10" s="748">
        <f t="shared" si="2"/>
        <v>55.221450805664063</v>
      </c>
      <c r="E10" s="748">
        <f t="shared" si="3"/>
        <v>52.475090026855469</v>
      </c>
      <c r="F10" s="748">
        <f t="shared" si="4"/>
        <v>56.738321304321289</v>
      </c>
      <c r="G10" s="749"/>
      <c r="H10" s="749"/>
    </row>
    <row r="11" spans="1:12" ht="13" x14ac:dyDescent="0.3">
      <c r="E11" s="59"/>
      <c r="F11" s="820"/>
      <c r="G11" s="820"/>
      <c r="H11" s="820"/>
      <c r="I11" s="820"/>
      <c r="J11" s="820"/>
      <c r="K11" s="820"/>
    </row>
    <row r="12" spans="1:12" ht="13" x14ac:dyDescent="0.3">
      <c r="D12" s="62"/>
      <c r="E12" s="333"/>
      <c r="F12" s="726"/>
      <c r="G12" s="726"/>
      <c r="H12" s="726"/>
      <c r="I12" s="726"/>
      <c r="J12" s="726"/>
      <c r="K12" s="726"/>
    </row>
    <row r="13" spans="1:12" x14ac:dyDescent="0.25">
      <c r="D13" s="728"/>
      <c r="E13" s="62"/>
      <c r="F13" s="488"/>
      <c r="G13" s="62"/>
      <c r="H13" s="62"/>
      <c r="I13" s="62"/>
      <c r="J13" s="62"/>
      <c r="K13" s="62"/>
    </row>
    <row r="14" spans="1:12" x14ac:dyDescent="0.25">
      <c r="D14" s="728"/>
      <c r="E14" s="62"/>
      <c r="F14" s="488"/>
      <c r="G14" s="62"/>
      <c r="H14" s="62"/>
      <c r="I14" s="485"/>
      <c r="J14" s="62"/>
      <c r="K14" s="62"/>
    </row>
    <row r="15" spans="1:12" x14ac:dyDescent="0.25">
      <c r="D15" s="728"/>
      <c r="E15" s="62"/>
      <c r="F15" s="62"/>
      <c r="G15" s="488"/>
      <c r="H15" s="62"/>
      <c r="I15" s="62"/>
      <c r="J15" s="62"/>
      <c r="K15" s="62"/>
    </row>
    <row r="16" spans="1:12" x14ac:dyDescent="0.25">
      <c r="D16" s="728"/>
      <c r="E16" s="484"/>
      <c r="F16" s="62"/>
      <c r="G16" s="62"/>
      <c r="H16" s="488"/>
      <c r="I16" s="485"/>
      <c r="J16" s="485"/>
      <c r="K16" s="488"/>
    </row>
    <row r="17" spans="1:41" x14ac:dyDescent="0.25">
      <c r="D17" s="728"/>
      <c r="E17" s="62"/>
      <c r="F17" s="62"/>
      <c r="G17" s="488"/>
      <c r="H17" s="62"/>
      <c r="I17" s="62"/>
      <c r="J17" s="62"/>
      <c r="K17" s="62"/>
    </row>
    <row r="18" spans="1:41" x14ac:dyDescent="0.25">
      <c r="D18" s="728"/>
      <c r="E18" s="62"/>
      <c r="F18" s="62"/>
      <c r="G18" s="62"/>
      <c r="H18" s="485"/>
      <c r="I18" s="62"/>
      <c r="J18" s="62"/>
      <c r="K18" s="62"/>
    </row>
    <row r="19" spans="1:41" x14ac:dyDescent="0.25">
      <c r="D19" s="728"/>
      <c r="E19" s="62"/>
      <c r="F19" s="488"/>
      <c r="G19" s="488"/>
      <c r="H19" s="488"/>
      <c r="I19" s="62"/>
      <c r="J19" s="62"/>
      <c r="K19" s="62"/>
    </row>
    <row r="20" spans="1:41" x14ac:dyDescent="0.25">
      <c r="D20" s="728"/>
      <c r="E20" s="484"/>
      <c r="F20" s="62"/>
      <c r="G20" s="62"/>
      <c r="H20" s="485"/>
      <c r="I20" s="62"/>
      <c r="J20" s="62"/>
      <c r="K20" s="62"/>
    </row>
    <row r="21" spans="1:41" ht="14" x14ac:dyDescent="0.3">
      <c r="B21" s="821">
        <v>41113</v>
      </c>
      <c r="C21" s="822"/>
      <c r="D21" s="822"/>
      <c r="E21" s="823"/>
      <c r="F21" s="821">
        <v>41113</v>
      </c>
      <c r="G21" s="822"/>
      <c r="H21" s="822"/>
      <c r="I21" s="823"/>
      <c r="J21" s="821">
        <v>41127</v>
      </c>
      <c r="K21" s="822"/>
      <c r="L21" s="822"/>
      <c r="M21" s="823"/>
      <c r="N21" s="821">
        <v>41127</v>
      </c>
      <c r="O21" s="822"/>
      <c r="P21" s="822"/>
      <c r="Q21" s="823"/>
      <c r="R21" s="821">
        <v>41148</v>
      </c>
      <c r="S21" s="822"/>
      <c r="T21" s="822"/>
      <c r="U21" s="823"/>
      <c r="V21" s="821">
        <v>41148</v>
      </c>
      <c r="W21" s="822"/>
      <c r="X21" s="822"/>
      <c r="Y21" s="823"/>
      <c r="Z21" s="821">
        <v>41162</v>
      </c>
      <c r="AA21" s="822"/>
      <c r="AB21" s="822"/>
      <c r="AC21" s="823"/>
      <c r="AD21" s="821">
        <v>41162</v>
      </c>
      <c r="AE21" s="822"/>
      <c r="AF21" s="822"/>
      <c r="AG21" s="823"/>
      <c r="AH21" s="821">
        <v>41177</v>
      </c>
      <c r="AI21" s="822"/>
      <c r="AJ21" s="822"/>
      <c r="AK21" s="823"/>
      <c r="AL21" s="821">
        <v>41177</v>
      </c>
      <c r="AM21" s="822"/>
      <c r="AN21" s="822"/>
      <c r="AO21" s="823"/>
    </row>
    <row r="22" spans="1:41" x14ac:dyDescent="0.25">
      <c r="A22" s="788" t="s">
        <v>144</v>
      </c>
      <c r="B22" s="731" t="s">
        <v>662</v>
      </c>
      <c r="C22" s="731" t="s">
        <v>662</v>
      </c>
      <c r="D22" s="731" t="s">
        <v>663</v>
      </c>
      <c r="E22" s="731" t="s">
        <v>663</v>
      </c>
      <c r="F22" s="731" t="s">
        <v>662</v>
      </c>
      <c r="G22" s="731" t="s">
        <v>662</v>
      </c>
      <c r="H22" s="731" t="s">
        <v>663</v>
      </c>
      <c r="I22" s="731" t="s">
        <v>663</v>
      </c>
      <c r="J22" s="731" t="s">
        <v>662</v>
      </c>
      <c r="K22" s="731" t="s">
        <v>662</v>
      </c>
      <c r="L22" s="731" t="s">
        <v>663</v>
      </c>
      <c r="M22" s="731" t="s">
        <v>663</v>
      </c>
      <c r="N22" s="731" t="s">
        <v>662</v>
      </c>
      <c r="O22" s="731" t="s">
        <v>662</v>
      </c>
      <c r="P22" s="731" t="s">
        <v>663</v>
      </c>
      <c r="Q22" s="731" t="s">
        <v>663</v>
      </c>
      <c r="R22" s="731" t="s">
        <v>662</v>
      </c>
      <c r="S22" s="731" t="s">
        <v>662</v>
      </c>
      <c r="T22" s="731" t="s">
        <v>663</v>
      </c>
      <c r="U22" s="731" t="s">
        <v>663</v>
      </c>
      <c r="V22" s="731" t="s">
        <v>662</v>
      </c>
      <c r="W22" s="731" t="s">
        <v>662</v>
      </c>
      <c r="X22" s="731" t="s">
        <v>663</v>
      </c>
      <c r="Y22" s="731" t="s">
        <v>663</v>
      </c>
      <c r="Z22" s="731" t="s">
        <v>662</v>
      </c>
      <c r="AA22" s="731" t="s">
        <v>662</v>
      </c>
      <c r="AB22" s="731" t="s">
        <v>663</v>
      </c>
      <c r="AC22" s="731" t="s">
        <v>663</v>
      </c>
      <c r="AD22" s="731" t="s">
        <v>662</v>
      </c>
      <c r="AE22" s="731" t="s">
        <v>662</v>
      </c>
      <c r="AF22" s="731" t="s">
        <v>663</v>
      </c>
      <c r="AG22" s="731" t="s">
        <v>663</v>
      </c>
      <c r="AH22" s="731" t="s">
        <v>662</v>
      </c>
      <c r="AI22" s="731" t="s">
        <v>662</v>
      </c>
      <c r="AJ22" s="731" t="s">
        <v>663</v>
      </c>
      <c r="AK22" s="731" t="s">
        <v>663</v>
      </c>
      <c r="AL22" s="731" t="s">
        <v>662</v>
      </c>
      <c r="AM22" s="731" t="s">
        <v>662</v>
      </c>
      <c r="AN22" s="731" t="s">
        <v>663</v>
      </c>
      <c r="AO22" s="731" t="s">
        <v>663</v>
      </c>
    </row>
    <row r="23" spans="1:41" ht="12.75" customHeight="1" x14ac:dyDescent="0.25">
      <c r="A23" s="788"/>
      <c r="B23" s="731" t="s">
        <v>664</v>
      </c>
      <c r="C23" s="731" t="s">
        <v>638</v>
      </c>
      <c r="D23" s="731" t="s">
        <v>1158</v>
      </c>
      <c r="E23" s="731" t="s">
        <v>638</v>
      </c>
      <c r="F23" s="731" t="s">
        <v>664</v>
      </c>
      <c r="G23" s="731" t="s">
        <v>638</v>
      </c>
      <c r="H23" s="731" t="s">
        <v>1158</v>
      </c>
      <c r="I23" s="731" t="s">
        <v>638</v>
      </c>
      <c r="J23" s="731" t="s">
        <v>664</v>
      </c>
      <c r="K23" s="731" t="s">
        <v>638</v>
      </c>
      <c r="L23" s="731" t="s">
        <v>1158</v>
      </c>
      <c r="M23" s="731" t="s">
        <v>638</v>
      </c>
      <c r="N23" s="731" t="s">
        <v>664</v>
      </c>
      <c r="O23" s="731" t="s">
        <v>638</v>
      </c>
      <c r="P23" s="731" t="s">
        <v>1158</v>
      </c>
      <c r="Q23" s="731" t="s">
        <v>638</v>
      </c>
      <c r="R23" s="731" t="s">
        <v>664</v>
      </c>
      <c r="S23" s="731" t="s">
        <v>638</v>
      </c>
      <c r="T23" s="731" t="s">
        <v>1158</v>
      </c>
      <c r="U23" s="731" t="s">
        <v>638</v>
      </c>
      <c r="V23" s="731" t="s">
        <v>664</v>
      </c>
      <c r="W23" s="731" t="s">
        <v>638</v>
      </c>
      <c r="X23" s="731" t="s">
        <v>1158</v>
      </c>
      <c r="Y23" s="731" t="s">
        <v>638</v>
      </c>
      <c r="Z23" s="731" t="s">
        <v>664</v>
      </c>
      <c r="AA23" s="731" t="s">
        <v>638</v>
      </c>
      <c r="AB23" s="731" t="s">
        <v>1158</v>
      </c>
      <c r="AC23" s="731" t="s">
        <v>638</v>
      </c>
      <c r="AD23" s="731" t="s">
        <v>664</v>
      </c>
      <c r="AE23" s="731" t="s">
        <v>638</v>
      </c>
      <c r="AF23" s="731" t="s">
        <v>1158</v>
      </c>
      <c r="AG23" s="731" t="s">
        <v>638</v>
      </c>
      <c r="AH23" s="731" t="s">
        <v>664</v>
      </c>
      <c r="AI23" s="731" t="s">
        <v>638</v>
      </c>
      <c r="AJ23" s="731" t="s">
        <v>1158</v>
      </c>
      <c r="AK23" s="731" t="s">
        <v>638</v>
      </c>
      <c r="AL23" s="731" t="s">
        <v>664</v>
      </c>
      <c r="AM23" s="731" t="s">
        <v>638</v>
      </c>
      <c r="AN23" s="731" t="s">
        <v>1158</v>
      </c>
      <c r="AO23" s="731" t="s">
        <v>638</v>
      </c>
    </row>
    <row r="24" spans="1:41" ht="13.5" customHeight="1" x14ac:dyDescent="0.3">
      <c r="A24" s="732" t="s">
        <v>667</v>
      </c>
      <c r="B24" s="733"/>
      <c r="C24" s="733"/>
      <c r="D24" s="733"/>
      <c r="E24" s="733"/>
      <c r="F24" s="733"/>
      <c r="G24" s="56"/>
      <c r="H24" s="56"/>
      <c r="I24" s="56"/>
      <c r="J24" s="56"/>
      <c r="K24" s="56"/>
      <c r="L24" s="56"/>
      <c r="M24" s="56"/>
      <c r="N24" s="56"/>
      <c r="O24" s="56"/>
      <c r="P24" s="56"/>
      <c r="Q24" s="56"/>
      <c r="R24" s="56"/>
      <c r="S24" s="56"/>
      <c r="T24" s="56"/>
      <c r="U24" s="56"/>
      <c r="V24" s="56"/>
      <c r="W24" s="56"/>
      <c r="X24" s="56"/>
      <c r="Y24" s="56"/>
      <c r="Z24" s="56"/>
      <c r="AA24" s="56"/>
      <c r="AB24" s="56"/>
      <c r="AC24" s="56"/>
      <c r="AD24" s="56"/>
      <c r="AE24" s="56"/>
      <c r="AF24" s="56"/>
      <c r="AG24" s="56"/>
      <c r="AH24" s="56"/>
      <c r="AI24" s="56"/>
      <c r="AJ24" s="56"/>
      <c r="AK24" s="56"/>
      <c r="AL24" s="56"/>
      <c r="AM24" s="56"/>
      <c r="AN24" s="56"/>
      <c r="AO24" s="56"/>
    </row>
    <row r="25" spans="1:41" x14ac:dyDescent="0.25">
      <c r="A25" s="56" t="s">
        <v>666</v>
      </c>
      <c r="B25" s="60">
        <v>89.560283687943254</v>
      </c>
      <c r="C25" s="60">
        <v>5.9829059829059759</v>
      </c>
      <c r="D25" s="60">
        <v>120010.78014184395</v>
      </c>
      <c r="E25" s="60">
        <v>10.26988558602946</v>
      </c>
      <c r="F25" s="60">
        <v>110.90163934426229</v>
      </c>
      <c r="G25" s="60">
        <v>11.111111111111114</v>
      </c>
      <c r="H25" s="60">
        <v>170899.42622950819</v>
      </c>
      <c r="I25" s="60">
        <v>24.849717352158514</v>
      </c>
      <c r="J25" s="60">
        <v>21.273584905660378</v>
      </c>
      <c r="K25" s="60">
        <v>0.3053435114503818</v>
      </c>
      <c r="L25" s="60">
        <v>14253.301886792453</v>
      </c>
      <c r="M25" s="60">
        <v>0.17904576623570997</v>
      </c>
      <c r="N25" s="60">
        <v>31.910377358490567</v>
      </c>
      <c r="O25" s="54">
        <v>0.93750000000000278</v>
      </c>
      <c r="P25" s="60">
        <v>106899.7641509434</v>
      </c>
      <c r="Q25" s="54">
        <v>6.279915517952432</v>
      </c>
      <c r="R25" s="56"/>
      <c r="S25" s="56"/>
      <c r="T25" s="56"/>
      <c r="U25" s="56"/>
      <c r="V25" s="56"/>
      <c r="W25" s="56"/>
      <c r="X25" s="56"/>
      <c r="Y25" s="56"/>
      <c r="Z25" s="56"/>
      <c r="AA25" s="56"/>
      <c r="AB25" s="56"/>
      <c r="AC25" s="56"/>
      <c r="AD25" s="56"/>
      <c r="AE25" s="56"/>
      <c r="AF25" s="56"/>
      <c r="AG25" s="56"/>
      <c r="AH25" s="56"/>
      <c r="AI25" s="56"/>
      <c r="AJ25" s="56"/>
      <c r="AK25" s="56"/>
      <c r="AL25" s="56"/>
      <c r="AM25" s="56"/>
      <c r="AN25" s="56"/>
      <c r="AO25" s="56"/>
    </row>
    <row r="26" spans="1:41" x14ac:dyDescent="0.25">
      <c r="A26" s="56" t="s">
        <v>1159</v>
      </c>
      <c r="B26" s="60"/>
      <c r="C26" s="60"/>
      <c r="D26" s="60"/>
      <c r="E26" s="60"/>
      <c r="F26" s="60"/>
      <c r="G26" s="60"/>
      <c r="H26" s="60"/>
      <c r="I26" s="60"/>
      <c r="J26" s="60"/>
      <c r="K26" s="60"/>
      <c r="L26" s="60"/>
      <c r="M26" s="60"/>
      <c r="N26" s="60"/>
      <c r="O26" s="54"/>
      <c r="P26" s="60"/>
      <c r="Q26" s="54"/>
      <c r="R26" s="60">
        <v>24.689781021897812</v>
      </c>
      <c r="S26" s="54">
        <v>0.59999999999999798</v>
      </c>
      <c r="T26" s="60">
        <v>103919.2883211679</v>
      </c>
      <c r="U26" s="54">
        <v>2.0866694098924654</v>
      </c>
      <c r="V26" s="56"/>
      <c r="W26" s="56"/>
      <c r="X26" s="56"/>
      <c r="Y26" s="56"/>
      <c r="Z26" s="56"/>
      <c r="AA26" s="56"/>
      <c r="AB26" s="56"/>
      <c r="AC26" s="56"/>
      <c r="AD26" s="56"/>
      <c r="AE26" s="56"/>
      <c r="AF26" s="56"/>
      <c r="AG26" s="56"/>
      <c r="AH26" s="56"/>
      <c r="AI26" s="56"/>
      <c r="AJ26" s="56"/>
      <c r="AK26" s="56"/>
      <c r="AL26" s="56"/>
      <c r="AM26" s="56"/>
      <c r="AN26" s="56"/>
      <c r="AO26" s="56"/>
    </row>
    <row r="27" spans="1:41" x14ac:dyDescent="0.25">
      <c r="A27" s="56" t="s">
        <v>205</v>
      </c>
      <c r="B27" s="60"/>
      <c r="C27" s="60"/>
      <c r="D27" s="60"/>
      <c r="E27" s="60"/>
      <c r="F27" s="60">
        <v>12.3224043715847</v>
      </c>
      <c r="G27" s="60">
        <v>1.2345679012345683</v>
      </c>
      <c r="H27" s="60">
        <v>15526.22950819672</v>
      </c>
      <c r="I27" s="60">
        <v>2.2575992402999301</v>
      </c>
      <c r="J27" s="60">
        <v>4510</v>
      </c>
      <c r="K27" s="60">
        <v>64.732824427480935</v>
      </c>
      <c r="L27" s="60">
        <v>7387380</v>
      </c>
      <c r="M27" s="60">
        <v>92.798084477533877</v>
      </c>
      <c r="N27" s="60">
        <v>808.39622641509436</v>
      </c>
      <c r="O27" s="54">
        <v>23.750000000000071</v>
      </c>
      <c r="P27" s="60">
        <v>1069508.2075471699</v>
      </c>
      <c r="Q27" s="54">
        <v>62.829148805878724</v>
      </c>
      <c r="R27" s="60">
        <v>3761.0766423357668</v>
      </c>
      <c r="S27" s="54">
        <v>91.399999999999693</v>
      </c>
      <c r="T27" s="60">
        <v>4738956.5693430658</v>
      </c>
      <c r="U27" s="54">
        <v>95.156884422608641</v>
      </c>
      <c r="V27" s="56"/>
      <c r="W27" s="56"/>
      <c r="X27" s="56"/>
      <c r="Y27" s="56"/>
      <c r="Z27" s="60">
        <v>865.12578616352209</v>
      </c>
      <c r="AA27" s="54">
        <v>44.525547445255505</v>
      </c>
      <c r="AB27" s="60">
        <v>1090058.4905660378</v>
      </c>
      <c r="AC27" s="54">
        <v>72.190705188413403</v>
      </c>
      <c r="AD27" s="60">
        <v>912.36781609195407</v>
      </c>
      <c r="AE27" s="54">
        <v>74.576271186441332</v>
      </c>
      <c r="AF27" s="60">
        <v>1264541.7931034483</v>
      </c>
      <c r="AG27" s="54">
        <v>92.089546604251353</v>
      </c>
      <c r="AH27" s="60">
        <v>664.51690821256045</v>
      </c>
      <c r="AI27" s="54">
        <v>50.000000000000277</v>
      </c>
      <c r="AJ27" s="60">
        <v>921020.43478260888</v>
      </c>
      <c r="AK27" s="54">
        <v>37.558305864792686</v>
      </c>
      <c r="AL27" s="60">
        <v>942.23004694835686</v>
      </c>
      <c r="AM27" s="54">
        <v>59.731543624161318</v>
      </c>
      <c r="AN27" s="60">
        <v>1365291.338028169</v>
      </c>
      <c r="AO27" s="54">
        <v>49.498531867119702</v>
      </c>
    </row>
    <row r="28" spans="1:41" x14ac:dyDescent="0.25">
      <c r="A28" s="56" t="s">
        <v>136</v>
      </c>
      <c r="B28" s="60">
        <v>1177.078014184397</v>
      </c>
      <c r="C28" s="60">
        <v>78.632478632478538</v>
      </c>
      <c r="D28" s="60">
        <v>103582.86524822694</v>
      </c>
      <c r="E28" s="60">
        <v>8.8640718235068778</v>
      </c>
      <c r="F28" s="60">
        <v>616.12021857923492</v>
      </c>
      <c r="G28" s="60">
        <v>61.728395061728413</v>
      </c>
      <c r="H28" s="60">
        <v>59147.540983606552</v>
      </c>
      <c r="I28" s="60">
        <v>8.6003780582854468</v>
      </c>
      <c r="J28" s="60">
        <v>2255</v>
      </c>
      <c r="K28" s="60">
        <v>32.366412213740468</v>
      </c>
      <c r="L28" s="60">
        <v>180400</v>
      </c>
      <c r="M28" s="60">
        <v>2.2661314890728668</v>
      </c>
      <c r="N28" s="60">
        <v>2255</v>
      </c>
      <c r="O28" s="54">
        <v>66.250000000000199</v>
      </c>
      <c r="P28" s="60">
        <v>198440</v>
      </c>
      <c r="Q28" s="54">
        <v>11.657522776410007</v>
      </c>
      <c r="R28" s="60">
        <v>255.12773722627739</v>
      </c>
      <c r="S28" s="54">
        <v>6.1999999999999789</v>
      </c>
      <c r="T28" s="60">
        <v>42861.459854014603</v>
      </c>
      <c r="U28" s="54">
        <v>0.86064578179456397</v>
      </c>
      <c r="V28" s="56"/>
      <c r="W28" s="56"/>
      <c r="X28" s="56"/>
      <c r="Y28" s="56"/>
      <c r="Z28" s="56"/>
      <c r="AA28" s="56"/>
      <c r="AB28" s="56"/>
      <c r="AC28" s="56"/>
      <c r="AD28" s="56"/>
      <c r="AE28" s="56"/>
      <c r="AF28" s="56"/>
      <c r="AG28" s="56"/>
      <c r="AH28" s="60">
        <v>326.81159420289856</v>
      </c>
      <c r="AI28" s="54">
        <v>24.590163934426368</v>
      </c>
      <c r="AJ28" s="60">
        <v>28759.420289855072</v>
      </c>
      <c r="AK28" s="54">
        <v>1.1727808232566019</v>
      </c>
      <c r="AL28" s="60">
        <v>169.38967136150237</v>
      </c>
      <c r="AM28" s="54">
        <v>10.738255033557092</v>
      </c>
      <c r="AN28" s="60">
        <v>13551.173708920189</v>
      </c>
      <c r="AO28" s="54">
        <v>0.49129675475464074</v>
      </c>
    </row>
    <row r="29" spans="1:41" x14ac:dyDescent="0.25">
      <c r="A29" s="56" t="s">
        <v>1160</v>
      </c>
      <c r="B29" s="60"/>
      <c r="C29" s="60"/>
      <c r="D29" s="60"/>
      <c r="E29" s="60"/>
      <c r="F29" s="60"/>
      <c r="G29" s="60"/>
      <c r="H29" s="60"/>
      <c r="I29" s="60"/>
      <c r="J29" s="60"/>
      <c r="K29" s="60"/>
      <c r="L29" s="60"/>
      <c r="M29" s="60"/>
      <c r="N29" s="56"/>
      <c r="O29" s="56"/>
      <c r="P29" s="56"/>
      <c r="Q29" s="56"/>
      <c r="R29" s="56"/>
      <c r="S29" s="56"/>
      <c r="T29" s="56"/>
      <c r="U29" s="56"/>
      <c r="V29" s="56"/>
      <c r="W29" s="56"/>
      <c r="X29" s="56"/>
      <c r="Y29" s="56"/>
      <c r="Z29" s="60">
        <v>42.547169811320757</v>
      </c>
      <c r="AA29" s="54">
        <v>2.1897810218978115</v>
      </c>
      <c r="AB29" s="60">
        <v>87051.509433962259</v>
      </c>
      <c r="AC29" s="54">
        <v>5.765112522072358</v>
      </c>
      <c r="AD29" s="60">
        <v>20.735632183908049</v>
      </c>
      <c r="AE29" s="54">
        <v>1.6949152542373034</v>
      </c>
      <c r="AF29" s="60">
        <v>38568.275862068971</v>
      </c>
      <c r="AG29" s="54">
        <v>2.8087130507003071</v>
      </c>
      <c r="AH29" s="60">
        <v>54.468599033816417</v>
      </c>
      <c r="AI29" s="54">
        <v>4.0983606557377268</v>
      </c>
      <c r="AJ29" s="60">
        <v>135082.12560386473</v>
      </c>
      <c r="AK29" s="54">
        <v>5.5085159880234329</v>
      </c>
      <c r="AL29" s="60">
        <v>169.38967136150237</v>
      </c>
      <c r="AM29" s="54">
        <v>10.738255033557092</v>
      </c>
      <c r="AN29" s="60">
        <v>283558.30985915498</v>
      </c>
      <c r="AO29" s="54">
        <v>10.280384593240861</v>
      </c>
    </row>
    <row r="30" spans="1:41" ht="14" x14ac:dyDescent="0.3">
      <c r="A30" s="732" t="s">
        <v>679</v>
      </c>
      <c r="B30" s="60"/>
      <c r="C30" s="60"/>
      <c r="D30" s="60"/>
      <c r="E30" s="60"/>
      <c r="F30" s="60"/>
      <c r="G30" s="60"/>
      <c r="H30" s="60"/>
      <c r="I30" s="60"/>
      <c r="J30" s="60"/>
      <c r="K30" s="60"/>
      <c r="L30" s="60"/>
      <c r="M30" s="60"/>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row>
    <row r="31" spans="1:41" x14ac:dyDescent="0.25">
      <c r="A31" s="56" t="s">
        <v>678</v>
      </c>
      <c r="B31" s="60">
        <v>6.3971631205673765</v>
      </c>
      <c r="C31" s="60">
        <v>0.42735042735042694</v>
      </c>
      <c r="D31" s="60">
        <v>767.65957446808522</v>
      </c>
      <c r="E31" s="60">
        <v>6.5692231893578659E-2</v>
      </c>
      <c r="F31" s="60"/>
      <c r="G31" s="60"/>
      <c r="H31" s="60"/>
      <c r="I31" s="60"/>
      <c r="J31" s="60"/>
      <c r="K31" s="60"/>
      <c r="L31" s="60"/>
      <c r="M31" s="60"/>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row>
    <row r="32" spans="1:41" x14ac:dyDescent="0.25">
      <c r="A32" s="56" t="s">
        <v>1161</v>
      </c>
      <c r="B32" s="60"/>
      <c r="C32" s="60"/>
      <c r="D32" s="60"/>
      <c r="E32" s="60"/>
      <c r="F32" s="60"/>
      <c r="G32" s="60"/>
      <c r="H32" s="60"/>
      <c r="I32" s="60"/>
      <c r="J32" s="60"/>
      <c r="K32" s="60"/>
      <c r="L32" s="60"/>
      <c r="M32" s="60"/>
      <c r="N32" s="56"/>
      <c r="O32" s="56"/>
      <c r="P32" s="56"/>
      <c r="Q32" s="56"/>
      <c r="R32" s="56"/>
      <c r="S32" s="56"/>
      <c r="T32" s="56"/>
      <c r="U32" s="56"/>
      <c r="V32" s="60">
        <v>5.8118556701030935</v>
      </c>
      <c r="W32" s="54">
        <v>0.89285714285714468</v>
      </c>
      <c r="X32" s="60">
        <v>552.12628865979389</v>
      </c>
      <c r="Y32" s="54">
        <v>6.1934844543540202E-2</v>
      </c>
      <c r="Z32" s="56"/>
      <c r="AA32" s="56"/>
      <c r="AB32" s="56"/>
      <c r="AC32" s="56"/>
      <c r="AD32" s="56"/>
      <c r="AE32" s="56"/>
      <c r="AF32" s="56"/>
      <c r="AG32" s="56"/>
      <c r="AH32" s="60">
        <v>10.893719806763285</v>
      </c>
      <c r="AI32" s="54">
        <v>0.81967213114754556</v>
      </c>
      <c r="AJ32" s="60">
        <v>1034.9033816425119</v>
      </c>
      <c r="AK32" s="54">
        <v>4.2202340230824691E-2</v>
      </c>
      <c r="AL32" s="56"/>
      <c r="AM32" s="56"/>
      <c r="AN32" s="56"/>
      <c r="AO32" s="56"/>
    </row>
    <row r="33" spans="1:41" ht="14" x14ac:dyDescent="0.3">
      <c r="A33" s="732" t="s">
        <v>671</v>
      </c>
      <c r="B33" s="60"/>
      <c r="C33" s="60"/>
      <c r="D33" s="60"/>
      <c r="E33" s="60"/>
      <c r="F33" s="60"/>
      <c r="G33" s="60"/>
      <c r="H33" s="60"/>
      <c r="I33" s="60"/>
      <c r="J33" s="60"/>
      <c r="K33" s="60"/>
      <c r="L33" s="60"/>
      <c r="M33" s="60"/>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row>
    <row r="34" spans="1:41" x14ac:dyDescent="0.25">
      <c r="A34" s="56" t="s">
        <v>135</v>
      </c>
      <c r="B34" s="60">
        <v>63.971631205673759</v>
      </c>
      <c r="C34" s="60">
        <v>4.273504273504269</v>
      </c>
      <c r="D34" s="60">
        <v>33265.248226950353</v>
      </c>
      <c r="E34" s="60">
        <v>2.8466633820550746</v>
      </c>
      <c r="F34" s="60">
        <v>67.773224043715842</v>
      </c>
      <c r="G34" s="60">
        <v>6.7901234567901261</v>
      </c>
      <c r="H34" s="60">
        <v>35242.076502732241</v>
      </c>
      <c r="I34" s="60">
        <v>5.1243919263950799</v>
      </c>
      <c r="J34" s="60">
        <v>63.820754716981135</v>
      </c>
      <c r="K34" s="60">
        <v>0.91603053435114545</v>
      </c>
      <c r="L34" s="60">
        <v>33186.792452830188</v>
      </c>
      <c r="M34" s="60">
        <v>0.41688267959359337</v>
      </c>
      <c r="N34" s="60">
        <v>63.820754716981135</v>
      </c>
      <c r="O34" s="54">
        <v>1.8750000000000056</v>
      </c>
      <c r="P34" s="60">
        <v>33186.792452830188</v>
      </c>
      <c r="Q34" s="54">
        <v>1.9495857130359788</v>
      </c>
      <c r="R34" s="60">
        <v>8.2299270072992705</v>
      </c>
      <c r="S34" s="54">
        <v>0.19999999999999932</v>
      </c>
      <c r="T34" s="60">
        <v>4279.5620437956204</v>
      </c>
      <c r="U34" s="54">
        <v>8.593237452633895E-2</v>
      </c>
      <c r="V34" s="56"/>
      <c r="W34" s="56"/>
      <c r="X34" s="56"/>
      <c r="Y34" s="56"/>
      <c r="Z34" s="60">
        <v>269.46540880503147</v>
      </c>
      <c r="AA34" s="54">
        <v>13.86861313868614</v>
      </c>
      <c r="AB34" s="60">
        <v>140122.01257861636</v>
      </c>
      <c r="AC34" s="54">
        <v>9.2797835969493168</v>
      </c>
      <c r="AD34" s="60">
        <v>41.471264367816097</v>
      </c>
      <c r="AE34" s="54">
        <v>3.3898305084746068</v>
      </c>
      <c r="AF34" s="60">
        <v>21565.057471264372</v>
      </c>
      <c r="AG34" s="54">
        <v>1.5704632111442578</v>
      </c>
      <c r="AH34" s="60">
        <v>43.574879227053138</v>
      </c>
      <c r="AI34" s="54">
        <v>3.2786885245901822</v>
      </c>
      <c r="AJ34" s="60">
        <v>22658.937198067633</v>
      </c>
      <c r="AK34" s="54">
        <v>0.92400913347489866</v>
      </c>
      <c r="AL34" s="60">
        <v>31.760563380281692</v>
      </c>
      <c r="AM34" s="54">
        <v>2.0134228187919549</v>
      </c>
      <c r="AN34" s="60">
        <v>16515.492957746479</v>
      </c>
      <c r="AO34" s="54">
        <v>0.59876791985721844</v>
      </c>
    </row>
    <row r="35" spans="1:41" x14ac:dyDescent="0.25">
      <c r="A35" s="56" t="s">
        <v>673</v>
      </c>
      <c r="B35" s="60">
        <v>6.3971631205673765</v>
      </c>
      <c r="C35" s="60">
        <v>0.42735042735042694</v>
      </c>
      <c r="D35" s="60">
        <v>127.94326241134753</v>
      </c>
      <c r="E35" s="60">
        <v>1.0948705315596443E-2</v>
      </c>
      <c r="F35" s="60">
        <v>18.483606557377048</v>
      </c>
      <c r="G35" s="60">
        <v>1.8518518518518525</v>
      </c>
      <c r="H35" s="60">
        <v>369.67213114754094</v>
      </c>
      <c r="I35" s="60">
        <v>5.3752362864284038E-2</v>
      </c>
      <c r="J35" s="60">
        <v>10.636792452830189</v>
      </c>
      <c r="K35" s="60">
        <v>0.1526717557251909</v>
      </c>
      <c r="L35" s="60">
        <v>212.7358490566038</v>
      </c>
      <c r="M35" s="60">
        <v>2.6723248691897013E-3</v>
      </c>
      <c r="N35" s="60">
        <v>53.183962264150942</v>
      </c>
      <c r="O35" s="54">
        <v>1.5625000000000044</v>
      </c>
      <c r="P35" s="60">
        <v>1063.6792452830189</v>
      </c>
      <c r="Q35" s="54">
        <v>6.248672157166598E-2</v>
      </c>
      <c r="R35" s="60">
        <v>8.2299270072992705</v>
      </c>
      <c r="S35" s="54">
        <v>0.19999999999999932</v>
      </c>
      <c r="T35" s="60">
        <v>164.5985401459854</v>
      </c>
      <c r="U35" s="54">
        <v>3.3050913279361132E-3</v>
      </c>
      <c r="V35" s="56"/>
      <c r="W35" s="56"/>
      <c r="X35" s="56"/>
      <c r="Y35" s="56"/>
      <c r="Z35" s="60">
        <v>624.02515723270449</v>
      </c>
      <c r="AA35" s="54">
        <v>32.116788321167903</v>
      </c>
      <c r="AB35" s="60">
        <v>12480.503144654089</v>
      </c>
      <c r="AC35" s="54">
        <v>0.82653942968779348</v>
      </c>
      <c r="AD35" s="60">
        <v>72.574712643678154</v>
      </c>
      <c r="AE35" s="54">
        <v>5.9322033898305602</v>
      </c>
      <c r="AF35" s="60">
        <v>1451.494252873563</v>
      </c>
      <c r="AG35" s="54">
        <v>0.10570425459624808</v>
      </c>
      <c r="AH35" s="60">
        <v>21.787439613526569</v>
      </c>
      <c r="AI35" s="54">
        <v>1.6393442622950911</v>
      </c>
      <c r="AJ35" s="60">
        <v>435.7487922705314</v>
      </c>
      <c r="AK35" s="54">
        <v>1.7769406412978816E-2</v>
      </c>
      <c r="AL35" s="60">
        <v>10.586854460093898</v>
      </c>
      <c r="AM35" s="54">
        <v>0.67114093959731824</v>
      </c>
      <c r="AN35" s="60">
        <v>211.73708920187795</v>
      </c>
      <c r="AO35" s="54">
        <v>7.6765117930412616E-3</v>
      </c>
    </row>
    <row r="36" spans="1:41" ht="14" x14ac:dyDescent="0.3">
      <c r="A36" s="732" t="s">
        <v>665</v>
      </c>
      <c r="B36" s="60"/>
      <c r="C36" s="60"/>
      <c r="D36" s="60"/>
      <c r="E36" s="60"/>
      <c r="F36" s="60"/>
      <c r="G36" s="60"/>
      <c r="H36" s="60"/>
      <c r="I36" s="60"/>
      <c r="J36" s="60"/>
      <c r="K36" s="60"/>
      <c r="L36" s="60"/>
      <c r="M36" s="60"/>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row>
    <row r="37" spans="1:41" x14ac:dyDescent="0.25">
      <c r="A37" s="56" t="s">
        <v>687</v>
      </c>
      <c r="B37" s="60"/>
      <c r="C37" s="60"/>
      <c r="D37" s="60"/>
      <c r="E37" s="60"/>
      <c r="F37" s="60"/>
      <c r="G37" s="60"/>
      <c r="H37" s="60"/>
      <c r="I37" s="60"/>
      <c r="J37" s="60"/>
      <c r="K37" s="60"/>
      <c r="L37" s="60"/>
      <c r="M37" s="60"/>
      <c r="N37" s="56"/>
      <c r="O37" s="56"/>
      <c r="P37" s="56"/>
      <c r="Q37" s="56"/>
      <c r="R37" s="60">
        <v>8.2299270072992705</v>
      </c>
      <c r="S37" s="54">
        <v>0.19999999999999932</v>
      </c>
      <c r="T37" s="60">
        <v>1086.3503649635038</v>
      </c>
      <c r="U37" s="54">
        <v>2.181360276437835E-2</v>
      </c>
      <c r="V37" s="56"/>
      <c r="W37" s="56"/>
      <c r="X37" s="56"/>
      <c r="Y37" s="56"/>
      <c r="Z37" s="56"/>
      <c r="AA37" s="56"/>
      <c r="AB37" s="56"/>
      <c r="AC37" s="56"/>
      <c r="AD37" s="56"/>
      <c r="AE37" s="56"/>
      <c r="AF37" s="56"/>
      <c r="AG37" s="56"/>
      <c r="AH37" s="56"/>
      <c r="AI37" s="56"/>
      <c r="AJ37" s="56"/>
      <c r="AK37" s="56"/>
      <c r="AL37" s="56"/>
      <c r="AM37" s="56"/>
      <c r="AN37" s="56"/>
      <c r="AO37" s="56"/>
    </row>
    <row r="38" spans="1:41" x14ac:dyDescent="0.25">
      <c r="A38" s="56" t="s">
        <v>682</v>
      </c>
      <c r="B38" s="60"/>
      <c r="C38" s="60"/>
      <c r="D38" s="60"/>
      <c r="E38" s="60"/>
      <c r="F38" s="60"/>
      <c r="G38" s="60"/>
      <c r="H38" s="60"/>
      <c r="I38" s="60"/>
      <c r="J38" s="60"/>
      <c r="K38" s="60"/>
      <c r="L38" s="60"/>
      <c r="M38" s="60"/>
      <c r="N38" s="56"/>
      <c r="O38" s="56"/>
      <c r="P38" s="56"/>
      <c r="Q38" s="56"/>
      <c r="R38" s="60"/>
      <c r="S38" s="54"/>
      <c r="T38" s="60"/>
      <c r="U38" s="54"/>
      <c r="V38" s="60">
        <v>11.623711340206187</v>
      </c>
      <c r="W38" s="54">
        <v>1.7857142857142894</v>
      </c>
      <c r="X38" s="60">
        <v>581.18556701030934</v>
      </c>
      <c r="Y38" s="54">
        <v>6.5194573203726527E-2</v>
      </c>
      <c r="Z38" s="56"/>
      <c r="AA38" s="56"/>
      <c r="AB38" s="56"/>
      <c r="AC38" s="56"/>
      <c r="AD38" s="56"/>
      <c r="AE38" s="56"/>
      <c r="AF38" s="56"/>
      <c r="AG38" s="56"/>
      <c r="AH38" s="56"/>
      <c r="AI38" s="56"/>
      <c r="AJ38" s="56"/>
      <c r="AK38" s="56"/>
      <c r="AL38" s="56"/>
      <c r="AM38" s="56"/>
      <c r="AN38" s="56"/>
      <c r="AO38" s="56"/>
    </row>
    <row r="39" spans="1:41" x14ac:dyDescent="0.25">
      <c r="A39" s="56" t="s">
        <v>670</v>
      </c>
      <c r="B39" s="60"/>
      <c r="C39" s="60"/>
      <c r="D39" s="60"/>
      <c r="E39" s="60"/>
      <c r="F39" s="60"/>
      <c r="G39" s="60"/>
      <c r="H39" s="60"/>
      <c r="I39" s="60"/>
      <c r="J39" s="60"/>
      <c r="K39" s="60"/>
      <c r="L39" s="60"/>
      <c r="M39" s="60"/>
      <c r="N39" s="56"/>
      <c r="O39" s="56"/>
      <c r="P39" s="56"/>
      <c r="Q39" s="56"/>
      <c r="R39" s="60">
        <v>8.2299270072992705</v>
      </c>
      <c r="S39" s="54">
        <v>0.19999999999999932</v>
      </c>
      <c r="T39" s="60">
        <v>3785.7664233576643</v>
      </c>
      <c r="U39" s="54">
        <v>7.6017100542530608E-2</v>
      </c>
      <c r="V39" s="56"/>
      <c r="W39" s="56"/>
      <c r="X39" s="56"/>
      <c r="Y39" s="56"/>
      <c r="Z39" s="60">
        <v>14.182389937106919</v>
      </c>
      <c r="AA39" s="54">
        <v>0.72992700729927051</v>
      </c>
      <c r="AB39" s="60">
        <v>6523.899371069183</v>
      </c>
      <c r="AC39" s="54">
        <v>0.43205470188225564</v>
      </c>
      <c r="AD39" s="56"/>
      <c r="AE39" s="56"/>
      <c r="AF39" s="56"/>
      <c r="AG39" s="56"/>
      <c r="AH39" s="56"/>
      <c r="AI39" s="56"/>
      <c r="AJ39" s="56"/>
      <c r="AK39" s="56"/>
      <c r="AL39" s="56"/>
      <c r="AM39" s="56"/>
      <c r="AN39" s="56"/>
      <c r="AO39" s="56"/>
    </row>
    <row r="40" spans="1:41" x14ac:dyDescent="0.25">
      <c r="A40" s="56" t="s">
        <v>683</v>
      </c>
      <c r="B40" s="60"/>
      <c r="C40" s="60"/>
      <c r="D40" s="60"/>
      <c r="E40" s="60"/>
      <c r="F40" s="60"/>
      <c r="G40" s="60"/>
      <c r="H40" s="60"/>
      <c r="I40" s="60"/>
      <c r="J40" s="60"/>
      <c r="K40" s="60"/>
      <c r="L40" s="60"/>
      <c r="M40" s="60"/>
      <c r="N40" s="56"/>
      <c r="O40" s="56"/>
      <c r="P40" s="56"/>
      <c r="Q40" s="56"/>
      <c r="R40" s="60">
        <v>8.2299270072992705</v>
      </c>
      <c r="S40" s="54">
        <v>0.19999999999999932</v>
      </c>
      <c r="T40" s="60">
        <v>14813.868613138688</v>
      </c>
      <c r="U40" s="54">
        <v>0.29745821951425022</v>
      </c>
      <c r="V40" s="60">
        <v>46.494845360824748</v>
      </c>
      <c r="W40" s="54">
        <v>7.1428571428571574</v>
      </c>
      <c r="X40" s="60">
        <v>21387.628865979383</v>
      </c>
      <c r="Y40" s="54">
        <v>2.3991602938971361</v>
      </c>
      <c r="Z40" s="56"/>
      <c r="AA40" s="56"/>
      <c r="AB40" s="56"/>
      <c r="AC40" s="56"/>
      <c r="AD40" s="56"/>
      <c r="AE40" s="56"/>
      <c r="AF40" s="56"/>
      <c r="AG40" s="56"/>
      <c r="AH40" s="56"/>
      <c r="AI40" s="56"/>
      <c r="AJ40" s="56"/>
      <c r="AK40" s="56"/>
      <c r="AL40" s="56"/>
      <c r="AM40" s="56"/>
      <c r="AN40" s="56"/>
      <c r="AO40" s="56"/>
    </row>
    <row r="41" spans="1:41" x14ac:dyDescent="0.25">
      <c r="A41" s="56" t="s">
        <v>672</v>
      </c>
      <c r="B41" s="60"/>
      <c r="C41" s="60"/>
      <c r="D41" s="60"/>
      <c r="E41" s="60"/>
      <c r="F41" s="60"/>
      <c r="G41" s="60"/>
      <c r="H41" s="60"/>
      <c r="I41" s="60"/>
      <c r="J41" s="60"/>
      <c r="K41" s="60"/>
      <c r="L41" s="60"/>
      <c r="M41" s="60"/>
      <c r="N41" s="56"/>
      <c r="O41" s="56"/>
      <c r="P41" s="56"/>
      <c r="Q41" s="56"/>
      <c r="R41" s="60"/>
      <c r="S41" s="54"/>
      <c r="T41" s="60"/>
      <c r="U41" s="54"/>
      <c r="V41" s="60"/>
      <c r="W41" s="54"/>
      <c r="X41" s="60"/>
      <c r="Y41" s="54"/>
      <c r="Z41" s="60">
        <v>10.367816091954024</v>
      </c>
      <c r="AA41" s="54">
        <v>0.84745762711865169</v>
      </c>
      <c r="AB41" s="60">
        <v>3836.0919540229888</v>
      </c>
      <c r="AC41" s="54">
        <v>0.2793612442900843</v>
      </c>
      <c r="AD41" s="56"/>
      <c r="AE41" s="56"/>
      <c r="AF41" s="56"/>
      <c r="AG41" s="56"/>
      <c r="AH41" s="56"/>
      <c r="AI41" s="56"/>
      <c r="AJ41" s="56"/>
      <c r="AK41" s="56"/>
      <c r="AL41" s="56"/>
      <c r="AM41" s="56"/>
      <c r="AN41" s="56"/>
      <c r="AO41" s="56"/>
    </row>
    <row r="42" spans="1:41" x14ac:dyDescent="0.25">
      <c r="A42" s="56" t="s">
        <v>684</v>
      </c>
      <c r="B42" s="60"/>
      <c r="C42" s="60"/>
      <c r="D42" s="60"/>
      <c r="E42" s="60"/>
      <c r="F42" s="60"/>
      <c r="G42" s="60"/>
      <c r="H42" s="60"/>
      <c r="I42" s="60"/>
      <c r="J42" s="60"/>
      <c r="K42" s="60"/>
      <c r="L42" s="60"/>
      <c r="M42" s="60"/>
      <c r="N42" s="56"/>
      <c r="O42" s="56"/>
      <c r="P42" s="56"/>
      <c r="Q42" s="56"/>
      <c r="R42" s="60"/>
      <c r="S42" s="54"/>
      <c r="T42" s="60"/>
      <c r="U42" s="54"/>
      <c r="V42" s="60">
        <v>5.8118556701030935</v>
      </c>
      <c r="W42" s="54">
        <v>0.89285714285714468</v>
      </c>
      <c r="X42" s="60">
        <v>813.6597938144331</v>
      </c>
      <c r="Y42" s="54">
        <v>9.1272402485217133E-2</v>
      </c>
      <c r="Z42" s="56"/>
      <c r="AA42" s="56"/>
      <c r="AB42" s="56"/>
      <c r="AC42" s="56"/>
      <c r="AD42" s="56"/>
      <c r="AE42" s="56"/>
      <c r="AF42" s="56"/>
      <c r="AG42" s="56"/>
      <c r="AH42" s="56"/>
      <c r="AI42" s="56"/>
      <c r="AJ42" s="56"/>
      <c r="AK42" s="56"/>
      <c r="AL42" s="56"/>
      <c r="AM42" s="56"/>
      <c r="AN42" s="56"/>
      <c r="AO42" s="56"/>
    </row>
    <row r="43" spans="1:41" x14ac:dyDescent="0.25">
      <c r="A43" s="56" t="s">
        <v>1162</v>
      </c>
      <c r="B43" s="60"/>
      <c r="C43" s="60"/>
      <c r="D43" s="60"/>
      <c r="E43" s="60"/>
      <c r="F43" s="60"/>
      <c r="G43" s="60"/>
      <c r="H43" s="60"/>
      <c r="I43" s="60"/>
      <c r="J43" s="60"/>
      <c r="K43" s="60"/>
      <c r="L43" s="60"/>
      <c r="M43" s="60"/>
      <c r="N43" s="56"/>
      <c r="O43" s="56"/>
      <c r="P43" s="56"/>
      <c r="Q43" s="56"/>
      <c r="R43" s="60"/>
      <c r="S43" s="54"/>
      <c r="T43" s="60"/>
      <c r="U43" s="54"/>
      <c r="V43" s="60">
        <v>5.8118556701030935</v>
      </c>
      <c r="W43" s="54">
        <v>0.89285714285714468</v>
      </c>
      <c r="X43" s="60">
        <v>3370.8762886597942</v>
      </c>
      <c r="Y43" s="54">
        <v>0.37812852458161389</v>
      </c>
      <c r="Z43" s="56"/>
      <c r="AA43" s="56"/>
      <c r="AB43" s="56"/>
      <c r="AC43" s="56"/>
      <c r="AD43" s="56"/>
      <c r="AE43" s="56"/>
      <c r="AF43" s="56"/>
      <c r="AG43" s="56"/>
      <c r="AH43" s="56"/>
      <c r="AI43" s="56"/>
      <c r="AJ43" s="56"/>
      <c r="AK43" s="56"/>
      <c r="AL43" s="56"/>
      <c r="AM43" s="56"/>
      <c r="AN43" s="56"/>
      <c r="AO43" s="56"/>
    </row>
    <row r="44" spans="1:41" x14ac:dyDescent="0.25">
      <c r="A44" s="62" t="s">
        <v>689</v>
      </c>
      <c r="B44" s="60"/>
      <c r="C44" s="60"/>
      <c r="D44" s="60"/>
      <c r="E44" s="60"/>
      <c r="F44" s="60"/>
      <c r="G44" s="60"/>
      <c r="H44" s="60"/>
      <c r="I44" s="60"/>
      <c r="J44" s="60"/>
      <c r="K44" s="60"/>
      <c r="L44" s="60"/>
      <c r="M44" s="60"/>
      <c r="N44" s="56"/>
      <c r="O44" s="56"/>
      <c r="P44" s="56"/>
      <c r="Q44" s="56"/>
      <c r="R44" s="60"/>
      <c r="S44" s="54"/>
      <c r="T44" s="60"/>
      <c r="U44" s="54"/>
      <c r="V44" s="60"/>
      <c r="W44" s="54"/>
      <c r="X44" s="60"/>
      <c r="Y44" s="54"/>
      <c r="Z44" s="56"/>
      <c r="AA44" s="56"/>
      <c r="AB44" s="56"/>
      <c r="AC44" s="56"/>
      <c r="AD44" s="56"/>
      <c r="AE44" s="56"/>
      <c r="AF44" s="56"/>
      <c r="AG44" s="56"/>
      <c r="AH44" s="56"/>
      <c r="AI44" s="56"/>
      <c r="AJ44" s="56"/>
      <c r="AK44" s="56"/>
      <c r="AL44" s="60">
        <v>10.586854460093898</v>
      </c>
      <c r="AM44" s="54">
        <v>0.67114093959731824</v>
      </c>
      <c r="AN44" s="60">
        <v>20750.234741784039</v>
      </c>
      <c r="AO44" s="54">
        <v>0.7522981557180437</v>
      </c>
    </row>
    <row r="45" spans="1:41" x14ac:dyDescent="0.25">
      <c r="A45" s="56" t="s">
        <v>1163</v>
      </c>
      <c r="B45" s="60"/>
      <c r="C45" s="60"/>
      <c r="D45" s="60"/>
      <c r="E45" s="60"/>
      <c r="F45" s="60"/>
      <c r="G45" s="60"/>
      <c r="H45" s="60"/>
      <c r="I45" s="60"/>
      <c r="J45" s="60"/>
      <c r="K45" s="60"/>
      <c r="L45" s="60"/>
      <c r="M45" s="60"/>
      <c r="N45" s="56"/>
      <c r="O45" s="56"/>
      <c r="P45" s="56"/>
      <c r="Q45" s="56"/>
      <c r="R45" s="60"/>
      <c r="S45" s="54"/>
      <c r="T45" s="60"/>
      <c r="U45" s="54"/>
      <c r="V45" s="60">
        <v>476.57216494845363</v>
      </c>
      <c r="W45" s="54">
        <v>73.214285714285865</v>
      </c>
      <c r="X45" s="60">
        <v>597621.49484536087</v>
      </c>
      <c r="Y45" s="54">
        <v>67.038275733927904</v>
      </c>
      <c r="Z45" s="56"/>
      <c r="AA45" s="56"/>
      <c r="AB45" s="56"/>
      <c r="AC45" s="56"/>
      <c r="AD45" s="56"/>
      <c r="AE45" s="56"/>
      <c r="AF45" s="56"/>
      <c r="AG45" s="56"/>
      <c r="AH45" s="56"/>
      <c r="AI45" s="56"/>
      <c r="AJ45" s="56"/>
      <c r="AK45" s="56"/>
      <c r="AL45" s="56"/>
      <c r="AM45" s="56"/>
      <c r="AN45" s="56"/>
      <c r="AO45" s="56"/>
    </row>
    <row r="46" spans="1:41" x14ac:dyDescent="0.25">
      <c r="A46" s="62" t="s">
        <v>677</v>
      </c>
      <c r="B46" s="60">
        <v>6.3971631205673765</v>
      </c>
      <c r="C46" s="60">
        <v>0.42735042735042694</v>
      </c>
      <c r="D46" s="60">
        <v>2865.9290780141846</v>
      </c>
      <c r="E46" s="60">
        <v>0.24525099906936029</v>
      </c>
      <c r="F46" s="60"/>
      <c r="G46" s="60"/>
      <c r="H46" s="60"/>
      <c r="I46" s="60"/>
      <c r="J46" s="60"/>
      <c r="K46" s="60"/>
      <c r="L46" s="60"/>
      <c r="M46" s="60"/>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60">
        <v>10.586854460093898</v>
      </c>
      <c r="AM46" s="54">
        <v>0.67114093959731824</v>
      </c>
      <c r="AN46" s="60">
        <v>2540.8450704225356</v>
      </c>
      <c r="AO46" s="54">
        <v>9.2118141516495153E-2</v>
      </c>
    </row>
    <row r="47" spans="1:41" s="62" customFormat="1" x14ac:dyDescent="0.25">
      <c r="A47" s="56" t="s">
        <v>143</v>
      </c>
      <c r="B47" s="60">
        <v>6.3971631205673765</v>
      </c>
      <c r="C47" s="60">
        <v>0.42735042735042694</v>
      </c>
      <c r="D47" s="60">
        <v>64483.404255319154</v>
      </c>
      <c r="E47" s="60">
        <v>5.5181474790606071</v>
      </c>
      <c r="F47" s="60"/>
      <c r="G47" s="60"/>
      <c r="H47" s="60"/>
      <c r="I47" s="60"/>
      <c r="J47" s="60"/>
      <c r="K47" s="60"/>
      <c r="L47" s="60"/>
      <c r="M47" s="60"/>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row>
    <row r="48" spans="1:41" s="62" customFormat="1" x14ac:dyDescent="0.25">
      <c r="A48" s="56" t="s">
        <v>681</v>
      </c>
      <c r="B48" s="60"/>
      <c r="C48" s="60"/>
      <c r="D48" s="60"/>
      <c r="E48" s="60"/>
      <c r="F48" s="60">
        <v>6.1612021857923498</v>
      </c>
      <c r="G48" s="60">
        <v>0.61728395061728414</v>
      </c>
      <c r="H48" s="60">
        <v>369.67213114754099</v>
      </c>
      <c r="I48" s="60">
        <v>5.3752362864284052E-2</v>
      </c>
      <c r="J48" s="60"/>
      <c r="K48" s="60"/>
      <c r="L48" s="60"/>
      <c r="M48" s="60"/>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row>
    <row r="49" spans="1:41" s="62" customFormat="1" x14ac:dyDescent="0.25">
      <c r="A49" s="56" t="s">
        <v>688</v>
      </c>
      <c r="B49" s="60"/>
      <c r="C49" s="60"/>
      <c r="D49" s="60"/>
      <c r="E49" s="60"/>
      <c r="F49" s="60"/>
      <c r="G49" s="60"/>
      <c r="H49" s="60"/>
      <c r="I49" s="60"/>
      <c r="J49" s="60"/>
      <c r="K49" s="60"/>
      <c r="L49" s="60"/>
      <c r="M49" s="60"/>
      <c r="N49" s="56"/>
      <c r="O49" s="56"/>
      <c r="P49" s="56"/>
      <c r="Q49" s="56"/>
      <c r="R49" s="60">
        <v>24.689781021897812</v>
      </c>
      <c r="S49" s="54">
        <v>0.59999999999999798</v>
      </c>
      <c r="T49" s="60">
        <v>4444.1605839416061</v>
      </c>
      <c r="U49" s="54">
        <v>8.9237465854275069E-2</v>
      </c>
      <c r="V49" s="56"/>
      <c r="W49" s="56"/>
      <c r="X49" s="56"/>
      <c r="Y49" s="56"/>
      <c r="Z49" s="56"/>
      <c r="AA49" s="56"/>
      <c r="AB49" s="56"/>
      <c r="AC49" s="56"/>
      <c r="AD49" s="56"/>
      <c r="AE49" s="56"/>
      <c r="AF49" s="56"/>
      <c r="AG49" s="56"/>
      <c r="AH49" s="56"/>
      <c r="AI49" s="56"/>
      <c r="AJ49" s="56"/>
      <c r="AK49" s="56"/>
      <c r="AL49" s="56"/>
      <c r="AM49" s="56"/>
      <c r="AN49" s="56"/>
      <c r="AO49" s="56"/>
    </row>
    <row r="50" spans="1:41" s="62" customFormat="1" x14ac:dyDescent="0.25">
      <c r="A50" s="56" t="s">
        <v>1164</v>
      </c>
      <c r="B50" s="60"/>
      <c r="C50" s="60"/>
      <c r="D50" s="60"/>
      <c r="E50" s="60"/>
      <c r="F50" s="60"/>
      <c r="G50" s="60"/>
      <c r="H50" s="60"/>
      <c r="I50" s="60"/>
      <c r="J50" s="60"/>
      <c r="K50" s="60"/>
      <c r="L50" s="60"/>
      <c r="M50" s="60"/>
      <c r="N50" s="56"/>
      <c r="O50" s="56"/>
      <c r="P50" s="56"/>
      <c r="Q50" s="56"/>
      <c r="R50" s="60"/>
      <c r="S50" s="54"/>
      <c r="T50" s="60"/>
      <c r="U50" s="54"/>
      <c r="V50" s="60">
        <v>5.8118556701030935</v>
      </c>
      <c r="W50" s="54">
        <v>0.89285714285714468</v>
      </c>
      <c r="X50" s="60">
        <v>31384.020618556704</v>
      </c>
      <c r="Y50" s="54">
        <v>3.5205069530012323</v>
      </c>
      <c r="Z50" s="56"/>
      <c r="AA50" s="56"/>
      <c r="AB50" s="56"/>
      <c r="AC50" s="56"/>
      <c r="AD50" s="56"/>
      <c r="AE50" s="56"/>
      <c r="AF50" s="56"/>
      <c r="AG50" s="56"/>
      <c r="AH50" s="56"/>
      <c r="AI50" s="56"/>
      <c r="AJ50" s="56"/>
      <c r="AK50" s="56"/>
      <c r="AL50" s="56"/>
      <c r="AM50" s="56"/>
      <c r="AN50" s="56"/>
      <c r="AO50" s="56"/>
    </row>
    <row r="51" spans="1:41" s="62" customFormat="1" x14ac:dyDescent="0.25">
      <c r="A51" s="56" t="s">
        <v>1165</v>
      </c>
      <c r="B51" s="60"/>
      <c r="C51" s="60"/>
      <c r="D51" s="60"/>
      <c r="E51" s="60"/>
      <c r="F51" s="60">
        <v>6.1612021857923498</v>
      </c>
      <c r="G51" s="60">
        <v>0.61728395061728414</v>
      </c>
      <c r="H51" s="60">
        <v>6777.3224043715845</v>
      </c>
      <c r="I51" s="60">
        <v>0.98545998584520755</v>
      </c>
      <c r="J51" s="60"/>
      <c r="K51" s="60"/>
      <c r="L51" s="60"/>
      <c r="M51" s="60"/>
      <c r="N51" s="56"/>
      <c r="O51" s="56"/>
      <c r="P51" s="56"/>
      <c r="Q51" s="56"/>
      <c r="R51" s="56"/>
      <c r="S51" s="56"/>
      <c r="T51" s="56"/>
      <c r="U51" s="56"/>
      <c r="V51" s="56"/>
      <c r="W51" s="56"/>
      <c r="X51" s="56"/>
      <c r="Y51" s="56"/>
      <c r="Z51" s="56"/>
      <c r="AA51" s="56"/>
      <c r="AB51" s="56"/>
      <c r="AC51" s="56"/>
      <c r="AD51" s="56"/>
      <c r="AE51" s="56"/>
      <c r="AF51" s="56"/>
      <c r="AG51" s="56"/>
      <c r="AH51" s="60">
        <v>10.893719806763285</v>
      </c>
      <c r="AI51" s="54">
        <v>0.81967213114754556</v>
      </c>
      <c r="AJ51" s="60">
        <v>11983.091787439613</v>
      </c>
      <c r="AK51" s="54">
        <v>0.48865867635691751</v>
      </c>
      <c r="AL51" s="60">
        <v>52.93427230046948</v>
      </c>
      <c r="AM51" s="54">
        <v>3.355704697986591</v>
      </c>
      <c r="AN51" s="60">
        <v>29113.849765258215</v>
      </c>
      <c r="AO51" s="54">
        <v>1.0555203715431734</v>
      </c>
    </row>
    <row r="52" spans="1:41" s="62" customFormat="1" x14ac:dyDescent="0.25">
      <c r="A52" s="56" t="s">
        <v>685</v>
      </c>
      <c r="B52" s="60"/>
      <c r="C52" s="60"/>
      <c r="D52" s="60"/>
      <c r="E52" s="60"/>
      <c r="F52" s="60"/>
      <c r="G52" s="60"/>
      <c r="H52" s="60"/>
      <c r="I52" s="60"/>
      <c r="J52" s="60"/>
      <c r="K52" s="60"/>
      <c r="L52" s="60"/>
      <c r="M52" s="60"/>
      <c r="N52" s="60">
        <v>10.636792452830189</v>
      </c>
      <c r="O52" s="54">
        <v>0.31250000000000094</v>
      </c>
      <c r="P52" s="60">
        <v>1595.5188679245284</v>
      </c>
      <c r="Q52" s="54">
        <v>9.3730082357498981E-2</v>
      </c>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row>
    <row r="53" spans="1:41" s="62" customFormat="1" x14ac:dyDescent="0.25">
      <c r="A53" s="56" t="s">
        <v>1166</v>
      </c>
      <c r="B53" s="60"/>
      <c r="C53" s="60"/>
      <c r="D53" s="60"/>
      <c r="E53" s="60"/>
      <c r="F53" s="60"/>
      <c r="G53" s="60"/>
      <c r="H53" s="60"/>
      <c r="I53" s="60"/>
      <c r="J53" s="60"/>
      <c r="K53" s="60"/>
      <c r="L53" s="60"/>
      <c r="M53" s="60"/>
      <c r="N53" s="60"/>
      <c r="O53" s="54"/>
      <c r="P53" s="60"/>
      <c r="Q53" s="54"/>
      <c r="R53" s="56"/>
      <c r="S53" s="56"/>
      <c r="T53" s="56"/>
      <c r="U53" s="56"/>
      <c r="V53" s="60">
        <v>5.8118556701030935</v>
      </c>
      <c r="W53" s="54">
        <v>0.89285714285714468</v>
      </c>
      <c r="X53" s="60">
        <v>1075.1932989690722</v>
      </c>
      <c r="Y53" s="54">
        <v>0.12060996042689406</v>
      </c>
      <c r="Z53" s="56"/>
      <c r="AA53" s="56"/>
      <c r="AB53" s="56"/>
      <c r="AC53" s="56"/>
      <c r="AD53" s="56"/>
      <c r="AE53" s="56"/>
      <c r="AF53" s="56"/>
      <c r="AG53" s="56"/>
      <c r="AH53" s="56"/>
      <c r="AI53" s="56"/>
      <c r="AJ53" s="56"/>
      <c r="AK53" s="56"/>
      <c r="AL53" s="56"/>
      <c r="AM53" s="56"/>
      <c r="AN53" s="56"/>
      <c r="AO53" s="56"/>
    </row>
    <row r="54" spans="1:41" s="62" customFormat="1" x14ac:dyDescent="0.25">
      <c r="A54" s="56" t="s">
        <v>1167</v>
      </c>
      <c r="B54" s="60"/>
      <c r="C54" s="60"/>
      <c r="D54" s="60"/>
      <c r="E54" s="60"/>
      <c r="F54" s="60"/>
      <c r="G54" s="60"/>
      <c r="H54" s="60"/>
      <c r="I54" s="60"/>
      <c r="J54" s="60"/>
      <c r="K54" s="60"/>
      <c r="L54" s="60"/>
      <c r="M54" s="60"/>
      <c r="N54" s="60"/>
      <c r="O54" s="54"/>
      <c r="P54" s="60"/>
      <c r="Q54" s="54"/>
      <c r="R54" s="56"/>
      <c r="S54" s="56"/>
      <c r="T54" s="56"/>
      <c r="U54" s="56"/>
      <c r="V54" s="60">
        <v>5.8118556701030935</v>
      </c>
      <c r="W54" s="54">
        <v>0.89285714285714468</v>
      </c>
      <c r="X54" s="60">
        <v>552.12628865979389</v>
      </c>
      <c r="Y54" s="54">
        <v>6.1934844543540202E-2</v>
      </c>
      <c r="Z54" s="56"/>
      <c r="AA54" s="56"/>
      <c r="AB54" s="56"/>
      <c r="AC54" s="56"/>
      <c r="AD54" s="56"/>
      <c r="AE54" s="56"/>
      <c r="AF54" s="56"/>
      <c r="AG54" s="56"/>
      <c r="AH54" s="56"/>
      <c r="AI54" s="56"/>
      <c r="AJ54" s="56"/>
      <c r="AK54" s="56"/>
      <c r="AL54" s="56"/>
      <c r="AM54" s="56"/>
      <c r="AN54" s="56"/>
      <c r="AO54" s="56"/>
    </row>
    <row r="55" spans="1:41" s="62" customFormat="1" x14ac:dyDescent="0.25">
      <c r="A55" s="56" t="s">
        <v>1168</v>
      </c>
      <c r="B55" s="60"/>
      <c r="C55" s="60"/>
      <c r="D55" s="60"/>
      <c r="E55" s="60"/>
      <c r="F55" s="60"/>
      <c r="G55" s="60"/>
      <c r="H55" s="60"/>
      <c r="I55" s="60"/>
      <c r="J55" s="60"/>
      <c r="K55" s="60"/>
      <c r="L55" s="60"/>
      <c r="M55" s="60"/>
      <c r="N55" s="60"/>
      <c r="O55" s="54"/>
      <c r="P55" s="60"/>
      <c r="Q55" s="54"/>
      <c r="R55" s="56"/>
      <c r="S55" s="56"/>
      <c r="T55" s="56"/>
      <c r="U55" s="56"/>
      <c r="V55" s="60">
        <v>23.247422680412374</v>
      </c>
      <c r="W55" s="54">
        <v>3.5714285714285787</v>
      </c>
      <c r="X55" s="60">
        <v>2789.6907216494847</v>
      </c>
      <c r="Y55" s="54">
        <v>0.31293395137788732</v>
      </c>
      <c r="Z55" s="56"/>
      <c r="AA55" s="56"/>
      <c r="AB55" s="56"/>
      <c r="AC55" s="56"/>
      <c r="AD55" s="56"/>
      <c r="AE55" s="56"/>
      <c r="AF55" s="56"/>
      <c r="AG55" s="56"/>
      <c r="AH55" s="56"/>
      <c r="AI55" s="56"/>
      <c r="AJ55" s="56"/>
      <c r="AK55" s="56"/>
      <c r="AL55" s="56"/>
      <c r="AM55" s="56"/>
      <c r="AN55" s="56"/>
      <c r="AO55" s="56"/>
    </row>
    <row r="56" spans="1:41" s="62" customFormat="1" x14ac:dyDescent="0.25">
      <c r="A56" s="56" t="s">
        <v>690</v>
      </c>
      <c r="B56" s="60"/>
      <c r="C56" s="60"/>
      <c r="D56" s="60"/>
      <c r="E56" s="60"/>
      <c r="F56" s="60"/>
      <c r="G56" s="60"/>
      <c r="H56" s="60"/>
      <c r="I56" s="60"/>
      <c r="J56" s="60"/>
      <c r="K56" s="60"/>
      <c r="L56" s="60"/>
      <c r="M56" s="60"/>
      <c r="N56" s="60"/>
      <c r="O56" s="54"/>
      <c r="P56" s="60"/>
      <c r="Q56" s="54"/>
      <c r="R56" s="56"/>
      <c r="S56" s="56"/>
      <c r="T56" s="56"/>
      <c r="U56" s="56"/>
      <c r="V56" s="60">
        <v>11.623711340206187</v>
      </c>
      <c r="W56" s="54">
        <v>1.7857142857142894</v>
      </c>
      <c r="X56" s="60">
        <v>1359.9742268041239</v>
      </c>
      <c r="Y56" s="54">
        <v>0.15255530129672007</v>
      </c>
      <c r="Z56" s="56"/>
      <c r="AA56" s="56"/>
      <c r="AB56" s="56"/>
      <c r="AC56" s="56"/>
      <c r="AD56" s="60">
        <v>10.367816091954024</v>
      </c>
      <c r="AE56" s="54">
        <v>0.84745762711865169</v>
      </c>
      <c r="AF56" s="60">
        <v>1213.0344827586209</v>
      </c>
      <c r="AG56" s="54">
        <v>8.833855562686449E-2</v>
      </c>
      <c r="AH56" s="56"/>
      <c r="AI56" s="56"/>
      <c r="AJ56" s="56"/>
      <c r="AK56" s="56"/>
      <c r="AL56" s="56"/>
      <c r="AM56" s="56"/>
      <c r="AN56" s="56"/>
      <c r="AO56" s="56"/>
    </row>
    <row r="57" spans="1:41" s="62" customFormat="1" x14ac:dyDescent="0.25">
      <c r="A57" s="56" t="s">
        <v>7</v>
      </c>
      <c r="B57" s="60">
        <v>89.560283687943254</v>
      </c>
      <c r="C57" s="60">
        <v>5.9829059829059759</v>
      </c>
      <c r="D57" s="60">
        <v>716482.26950354606</v>
      </c>
      <c r="E57" s="60">
        <v>61.312749767340065</v>
      </c>
      <c r="F57" s="60">
        <v>36.967213114754095</v>
      </c>
      <c r="G57" s="60">
        <v>3.7037037037037051</v>
      </c>
      <c r="H57" s="60">
        <v>295737.70491803274</v>
      </c>
      <c r="I57" s="60">
        <v>43.00189029142723</v>
      </c>
      <c r="J57" s="60">
        <v>31.910377358490567</v>
      </c>
      <c r="K57" s="60">
        <v>0.45801526717557273</v>
      </c>
      <c r="L57" s="60">
        <v>255283.01886792455</v>
      </c>
      <c r="M57" s="60">
        <v>3.2067898430276416</v>
      </c>
      <c r="N57" s="60">
        <v>31.910377358490567</v>
      </c>
      <c r="O57" s="54">
        <v>0.93750000000000278</v>
      </c>
      <c r="P57" s="60">
        <v>255283.01886792455</v>
      </c>
      <c r="Q57" s="54">
        <v>14.996813177199837</v>
      </c>
      <c r="R57" s="60">
        <v>8.2299270072992705</v>
      </c>
      <c r="S57" s="54">
        <v>0.19999999999999932</v>
      </c>
      <c r="T57" s="60">
        <v>65839.41605839417</v>
      </c>
      <c r="U57" s="54">
        <v>1.3220365311744455</v>
      </c>
      <c r="V57" s="60">
        <v>23.247422680412374</v>
      </c>
      <c r="W57" s="54">
        <v>3.5714285714285787</v>
      </c>
      <c r="X57" s="60">
        <v>185979.381443299</v>
      </c>
      <c r="Y57" s="54">
        <v>20.862263425192491</v>
      </c>
      <c r="Z57" s="60">
        <v>14.182389937106919</v>
      </c>
      <c r="AA57" s="54">
        <v>0.72992700729927051</v>
      </c>
      <c r="AB57" s="60">
        <v>113459.11949685535</v>
      </c>
      <c r="AC57" s="54">
        <v>7.5139948153435761</v>
      </c>
      <c r="AD57" s="56"/>
      <c r="AE57" s="56"/>
      <c r="AF57" s="56"/>
      <c r="AG57" s="56"/>
      <c r="AH57" s="60">
        <v>163.40579710144928</v>
      </c>
      <c r="AI57" s="54">
        <v>12.295081967213184</v>
      </c>
      <c r="AJ57" s="60">
        <v>1307246.3768115942</v>
      </c>
      <c r="AK57" s="54">
        <v>53.308219238936459</v>
      </c>
      <c r="AL57" s="60">
        <v>127.04225352112677</v>
      </c>
      <c r="AM57" s="54">
        <v>8.0536912751678198</v>
      </c>
      <c r="AN57" s="60">
        <v>1016338.0281690141</v>
      </c>
      <c r="AO57" s="54">
        <v>36.847256606598059</v>
      </c>
    </row>
    <row r="58" spans="1:41" s="62" customFormat="1" x14ac:dyDescent="0.25">
      <c r="A58" s="56" t="s">
        <v>1169</v>
      </c>
      <c r="B58" s="60"/>
      <c r="C58" s="60"/>
      <c r="D58" s="60"/>
      <c r="E58" s="60"/>
      <c r="F58" s="60"/>
      <c r="G58" s="60"/>
      <c r="H58" s="60"/>
      <c r="I58" s="60"/>
      <c r="J58" s="60"/>
      <c r="K58" s="60"/>
      <c r="L58" s="60"/>
      <c r="M58" s="60"/>
      <c r="N58" s="60"/>
      <c r="O58" s="54"/>
      <c r="P58" s="60"/>
      <c r="Q58" s="54"/>
      <c r="R58" s="60"/>
      <c r="S58" s="54"/>
      <c r="T58" s="60"/>
      <c r="U58" s="54"/>
      <c r="V58" s="60">
        <v>17.435567010309281</v>
      </c>
      <c r="W58" s="54">
        <v>2.6785714285714342</v>
      </c>
      <c r="X58" s="60">
        <v>34696.778350515473</v>
      </c>
      <c r="Y58" s="54">
        <v>3.8921160202624745</v>
      </c>
      <c r="Z58" s="56"/>
      <c r="AA58" s="56"/>
      <c r="AB58" s="56"/>
      <c r="AC58" s="56"/>
      <c r="AD58" s="56"/>
      <c r="AE58" s="56"/>
      <c r="AF58" s="56"/>
      <c r="AG58" s="56"/>
      <c r="AH58" s="56"/>
      <c r="AI58" s="56"/>
      <c r="AJ58" s="56"/>
      <c r="AK58" s="56"/>
      <c r="AL58" s="56"/>
      <c r="AM58" s="56"/>
      <c r="AN58" s="56"/>
      <c r="AO58" s="56"/>
    </row>
    <row r="59" spans="1:41" s="62" customFormat="1" ht="14" x14ac:dyDescent="0.3">
      <c r="A59" s="732" t="s">
        <v>669</v>
      </c>
      <c r="B59" s="60"/>
      <c r="C59" s="60"/>
      <c r="D59" s="60"/>
      <c r="E59" s="60"/>
      <c r="F59" s="60"/>
      <c r="G59" s="60"/>
      <c r="H59" s="60"/>
      <c r="I59" s="60"/>
      <c r="J59" s="60"/>
      <c r="K59" s="60"/>
      <c r="L59" s="60"/>
      <c r="M59" s="60"/>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row>
    <row r="60" spans="1:41" s="62" customFormat="1" x14ac:dyDescent="0.25">
      <c r="A60" s="56" t="s">
        <v>206</v>
      </c>
      <c r="B60" s="60">
        <v>12.794326241134753</v>
      </c>
      <c r="C60" s="60">
        <v>0.85470085470085388</v>
      </c>
      <c r="D60" s="60">
        <v>125384.39716312058</v>
      </c>
      <c r="E60" s="60">
        <v>10.729731209284514</v>
      </c>
      <c r="F60" s="60">
        <v>6.1612021857923498</v>
      </c>
      <c r="G60" s="60">
        <v>0.61728395061728414</v>
      </c>
      <c r="H60" s="60">
        <v>60379.78142076503</v>
      </c>
      <c r="I60" s="60">
        <v>8.7795526011663938</v>
      </c>
      <c r="J60" s="60"/>
      <c r="K60" s="60"/>
      <c r="L60" s="60"/>
      <c r="M60" s="60"/>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row>
    <row r="61" spans="1:41" s="62" customFormat="1" ht="14" x14ac:dyDescent="0.3">
      <c r="A61" s="732" t="s">
        <v>676</v>
      </c>
      <c r="B61" s="60"/>
      <c r="C61" s="60"/>
      <c r="D61" s="60"/>
      <c r="E61" s="60"/>
      <c r="F61" s="60"/>
      <c r="G61" s="60"/>
      <c r="H61" s="60"/>
      <c r="I61" s="60"/>
      <c r="J61" s="60"/>
      <c r="K61" s="60"/>
      <c r="L61" s="60"/>
      <c r="M61" s="60"/>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row>
    <row r="62" spans="1:41" s="62" customFormat="1" x14ac:dyDescent="0.25">
      <c r="A62" s="56" t="s">
        <v>680</v>
      </c>
      <c r="B62" s="60"/>
      <c r="C62" s="60"/>
      <c r="D62" s="60"/>
      <c r="E62" s="60"/>
      <c r="F62" s="60">
        <v>6.1612021857923498</v>
      </c>
      <c r="G62" s="60">
        <v>0.61728395061728414</v>
      </c>
      <c r="H62" s="60">
        <v>11613.866120218579</v>
      </c>
      <c r="I62" s="60">
        <v>1.6887200666529241</v>
      </c>
      <c r="J62" s="60"/>
      <c r="K62" s="60"/>
      <c r="L62" s="60"/>
      <c r="M62" s="60"/>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row>
    <row r="63" spans="1:41" s="62" customFormat="1" x14ac:dyDescent="0.25">
      <c r="A63" s="56" t="s">
        <v>675</v>
      </c>
      <c r="B63" s="60"/>
      <c r="C63" s="60"/>
      <c r="D63" s="60"/>
      <c r="E63" s="60"/>
      <c r="F63" s="60"/>
      <c r="G63" s="60"/>
      <c r="H63" s="60"/>
      <c r="I63" s="60"/>
      <c r="J63" s="60"/>
      <c r="K63" s="60"/>
      <c r="L63" s="60"/>
      <c r="M63" s="60"/>
      <c r="N63" s="56"/>
      <c r="O63" s="56"/>
      <c r="P63" s="56"/>
      <c r="Q63" s="56"/>
      <c r="R63" s="56"/>
      <c r="S63" s="56"/>
      <c r="T63" s="56"/>
      <c r="U63" s="56"/>
      <c r="V63" s="60">
        <v>5.8118556701030935</v>
      </c>
      <c r="W63" s="54">
        <v>0.89285714285714468</v>
      </c>
      <c r="X63" s="60">
        <v>9298.9690721649495</v>
      </c>
      <c r="Y63" s="54">
        <v>1.0431131712596244</v>
      </c>
      <c r="Z63" s="56"/>
      <c r="AA63" s="56"/>
      <c r="AB63" s="56"/>
      <c r="AC63" s="56"/>
      <c r="AD63" s="56"/>
      <c r="AE63" s="56"/>
      <c r="AF63" s="56"/>
      <c r="AG63" s="56"/>
      <c r="AH63" s="56"/>
      <c r="AI63" s="56"/>
      <c r="AJ63" s="56"/>
      <c r="AK63" s="56"/>
      <c r="AL63" s="56"/>
      <c r="AM63" s="56"/>
      <c r="AN63" s="56"/>
      <c r="AO63" s="56"/>
    </row>
    <row r="64" spans="1:41" s="62" customFormat="1" ht="14" x14ac:dyDescent="0.3">
      <c r="A64" s="732" t="s">
        <v>668</v>
      </c>
      <c r="B64" s="60"/>
      <c r="C64" s="60"/>
      <c r="D64" s="60"/>
      <c r="E64" s="60"/>
      <c r="F64" s="60"/>
      <c r="G64" s="60"/>
      <c r="H64" s="60"/>
      <c r="I64" s="60"/>
      <c r="J64" s="60"/>
      <c r="K64" s="60"/>
      <c r="L64" s="60"/>
      <c r="M64" s="60"/>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row>
    <row r="65" spans="1:41" s="62" customFormat="1" x14ac:dyDescent="0.25">
      <c r="A65" s="56" t="s">
        <v>207</v>
      </c>
      <c r="B65" s="60">
        <v>6.3971631205673765</v>
      </c>
      <c r="C65" s="60">
        <v>0.42735042735042694</v>
      </c>
      <c r="D65" s="60">
        <v>159.9290780141844</v>
      </c>
      <c r="E65" s="60">
        <v>1.3685881644495551E-2</v>
      </c>
      <c r="F65" s="60">
        <v>67.773224043715842</v>
      </c>
      <c r="G65" s="60">
        <v>6.7901234567901261</v>
      </c>
      <c r="H65" s="60">
        <v>1694.3306010928961</v>
      </c>
      <c r="I65" s="60">
        <v>0.24636499646130189</v>
      </c>
      <c r="J65" s="60">
        <v>31.910377358490567</v>
      </c>
      <c r="K65" s="60">
        <v>0.45801526717557273</v>
      </c>
      <c r="L65" s="60">
        <v>797.75943396226421</v>
      </c>
      <c r="M65" s="60">
        <v>1.002121825946138E-2</v>
      </c>
      <c r="N65" s="60">
        <v>106.36792452830188</v>
      </c>
      <c r="O65" s="54">
        <v>3.1250000000000089</v>
      </c>
      <c r="P65" s="60">
        <v>2659.1981132075471</v>
      </c>
      <c r="Q65" s="54">
        <v>0.15621680392916495</v>
      </c>
      <c r="R65" s="56"/>
      <c r="S65" s="56"/>
      <c r="T65" s="56"/>
      <c r="U65" s="56"/>
      <c r="V65" s="56"/>
      <c r="W65" s="56"/>
      <c r="X65" s="56"/>
      <c r="Y65" s="56"/>
      <c r="Z65" s="60">
        <v>70.911949685534594</v>
      </c>
      <c r="AA65" s="54">
        <v>3.649635036496353</v>
      </c>
      <c r="AB65" s="60">
        <v>1772.7987421383648</v>
      </c>
      <c r="AC65" s="54">
        <v>0.11740616898974338</v>
      </c>
      <c r="AD65" s="60">
        <v>82.942528735632195</v>
      </c>
      <c r="AE65" s="54">
        <v>6.7796610169492135</v>
      </c>
      <c r="AF65" s="60">
        <v>2073.5632183908046</v>
      </c>
      <c r="AG65" s="54">
        <v>0.15100607799464014</v>
      </c>
      <c r="AH65" s="60">
        <v>10.893719806763285</v>
      </c>
      <c r="AI65" s="54">
        <v>0.81967213114754556</v>
      </c>
      <c r="AJ65" s="60">
        <v>272.34299516908209</v>
      </c>
      <c r="AK65" s="54">
        <v>1.110587900811176E-2</v>
      </c>
      <c r="AL65" s="60">
        <v>21.173708920187796</v>
      </c>
      <c r="AM65" s="54">
        <v>1.3422818791946365</v>
      </c>
      <c r="AN65" s="60">
        <v>529.3427230046949</v>
      </c>
      <c r="AO65" s="54">
        <v>1.9191279482603157E-2</v>
      </c>
    </row>
    <row r="66" spans="1:41" s="62" customFormat="1" x14ac:dyDescent="0.25">
      <c r="A66" s="56" t="s">
        <v>208</v>
      </c>
      <c r="B66" s="60"/>
      <c r="C66" s="60"/>
      <c r="D66" s="60"/>
      <c r="E66" s="60"/>
      <c r="F66" s="60">
        <v>18.483606557377048</v>
      </c>
      <c r="G66" s="60">
        <v>1.8518518518518525</v>
      </c>
      <c r="H66" s="60">
        <v>6007.1721311475403</v>
      </c>
      <c r="I66" s="60">
        <v>0.87347589654461577</v>
      </c>
      <c r="J66" s="60">
        <v>10.636792452830189</v>
      </c>
      <c r="K66" s="60">
        <v>0.1526717557251909</v>
      </c>
      <c r="L66" s="60">
        <v>3456.9575471698113</v>
      </c>
      <c r="M66" s="60">
        <v>4.3425279124332646E-2</v>
      </c>
      <c r="N66" s="56"/>
      <c r="O66" s="56"/>
      <c r="P66" s="56"/>
      <c r="Q66" s="56"/>
      <c r="R66" s="56"/>
      <c r="S66" s="56"/>
      <c r="T66" s="56"/>
      <c r="U66" s="56"/>
      <c r="V66" s="56"/>
      <c r="W66" s="56"/>
      <c r="X66" s="56"/>
      <c r="Y66" s="56"/>
      <c r="Z66" s="60">
        <v>14.182389937106919</v>
      </c>
      <c r="AA66" s="54">
        <v>0.72992700729927051</v>
      </c>
      <c r="AB66" s="60">
        <v>4609.2767295597487</v>
      </c>
      <c r="AC66" s="54">
        <v>0.30525603937333279</v>
      </c>
      <c r="AD66" s="60">
        <v>62.206896551724135</v>
      </c>
      <c r="AE66" s="54">
        <v>5.0847457627119095</v>
      </c>
      <c r="AF66" s="60">
        <v>20217.241379310344</v>
      </c>
      <c r="AG66" s="54">
        <v>1.4723092604477412</v>
      </c>
      <c r="AH66" s="56"/>
      <c r="AI66" s="56"/>
      <c r="AJ66" s="56"/>
      <c r="AK66" s="56"/>
      <c r="AL66" s="60">
        <v>21.173708920187796</v>
      </c>
      <c r="AM66" s="54">
        <v>1.3422818791946365</v>
      </c>
      <c r="AN66" s="60">
        <v>6881.4553990610339</v>
      </c>
      <c r="AO66" s="54">
        <v>0.24948663327384102</v>
      </c>
    </row>
    <row r="67" spans="1:41" s="62" customFormat="1" x14ac:dyDescent="0.25">
      <c r="A67" s="56" t="s">
        <v>209</v>
      </c>
      <c r="B67" s="60"/>
      <c r="C67" s="60"/>
      <c r="D67" s="60"/>
      <c r="E67" s="60"/>
      <c r="F67" s="60">
        <v>12.3224043715847</v>
      </c>
      <c r="G67" s="60">
        <v>1.2345679012345683</v>
      </c>
      <c r="H67" s="60">
        <v>23412.56830601093</v>
      </c>
      <c r="I67" s="60">
        <v>3.40431631473799</v>
      </c>
      <c r="J67" s="60">
        <v>10.636792452830189</v>
      </c>
      <c r="K67" s="60">
        <v>0.1526717557251909</v>
      </c>
      <c r="L67" s="60">
        <v>20209.905660377361</v>
      </c>
      <c r="M67" s="60">
        <v>0.25387086257302166</v>
      </c>
      <c r="N67" s="60">
        <v>10.636792452830189</v>
      </c>
      <c r="O67" s="54">
        <v>0.31250000000000094</v>
      </c>
      <c r="P67" s="60">
        <v>20209.905660377361</v>
      </c>
      <c r="Q67" s="54">
        <v>1.1872477098616538</v>
      </c>
      <c r="R67" s="56"/>
      <c r="S67" s="56"/>
      <c r="T67" s="56"/>
      <c r="U67" s="56"/>
      <c r="V67" s="56"/>
      <c r="W67" s="56"/>
      <c r="X67" s="56"/>
      <c r="Y67" s="56"/>
      <c r="Z67" s="60">
        <v>28.364779874213838</v>
      </c>
      <c r="AA67" s="54">
        <v>1.459854014598541</v>
      </c>
      <c r="AB67" s="60">
        <v>53893.081761006295</v>
      </c>
      <c r="AC67" s="54">
        <v>3.5691475372881989</v>
      </c>
      <c r="AD67" s="60">
        <v>10.367816091954024</v>
      </c>
      <c r="AE67" s="54">
        <v>0.84745762711865169</v>
      </c>
      <c r="AF67" s="60">
        <v>19698.850574712647</v>
      </c>
      <c r="AG67" s="54">
        <v>1.4345577409490817</v>
      </c>
      <c r="AH67" s="60">
        <v>10.893719806763285</v>
      </c>
      <c r="AI67" s="54">
        <v>0.81967213114754556</v>
      </c>
      <c r="AJ67" s="60">
        <v>20698.067632850241</v>
      </c>
      <c r="AK67" s="54">
        <v>0.84404680461649395</v>
      </c>
      <c r="AL67"/>
      <c r="AM67" s="529"/>
      <c r="AN67" s="529"/>
      <c r="AO67" s="529"/>
    </row>
    <row r="68" spans="1:41" s="62" customFormat="1" x14ac:dyDescent="0.25">
      <c r="A68" s="56" t="s">
        <v>674</v>
      </c>
      <c r="B68" s="60">
        <v>31.98581560283688</v>
      </c>
      <c r="C68" s="60">
        <v>2.1367521367521345</v>
      </c>
      <c r="D68" s="60">
        <v>1439.3617021276596</v>
      </c>
      <c r="E68" s="60">
        <v>0.12317293480045997</v>
      </c>
      <c r="F68" s="60">
        <v>12.3224043715847</v>
      </c>
      <c r="G68" s="60">
        <v>1.2345679012345683</v>
      </c>
      <c r="H68" s="60">
        <v>554.50819672131149</v>
      </c>
      <c r="I68" s="60">
        <v>8.0628544296426075E-2</v>
      </c>
      <c r="J68" s="60"/>
      <c r="K68" s="60"/>
      <c r="L68" s="60"/>
      <c r="M68" s="60"/>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row>
    <row r="69" spans="1:41" s="62" customFormat="1" x14ac:dyDescent="0.25">
      <c r="A69" s="56" t="s">
        <v>1170</v>
      </c>
      <c r="B69" s="60"/>
      <c r="C69" s="60"/>
      <c r="D69" s="60"/>
      <c r="E69" s="60"/>
      <c r="F69" s="60"/>
      <c r="G69" s="60"/>
      <c r="H69" s="60"/>
      <c r="I69" s="60"/>
      <c r="J69" s="60">
        <v>21.273584905660378</v>
      </c>
      <c r="K69" s="60">
        <v>0.3053435114503818</v>
      </c>
      <c r="L69" s="60">
        <v>65522.641509433961</v>
      </c>
      <c r="M69" s="60">
        <v>0.82307605971042797</v>
      </c>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row>
    <row r="70" spans="1:41" s="62" customFormat="1" x14ac:dyDescent="0.25">
      <c r="A70" s="56" t="s">
        <v>686</v>
      </c>
      <c r="B70" s="56"/>
      <c r="C70" s="56"/>
      <c r="D70" s="56"/>
      <c r="E70" s="56"/>
      <c r="F70" s="56"/>
      <c r="G70" s="56"/>
      <c r="H70" s="56"/>
      <c r="I70" s="56"/>
      <c r="J70" s="56"/>
      <c r="K70" s="56"/>
      <c r="L70" s="56"/>
      <c r="M70" s="56"/>
      <c r="N70" s="60">
        <v>31.910377358490567</v>
      </c>
      <c r="O70" s="54">
        <v>0.93750000000000278</v>
      </c>
      <c r="P70" s="60">
        <v>13402.358490566039</v>
      </c>
      <c r="Q70" s="54">
        <v>0.78733269180299137</v>
      </c>
      <c r="R70" s="56"/>
      <c r="S70" s="56"/>
      <c r="T70" s="56"/>
      <c r="U70" s="56"/>
      <c r="V70" s="56"/>
      <c r="W70" s="56"/>
      <c r="X70" s="56"/>
      <c r="Y70" s="56"/>
      <c r="Z70" s="56"/>
      <c r="AA70" s="56"/>
      <c r="AB70" s="56"/>
      <c r="AC70" s="56"/>
      <c r="AD70" s="56"/>
      <c r="AE70" s="56"/>
      <c r="AF70" s="56"/>
      <c r="AG70" s="56"/>
      <c r="AH70" s="60">
        <v>10.893719806763285</v>
      </c>
      <c r="AI70" s="54">
        <v>0.81967213114754556</v>
      </c>
      <c r="AJ70" s="60">
        <v>3050.2415458937198</v>
      </c>
      <c r="AK70" s="54">
        <v>0.12438584489085174</v>
      </c>
      <c r="AL70" s="60">
        <v>10.586854460093898</v>
      </c>
      <c r="AM70" s="54">
        <v>0.67114093959731824</v>
      </c>
      <c r="AN70" s="60">
        <v>2964.3192488262912</v>
      </c>
      <c r="AO70" s="54">
        <v>0.10747116510257766</v>
      </c>
    </row>
    <row r="71" spans="1:41" s="62" customFormat="1" x14ac:dyDescent="0.25"/>
    <row r="72" spans="1:41" s="62" customFormat="1" ht="13" x14ac:dyDescent="0.3">
      <c r="A72" s="829" t="s">
        <v>144</v>
      </c>
      <c r="B72" s="827" t="s">
        <v>1171</v>
      </c>
      <c r="C72" s="828"/>
      <c r="D72"/>
      <c r="E72"/>
      <c r="F72" s="734"/>
      <c r="G72" s="734"/>
      <c r="H72" s="734"/>
      <c r="I72" s="734"/>
      <c r="J72" s="734"/>
      <c r="K72" s="734"/>
      <c r="L72" s="734"/>
    </row>
    <row r="73" spans="1:41" s="62" customFormat="1" ht="15.75" customHeight="1" x14ac:dyDescent="0.3">
      <c r="A73" s="830"/>
      <c r="B73" s="107" t="s">
        <v>662</v>
      </c>
      <c r="C73" s="107" t="s">
        <v>663</v>
      </c>
      <c r="F73" s="734"/>
      <c r="G73" s="734"/>
      <c r="H73" s="734"/>
      <c r="I73" s="734"/>
      <c r="J73" s="734"/>
      <c r="K73" s="734"/>
      <c r="L73" s="734"/>
    </row>
    <row r="74" spans="1:41" s="62" customFormat="1" ht="15.75" customHeight="1" x14ac:dyDescent="0.3">
      <c r="A74" s="831"/>
      <c r="B74" s="755" t="s">
        <v>664</v>
      </c>
      <c r="C74" s="755" t="s">
        <v>1172</v>
      </c>
      <c r="E74" s="292"/>
      <c r="F74" s="734"/>
      <c r="G74" s="734"/>
      <c r="H74" s="734"/>
      <c r="I74" s="734"/>
      <c r="J74" s="734"/>
      <c r="K74" s="734"/>
      <c r="L74" s="734"/>
    </row>
    <row r="75" spans="1:41" s="62" customFormat="1" ht="14" x14ac:dyDescent="0.3">
      <c r="A75" s="824" t="s">
        <v>667</v>
      </c>
      <c r="B75" s="825"/>
      <c r="C75" s="826"/>
      <c r="E75" s="727"/>
      <c r="F75" s="734"/>
      <c r="G75" s="285"/>
      <c r="H75" s="285"/>
      <c r="I75" s="734"/>
      <c r="J75" s="734"/>
      <c r="K75" s="734"/>
      <c r="L75" s="734"/>
    </row>
    <row r="76" spans="1:41" s="62" customFormat="1" x14ac:dyDescent="0.25">
      <c r="A76" s="56" t="s">
        <v>666</v>
      </c>
      <c r="B76" s="427">
        <v>63.411471324089128</v>
      </c>
      <c r="C76" s="427">
        <v>103015.81810227199</v>
      </c>
      <c r="D76" s="754">
        <f>AVERAGE(B76:B80)</f>
        <v>539.70737595316336</v>
      </c>
      <c r="E76" s="754"/>
      <c r="F76" s="734"/>
      <c r="G76" s="751"/>
      <c r="H76" s="752"/>
      <c r="I76" s="734"/>
      <c r="J76" s="734"/>
      <c r="K76" s="734"/>
      <c r="L76" s="734"/>
    </row>
    <row r="77" spans="1:41" s="62" customFormat="1" x14ac:dyDescent="0.25">
      <c r="A77" s="56" t="s">
        <v>1159</v>
      </c>
      <c r="B77" s="427">
        <v>24.689781021897812</v>
      </c>
      <c r="C77" s="427">
        <v>103919.2883211679</v>
      </c>
      <c r="E77" s="754"/>
      <c r="F77" s="734"/>
      <c r="G77" s="751"/>
      <c r="H77" s="753"/>
      <c r="I77" s="734"/>
      <c r="J77" s="734"/>
      <c r="K77" s="734"/>
      <c r="L77" s="734"/>
    </row>
    <row r="78" spans="1:41" s="62" customFormat="1" x14ac:dyDescent="0.25">
      <c r="A78" s="56" t="s">
        <v>205</v>
      </c>
      <c r="B78" s="427">
        <v>1624.943487724619</v>
      </c>
      <c r="C78" s="427">
        <v>2260676.5861729956</v>
      </c>
      <c r="E78" s="754"/>
      <c r="F78" s="734"/>
      <c r="G78" s="59"/>
      <c r="H78" s="752"/>
      <c r="I78" s="734"/>
      <c r="J78" s="734"/>
      <c r="K78" s="734"/>
      <c r="L78" s="734"/>
    </row>
    <row r="79" spans="1:41" s="62" customFormat="1" x14ac:dyDescent="0.25">
      <c r="A79" s="56" t="s">
        <v>136</v>
      </c>
      <c r="B79" s="427">
        <v>913.70687159757358</v>
      </c>
      <c r="C79" s="427">
        <v>83700.489992329749</v>
      </c>
      <c r="E79" s="754"/>
      <c r="F79" s="734"/>
      <c r="G79" s="59"/>
      <c r="H79" s="752"/>
      <c r="I79" s="734"/>
      <c r="J79" s="734"/>
      <c r="K79" s="734"/>
      <c r="L79" s="734"/>
    </row>
    <row r="80" spans="1:41" s="62" customFormat="1" x14ac:dyDescent="0.25">
      <c r="A80" s="56" t="s">
        <v>1160</v>
      </c>
      <c r="B80" s="427">
        <v>71.785268097636902</v>
      </c>
      <c r="C80" s="427">
        <v>136065.05518976273</v>
      </c>
      <c r="E80" s="754"/>
      <c r="F80" s="734"/>
      <c r="G80" s="59"/>
      <c r="H80" s="752"/>
      <c r="I80" s="734"/>
      <c r="J80" s="734"/>
      <c r="K80" s="734"/>
      <c r="L80" s="734"/>
    </row>
    <row r="81" spans="1:12" s="62" customFormat="1" ht="14" x14ac:dyDescent="0.3">
      <c r="A81" s="824" t="s">
        <v>679</v>
      </c>
      <c r="B81" s="825"/>
      <c r="C81" s="826"/>
      <c r="E81" s="754"/>
      <c r="F81" s="734"/>
      <c r="G81" s="59"/>
      <c r="H81" s="753"/>
      <c r="I81" s="734"/>
      <c r="J81" s="734"/>
      <c r="K81" s="734"/>
      <c r="L81" s="734"/>
    </row>
    <row r="82" spans="1:12" s="62" customFormat="1" x14ac:dyDescent="0.25">
      <c r="A82" s="56" t="s">
        <v>678</v>
      </c>
      <c r="B82" s="427">
        <v>6.3971631205673765</v>
      </c>
      <c r="C82" s="427">
        <v>767.65957446808522</v>
      </c>
      <c r="E82" s="754"/>
      <c r="F82" s="734"/>
      <c r="G82" s="59"/>
      <c r="H82" s="753"/>
      <c r="I82" s="734"/>
      <c r="J82" s="734"/>
      <c r="K82" s="734"/>
      <c r="L82" s="734"/>
    </row>
    <row r="83" spans="1:12" s="62" customFormat="1" x14ac:dyDescent="0.25">
      <c r="A83" s="56" t="s">
        <v>1161</v>
      </c>
      <c r="B83" s="427">
        <v>5.8118556701030935</v>
      </c>
      <c r="C83" s="427">
        <v>552.12628865979389</v>
      </c>
      <c r="E83" s="754"/>
      <c r="F83" s="734"/>
      <c r="G83" s="751"/>
      <c r="H83" s="752"/>
      <c r="I83" s="734"/>
      <c r="J83" s="734"/>
      <c r="K83" s="734"/>
      <c r="L83" s="734"/>
    </row>
    <row r="84" spans="1:12" s="62" customFormat="1" ht="14" x14ac:dyDescent="0.3">
      <c r="A84" s="824" t="s">
        <v>671</v>
      </c>
      <c r="B84" s="825"/>
      <c r="C84" s="826"/>
      <c r="E84" s="754"/>
      <c r="F84" s="734"/>
      <c r="G84" s="751"/>
      <c r="H84" s="753"/>
      <c r="I84" s="734"/>
      <c r="J84" s="734"/>
      <c r="K84" s="734"/>
      <c r="L84" s="734"/>
    </row>
    <row r="85" spans="1:12" s="62" customFormat="1" x14ac:dyDescent="0.25">
      <c r="A85" s="56" t="s">
        <v>135</v>
      </c>
      <c r="B85" s="427">
        <v>66.211833447813291</v>
      </c>
      <c r="C85" s="427">
        <v>34430.1533928629</v>
      </c>
      <c r="E85" s="754"/>
      <c r="F85" s="734"/>
      <c r="G85" s="751"/>
      <c r="H85" s="753"/>
      <c r="I85" s="734"/>
      <c r="J85" s="734"/>
      <c r="K85" s="734"/>
      <c r="L85" s="734"/>
    </row>
    <row r="86" spans="1:12" s="62" customFormat="1" x14ac:dyDescent="0.25">
      <c r="A86" s="56" t="s">
        <v>673</v>
      </c>
      <c r="B86" s="427">
        <v>83.413554235952716</v>
      </c>
      <c r="C86" s="427">
        <v>1668.2710847190542</v>
      </c>
      <c r="E86" s="754"/>
      <c r="F86" s="734"/>
      <c r="G86" s="59"/>
      <c r="H86" s="752"/>
      <c r="I86" s="734"/>
      <c r="J86" s="734"/>
      <c r="K86" s="734"/>
      <c r="L86" s="734"/>
    </row>
    <row r="87" spans="1:12" s="62" customFormat="1" ht="14" x14ac:dyDescent="0.3">
      <c r="A87" s="824" t="s">
        <v>665</v>
      </c>
      <c r="B87" s="825"/>
      <c r="C87" s="826"/>
      <c r="E87" s="754"/>
      <c r="F87" s="734"/>
      <c r="G87" s="734"/>
      <c r="H87" s="734"/>
      <c r="I87" s="734"/>
      <c r="J87" s="734"/>
      <c r="K87" s="734"/>
      <c r="L87" s="734"/>
    </row>
    <row r="88" spans="1:12" s="62" customFormat="1" x14ac:dyDescent="0.25">
      <c r="A88" s="56" t="s">
        <v>687</v>
      </c>
      <c r="B88" s="427">
        <v>8.2299270072992705</v>
      </c>
      <c r="C88" s="427">
        <v>1086.3503649635038</v>
      </c>
      <c r="E88" s="754"/>
      <c r="F88" s="734"/>
      <c r="G88" s="734"/>
      <c r="H88" s="734"/>
      <c r="I88" s="734"/>
      <c r="J88" s="734"/>
      <c r="K88" s="734"/>
      <c r="L88" s="734"/>
    </row>
    <row r="89" spans="1:12" s="62" customFormat="1" x14ac:dyDescent="0.25">
      <c r="A89" s="56" t="s">
        <v>682</v>
      </c>
      <c r="B89" s="427">
        <v>11.623711340206187</v>
      </c>
      <c r="C89" s="427">
        <v>581.18556701030934</v>
      </c>
      <c r="E89" s="754"/>
      <c r="F89" s="734"/>
      <c r="G89" s="734"/>
      <c r="H89" s="734"/>
      <c r="I89" s="734"/>
      <c r="J89" s="734"/>
      <c r="K89" s="734"/>
      <c r="L89" s="734"/>
    </row>
    <row r="90" spans="1:12" s="62" customFormat="1" x14ac:dyDescent="0.25">
      <c r="A90" s="56" t="s">
        <v>670</v>
      </c>
      <c r="B90" s="427">
        <v>11.206158472203095</v>
      </c>
      <c r="C90" s="427">
        <v>5154.8328972134241</v>
      </c>
      <c r="E90" s="754"/>
      <c r="F90" s="734"/>
      <c r="G90" s="734"/>
      <c r="H90" s="734"/>
      <c r="I90" s="734"/>
      <c r="J90" s="734"/>
      <c r="K90" s="734"/>
      <c r="L90" s="734"/>
    </row>
    <row r="91" spans="1:12" s="62" customFormat="1" x14ac:dyDescent="0.25">
      <c r="A91" s="56" t="s">
        <v>683</v>
      </c>
      <c r="B91" s="427">
        <v>27.362386184062011</v>
      </c>
      <c r="C91" s="427">
        <v>18100.748739559036</v>
      </c>
      <c r="E91" s="754"/>
      <c r="F91" s="734"/>
      <c r="G91" s="734"/>
      <c r="H91" s="734"/>
      <c r="I91" s="734"/>
      <c r="J91" s="734"/>
      <c r="K91" s="734"/>
      <c r="L91" s="734"/>
    </row>
    <row r="92" spans="1:12" s="62" customFormat="1" x14ac:dyDescent="0.25">
      <c r="A92" s="56" t="s">
        <v>672</v>
      </c>
      <c r="B92" s="427">
        <v>10.367816091954024</v>
      </c>
      <c r="C92" s="427">
        <v>3836.0919540229888</v>
      </c>
      <c r="E92" s="754"/>
      <c r="F92" s="734"/>
      <c r="G92" s="734"/>
      <c r="H92" s="734"/>
      <c r="I92" s="734"/>
      <c r="J92" s="734"/>
      <c r="K92" s="734"/>
      <c r="L92" s="734"/>
    </row>
    <row r="93" spans="1:12" s="62" customFormat="1" x14ac:dyDescent="0.25">
      <c r="A93" s="56" t="s">
        <v>684</v>
      </c>
      <c r="B93" s="427">
        <v>5.8118556701030935</v>
      </c>
      <c r="C93" s="427">
        <v>813.6597938144331</v>
      </c>
      <c r="E93" s="754"/>
      <c r="F93" s="734"/>
      <c r="G93" s="734"/>
      <c r="H93" s="734"/>
      <c r="I93" s="734"/>
      <c r="J93" s="734"/>
      <c r="K93" s="734"/>
      <c r="L93" s="734"/>
    </row>
    <row r="94" spans="1:12" s="62" customFormat="1" x14ac:dyDescent="0.25">
      <c r="A94" s="56" t="s">
        <v>1162</v>
      </c>
      <c r="B94" s="427">
        <v>5.8118556701030935</v>
      </c>
      <c r="C94" s="427">
        <v>3370.8762886597942</v>
      </c>
      <c r="E94" s="754"/>
      <c r="F94" s="734"/>
      <c r="G94" s="734"/>
      <c r="H94" s="734"/>
      <c r="I94" s="734"/>
      <c r="J94" s="734"/>
      <c r="K94" s="734"/>
      <c r="L94" s="734"/>
    </row>
    <row r="95" spans="1:12" s="62" customFormat="1" x14ac:dyDescent="0.25">
      <c r="A95" s="56" t="s">
        <v>689</v>
      </c>
      <c r="B95" s="427">
        <v>10.586854460093898</v>
      </c>
      <c r="C95" s="427">
        <v>20750.234741784039</v>
      </c>
      <c r="E95" s="754"/>
      <c r="F95" s="734"/>
      <c r="G95" s="734"/>
      <c r="H95" s="734"/>
      <c r="I95" s="734"/>
      <c r="J95" s="734"/>
      <c r="K95" s="734"/>
      <c r="L95" s="734"/>
    </row>
    <row r="96" spans="1:12" s="62" customFormat="1" x14ac:dyDescent="0.25">
      <c r="A96" s="56" t="s">
        <v>1163</v>
      </c>
      <c r="B96" s="427">
        <v>476.57216494845363</v>
      </c>
      <c r="C96" s="427">
        <v>597621.49484536087</v>
      </c>
      <c r="E96" s="754"/>
      <c r="F96" s="734"/>
      <c r="G96" s="734"/>
      <c r="H96" s="734"/>
      <c r="I96" s="734"/>
      <c r="J96" s="734"/>
      <c r="K96" s="734"/>
      <c r="L96" s="734"/>
    </row>
    <row r="97" spans="1:12" s="62" customFormat="1" x14ac:dyDescent="0.25">
      <c r="A97" s="56" t="s">
        <v>677</v>
      </c>
      <c r="B97" s="427">
        <v>8.4920087903306367</v>
      </c>
      <c r="C97" s="427">
        <v>2703.3870742183599</v>
      </c>
      <c r="E97" s="754"/>
      <c r="F97" s="734"/>
      <c r="G97" s="734"/>
      <c r="H97" s="734"/>
      <c r="I97" s="734"/>
      <c r="J97" s="734"/>
      <c r="K97" s="734"/>
      <c r="L97" s="734"/>
    </row>
    <row r="98" spans="1:12" s="62" customFormat="1" x14ac:dyDescent="0.25">
      <c r="A98" s="56" t="s">
        <v>143</v>
      </c>
      <c r="B98" s="427">
        <v>6.3971631205673765</v>
      </c>
      <c r="C98" s="427">
        <v>64483.404255319154</v>
      </c>
      <c r="E98" s="754"/>
      <c r="F98" s="734"/>
      <c r="G98" s="734"/>
      <c r="H98" s="734"/>
      <c r="I98" s="734"/>
      <c r="J98" s="734"/>
      <c r="K98" s="734"/>
      <c r="L98" s="734"/>
    </row>
    <row r="99" spans="1:12" s="62" customFormat="1" x14ac:dyDescent="0.25">
      <c r="A99" s="56" t="s">
        <v>681</v>
      </c>
      <c r="B99" s="427">
        <v>6.1612021857923498</v>
      </c>
      <c r="C99" s="427">
        <v>369.67213114754099</v>
      </c>
      <c r="E99" s="754"/>
      <c r="F99" s="734"/>
      <c r="G99" s="734"/>
      <c r="H99" s="734"/>
      <c r="I99" s="734"/>
      <c r="J99" s="734"/>
      <c r="K99" s="734"/>
      <c r="L99" s="734"/>
    </row>
    <row r="100" spans="1:12" s="62" customFormat="1" x14ac:dyDescent="0.25">
      <c r="A100" s="56" t="s">
        <v>688</v>
      </c>
      <c r="B100" s="427">
        <v>24.689781021897812</v>
      </c>
      <c r="C100" s="427">
        <v>4444.1605839416061</v>
      </c>
      <c r="E100" s="754"/>
      <c r="F100" s="734"/>
      <c r="G100" s="734"/>
      <c r="H100" s="734"/>
      <c r="I100" s="734"/>
      <c r="J100" s="734"/>
      <c r="K100" s="734"/>
      <c r="L100" s="734"/>
    </row>
    <row r="101" spans="1:12" s="62" customFormat="1" x14ac:dyDescent="0.25">
      <c r="A101" s="56" t="s">
        <v>1164</v>
      </c>
      <c r="B101" s="427">
        <v>5.8118556701030935</v>
      </c>
      <c r="C101" s="427">
        <v>31384.020618556704</v>
      </c>
      <c r="E101" s="754"/>
      <c r="F101" s="734"/>
      <c r="G101" s="734"/>
      <c r="H101" s="734"/>
      <c r="I101" s="734"/>
      <c r="J101" s="734"/>
      <c r="K101" s="734"/>
      <c r="L101" s="734"/>
    </row>
    <row r="102" spans="1:12" s="62" customFormat="1" x14ac:dyDescent="0.25">
      <c r="A102" s="56" t="s">
        <v>1165</v>
      </c>
      <c r="B102" s="427">
        <v>19.037599119704367</v>
      </c>
      <c r="C102" s="427">
        <v>13662.896590360249</v>
      </c>
      <c r="E102" s="754"/>
      <c r="F102" s="734"/>
      <c r="G102" s="734"/>
      <c r="H102" s="734"/>
      <c r="I102" s="734"/>
      <c r="J102" s="734"/>
      <c r="K102" s="734"/>
      <c r="L102" s="734"/>
    </row>
    <row r="103" spans="1:12" s="62" customFormat="1" x14ac:dyDescent="0.25">
      <c r="A103" s="56" t="s">
        <v>685</v>
      </c>
      <c r="B103" s="427">
        <v>10.636792452830189</v>
      </c>
      <c r="C103" s="427">
        <v>1595.5188679245284</v>
      </c>
      <c r="E103" s="754"/>
      <c r="F103" s="734"/>
      <c r="G103" s="734"/>
      <c r="H103" s="734"/>
      <c r="I103" s="734"/>
      <c r="J103" s="734"/>
      <c r="K103" s="734"/>
      <c r="L103" s="734"/>
    </row>
    <row r="104" spans="1:12" s="62" customFormat="1" x14ac:dyDescent="0.25">
      <c r="A104" s="56" t="s">
        <v>1166</v>
      </c>
      <c r="B104" s="427">
        <v>5.8118556701030935</v>
      </c>
      <c r="C104" s="427">
        <v>1075.1932989690722</v>
      </c>
      <c r="E104" s="754"/>
      <c r="F104" s="734"/>
      <c r="G104" s="734"/>
      <c r="H104" s="734"/>
      <c r="I104" s="734"/>
      <c r="J104" s="734"/>
      <c r="K104" s="734"/>
      <c r="L104" s="734"/>
    </row>
    <row r="105" spans="1:12" s="62" customFormat="1" x14ac:dyDescent="0.25">
      <c r="A105" s="56" t="s">
        <v>1167</v>
      </c>
      <c r="B105" s="427">
        <v>5.8118556701030935</v>
      </c>
      <c r="C105" s="427">
        <v>552.12628865979389</v>
      </c>
      <c r="E105" s="754"/>
      <c r="F105" s="734"/>
      <c r="G105" s="734"/>
      <c r="H105" s="734"/>
      <c r="I105" s="734"/>
      <c r="J105" s="734"/>
      <c r="K105" s="734"/>
      <c r="L105" s="734"/>
    </row>
    <row r="106" spans="1:12" s="62" customFormat="1" x14ac:dyDescent="0.25">
      <c r="A106" s="56" t="s">
        <v>1168</v>
      </c>
      <c r="B106" s="427">
        <v>23.247422680412374</v>
      </c>
      <c r="C106" s="427">
        <v>2789.6907216494847</v>
      </c>
      <c r="E106" s="754"/>
      <c r="F106" s="734"/>
      <c r="G106" s="734"/>
      <c r="H106" s="734"/>
      <c r="I106" s="734"/>
      <c r="J106" s="734"/>
      <c r="K106" s="734"/>
      <c r="L106" s="734"/>
    </row>
    <row r="107" spans="1:12" s="62" customFormat="1" x14ac:dyDescent="0.25">
      <c r="A107" s="56" t="s">
        <v>690</v>
      </c>
      <c r="B107" s="427">
        <v>10.995763716080106</v>
      </c>
      <c r="C107" s="427">
        <v>1286.5043547813725</v>
      </c>
      <c r="E107" s="754"/>
      <c r="F107" s="734"/>
      <c r="G107" s="734"/>
      <c r="H107" s="734"/>
      <c r="I107" s="734"/>
      <c r="J107" s="734"/>
      <c r="K107" s="734"/>
      <c r="L107" s="734"/>
    </row>
    <row r="108" spans="1:12" s="62" customFormat="1" x14ac:dyDescent="0.25">
      <c r="A108" s="56" t="s">
        <v>7</v>
      </c>
      <c r="B108" s="427">
        <v>54.063843170417996</v>
      </c>
      <c r="C108" s="427">
        <v>432510.74536334397</v>
      </c>
      <c r="E108" s="754"/>
      <c r="F108" s="734"/>
      <c r="G108" s="734"/>
      <c r="H108" s="734"/>
      <c r="I108" s="734"/>
      <c r="J108" s="734"/>
      <c r="K108" s="734"/>
      <c r="L108" s="734"/>
    </row>
    <row r="109" spans="1:12" s="62" customFormat="1" x14ac:dyDescent="0.25">
      <c r="A109" s="56" t="s">
        <v>1169</v>
      </c>
      <c r="B109" s="427">
        <v>17.435567010309281</v>
      </c>
      <c r="C109" s="427">
        <v>34696.778350515473</v>
      </c>
      <c r="E109" s="754"/>
      <c r="F109" s="734"/>
      <c r="G109" s="734"/>
      <c r="H109" s="734"/>
      <c r="I109" s="734"/>
      <c r="J109" s="734"/>
      <c r="K109" s="734"/>
      <c r="L109" s="734"/>
    </row>
    <row r="110" spans="1:12" s="62" customFormat="1" ht="14" x14ac:dyDescent="0.3">
      <c r="A110" s="824" t="s">
        <v>669</v>
      </c>
      <c r="B110" s="825"/>
      <c r="C110" s="826"/>
      <c r="E110" s="754"/>
      <c r="F110" s="734"/>
      <c r="G110" s="734"/>
      <c r="H110" s="734"/>
      <c r="I110" s="734"/>
      <c r="J110" s="734"/>
      <c r="K110" s="734"/>
      <c r="L110" s="734"/>
    </row>
    <row r="111" spans="1:12" s="62" customFormat="1" x14ac:dyDescent="0.25">
      <c r="A111" s="56" t="s">
        <v>206</v>
      </c>
      <c r="B111" s="427">
        <v>9.4777642134635514</v>
      </c>
      <c r="C111" s="427">
        <v>92882.089291942801</v>
      </c>
      <c r="E111" s="754"/>
      <c r="F111" s="734"/>
      <c r="G111" s="734"/>
      <c r="H111" s="734"/>
      <c r="I111" s="734"/>
      <c r="J111" s="734"/>
      <c r="K111" s="734"/>
      <c r="L111" s="734"/>
    </row>
    <row r="112" spans="1:12" s="62" customFormat="1" ht="14" x14ac:dyDescent="0.3">
      <c r="A112" s="824" t="s">
        <v>676</v>
      </c>
      <c r="B112" s="825"/>
      <c r="C112" s="826"/>
      <c r="E112" s="754"/>
      <c r="F112" s="734"/>
      <c r="G112" s="734"/>
      <c r="H112" s="734"/>
      <c r="I112" s="734"/>
      <c r="J112" s="734"/>
      <c r="K112" s="734"/>
      <c r="L112" s="734"/>
    </row>
    <row r="113" spans="1:12" s="62" customFormat="1" x14ac:dyDescent="0.25">
      <c r="A113" s="56" t="s">
        <v>680</v>
      </c>
      <c r="B113" s="427">
        <v>6.1612021857923498</v>
      </c>
      <c r="C113" s="427">
        <v>11613.866120218579</v>
      </c>
      <c r="E113" s="754"/>
      <c r="F113" s="734"/>
      <c r="G113" s="734"/>
      <c r="H113" s="734"/>
      <c r="I113" s="734"/>
      <c r="J113" s="734"/>
      <c r="K113" s="734"/>
      <c r="L113" s="734"/>
    </row>
    <row r="114" spans="1:12" s="62" customFormat="1" x14ac:dyDescent="0.25">
      <c r="A114" s="56" t="s">
        <v>675</v>
      </c>
      <c r="B114" s="427">
        <v>5.8118556701030935</v>
      </c>
      <c r="C114" s="427">
        <v>9298.9690721649495</v>
      </c>
      <c r="E114" s="754"/>
      <c r="F114" s="734"/>
      <c r="G114" s="734"/>
      <c r="H114" s="734"/>
      <c r="I114" s="734"/>
      <c r="J114" s="734"/>
      <c r="K114" s="734"/>
      <c r="L114" s="734"/>
    </row>
    <row r="115" spans="1:12" s="62" customFormat="1" ht="14" x14ac:dyDescent="0.3">
      <c r="A115" s="824" t="s">
        <v>668</v>
      </c>
      <c r="B115" s="825"/>
      <c r="C115" s="826"/>
      <c r="E115" s="754"/>
      <c r="F115" s="734"/>
      <c r="G115" s="734"/>
      <c r="H115" s="734"/>
      <c r="I115" s="734"/>
      <c r="J115" s="734"/>
      <c r="K115" s="734"/>
      <c r="L115" s="734"/>
    </row>
    <row r="116" spans="1:12" s="62" customFormat="1" x14ac:dyDescent="0.25">
      <c r="A116" s="56" t="s">
        <v>207</v>
      </c>
      <c r="B116" s="427">
        <v>49.796324524899191</v>
      </c>
      <c r="C116" s="427">
        <v>1244.90811312248</v>
      </c>
      <c r="E116" s="754"/>
      <c r="F116" s="734"/>
      <c r="G116" s="734"/>
      <c r="H116" s="734"/>
      <c r="I116" s="734"/>
      <c r="J116" s="734"/>
      <c r="K116" s="734"/>
      <c r="L116" s="734"/>
    </row>
    <row r="117" spans="1:12" s="62" customFormat="1" x14ac:dyDescent="0.25">
      <c r="A117" s="56" t="s">
        <v>208</v>
      </c>
      <c r="B117" s="427">
        <v>22.12218779370264</v>
      </c>
      <c r="C117" s="427">
        <v>7189.711032953358</v>
      </c>
      <c r="E117" s="754"/>
      <c r="F117" s="734"/>
      <c r="G117" s="734"/>
      <c r="H117" s="734"/>
      <c r="I117" s="734"/>
      <c r="J117" s="734"/>
      <c r="K117" s="734"/>
      <c r="L117" s="734"/>
    </row>
    <row r="118" spans="1:12" s="62" customFormat="1" x14ac:dyDescent="0.25">
      <c r="A118" s="56" t="s">
        <v>209</v>
      </c>
      <c r="B118" s="427">
        <v>13.304803653565527</v>
      </c>
      <c r="C118" s="427">
        <v>25279.126941774502</v>
      </c>
      <c r="E118" s="754"/>
      <c r="F118" s="734"/>
      <c r="G118" s="734"/>
      <c r="H118" s="734"/>
      <c r="I118" s="734"/>
      <c r="J118" s="734"/>
      <c r="K118" s="734"/>
      <c r="L118" s="734"/>
    </row>
    <row r="119" spans="1:12" s="62" customFormat="1" x14ac:dyDescent="0.25">
      <c r="A119" s="56" t="s">
        <v>674</v>
      </c>
      <c r="B119" s="427">
        <v>22.154109987210788</v>
      </c>
      <c r="C119" s="427">
        <v>996.93494942448547</v>
      </c>
      <c r="E119" s="754"/>
      <c r="F119" s="734"/>
      <c r="G119" s="734"/>
      <c r="H119" s="734"/>
      <c r="I119" s="734"/>
      <c r="J119" s="734"/>
      <c r="K119" s="734"/>
      <c r="L119" s="734"/>
    </row>
    <row r="120" spans="1:12" s="62" customFormat="1" x14ac:dyDescent="0.25">
      <c r="A120" s="56" t="s">
        <v>1170</v>
      </c>
      <c r="B120" s="427">
        <v>21.273584905660378</v>
      </c>
      <c r="C120" s="427">
        <v>65522.641509433961</v>
      </c>
      <c r="E120" s="754"/>
      <c r="F120" s="734"/>
      <c r="G120" s="734"/>
      <c r="H120" s="734"/>
      <c r="I120" s="734"/>
      <c r="J120" s="734"/>
      <c r="K120" s="734"/>
      <c r="L120" s="734"/>
    </row>
    <row r="121" spans="1:12" s="62" customFormat="1" x14ac:dyDescent="0.25">
      <c r="A121" s="56" t="s">
        <v>686</v>
      </c>
      <c r="B121" s="427">
        <v>21.325332245959579</v>
      </c>
      <c r="C121" s="427">
        <v>8204.8194439630224</v>
      </c>
      <c r="E121" s="754"/>
      <c r="F121" s="734"/>
      <c r="G121" s="734"/>
      <c r="H121" s="734"/>
      <c r="I121" s="734"/>
      <c r="J121" s="734"/>
      <c r="K121" s="734"/>
      <c r="L121" s="734"/>
    </row>
    <row r="122" spans="1:12" s="62" customFormat="1" x14ac:dyDescent="0.25">
      <c r="A122" s="56"/>
      <c r="B122" s="754"/>
      <c r="C122" s="754"/>
      <c r="E122" s="754"/>
      <c r="F122" s="734"/>
      <c r="G122" s="734"/>
      <c r="H122" s="734"/>
      <c r="I122" s="734"/>
      <c r="J122" s="734"/>
      <c r="K122" s="734"/>
      <c r="L122" s="734"/>
    </row>
    <row r="123" spans="1:12" s="62" customFormat="1" x14ac:dyDescent="0.25">
      <c r="A123" s="56" t="s">
        <v>666</v>
      </c>
      <c r="B123" s="734"/>
      <c r="C123" s="734"/>
      <c r="D123" s="734"/>
      <c r="E123" s="734"/>
      <c r="F123" s="734"/>
      <c r="G123" s="734"/>
      <c r="H123" s="734"/>
      <c r="I123" s="734"/>
      <c r="J123" s="734"/>
      <c r="K123" s="734"/>
      <c r="L123" s="734"/>
    </row>
    <row r="124" spans="1:12" s="62" customFormat="1" x14ac:dyDescent="0.25">
      <c r="A124" s="56" t="s">
        <v>1159</v>
      </c>
      <c r="B124" s="734"/>
      <c r="C124" s="734"/>
      <c r="D124" s="734"/>
      <c r="E124" s="734"/>
      <c r="F124" s="734"/>
      <c r="G124" s="734"/>
      <c r="H124" s="734"/>
      <c r="I124" s="734"/>
      <c r="J124" s="734"/>
      <c r="K124" s="734"/>
      <c r="L124" s="734"/>
    </row>
    <row r="125" spans="1:12" s="62" customFormat="1" x14ac:dyDescent="0.25">
      <c r="A125" s="56" t="s">
        <v>205</v>
      </c>
      <c r="B125" s="734"/>
      <c r="C125" s="734"/>
      <c r="D125" s="734"/>
      <c r="E125" s="734"/>
      <c r="F125" s="734"/>
      <c r="G125" s="734"/>
      <c r="H125" s="734"/>
      <c r="I125" s="734"/>
      <c r="J125" s="734"/>
      <c r="K125" s="734"/>
      <c r="L125" s="734"/>
    </row>
    <row r="126" spans="1:12" s="62" customFormat="1" x14ac:dyDescent="0.25">
      <c r="A126" s="56" t="s">
        <v>1160</v>
      </c>
      <c r="B126" s="734"/>
      <c r="C126" s="734"/>
      <c r="D126" s="734"/>
      <c r="E126" s="734"/>
      <c r="F126" s="734"/>
      <c r="G126" s="734"/>
      <c r="H126" s="734"/>
      <c r="I126" s="734"/>
      <c r="J126" s="734"/>
      <c r="K126" s="734"/>
      <c r="L126" s="734"/>
    </row>
    <row r="127" spans="1:12" s="62" customFormat="1" x14ac:dyDescent="0.25">
      <c r="A127" s="56" t="s">
        <v>135</v>
      </c>
      <c r="B127" s="734"/>
      <c r="C127" s="734"/>
      <c r="D127" s="734"/>
      <c r="E127" s="734"/>
      <c r="F127" s="734"/>
      <c r="G127" s="734"/>
      <c r="H127" s="734"/>
      <c r="I127" s="734"/>
      <c r="J127" s="734"/>
      <c r="K127" s="734"/>
      <c r="L127" s="734"/>
    </row>
    <row r="128" spans="1:12" s="62" customFormat="1" x14ac:dyDescent="0.25">
      <c r="A128" s="56" t="s">
        <v>683</v>
      </c>
      <c r="B128" s="734"/>
      <c r="C128" s="734"/>
      <c r="D128" s="734"/>
      <c r="E128" s="734"/>
      <c r="F128" s="734"/>
      <c r="G128" s="734"/>
      <c r="H128" s="734"/>
      <c r="I128" s="734"/>
      <c r="J128" s="734"/>
      <c r="K128" s="734"/>
      <c r="L128" s="734"/>
    </row>
    <row r="129" spans="1:12" s="62" customFormat="1" x14ac:dyDescent="0.25">
      <c r="A129" s="56" t="s">
        <v>689</v>
      </c>
      <c r="B129" s="734"/>
      <c r="C129" s="734"/>
      <c r="D129" s="734"/>
      <c r="E129" s="734"/>
      <c r="F129" s="734"/>
      <c r="G129" s="734"/>
      <c r="H129" s="734"/>
      <c r="I129" s="734"/>
      <c r="J129" s="734"/>
      <c r="K129" s="734"/>
      <c r="L129" s="734"/>
    </row>
    <row r="130" spans="1:12" s="62" customFormat="1" x14ac:dyDescent="0.25">
      <c r="A130" s="56" t="s">
        <v>1163</v>
      </c>
      <c r="B130" s="734"/>
      <c r="C130" s="734"/>
      <c r="D130" s="734"/>
      <c r="E130" s="734"/>
      <c r="F130" s="734"/>
      <c r="G130" s="734"/>
      <c r="H130" s="734"/>
      <c r="I130" s="734"/>
      <c r="J130" s="734"/>
      <c r="K130" s="734"/>
      <c r="L130" s="734"/>
    </row>
    <row r="131" spans="1:12" s="62" customFormat="1" x14ac:dyDescent="0.25">
      <c r="A131" s="56" t="s">
        <v>143</v>
      </c>
      <c r="B131" s="734"/>
      <c r="C131" s="734"/>
      <c r="D131" s="734"/>
      <c r="E131" s="734"/>
      <c r="F131" s="734"/>
      <c r="G131" s="734"/>
      <c r="H131" s="734"/>
      <c r="I131" s="734"/>
      <c r="J131" s="734"/>
      <c r="K131" s="734"/>
      <c r="L131" s="734"/>
    </row>
    <row r="132" spans="1:12" s="62" customFormat="1" x14ac:dyDescent="0.25">
      <c r="A132" s="56" t="s">
        <v>1164</v>
      </c>
      <c r="B132" s="734"/>
      <c r="C132" s="734"/>
      <c r="D132" s="734"/>
      <c r="E132" s="734"/>
      <c r="F132" s="734"/>
      <c r="G132" s="734"/>
      <c r="H132" s="734"/>
      <c r="I132" s="734"/>
      <c r="J132" s="734"/>
      <c r="K132" s="734"/>
      <c r="L132" s="734"/>
    </row>
    <row r="133" spans="1:12" s="62" customFormat="1" x14ac:dyDescent="0.25">
      <c r="A133" s="56" t="s">
        <v>7</v>
      </c>
      <c r="B133" s="734"/>
      <c r="C133" s="734"/>
      <c r="D133" s="734"/>
      <c r="E133" s="734"/>
      <c r="F133" s="734"/>
      <c r="G133" s="734"/>
      <c r="H133" s="734"/>
      <c r="I133" s="734"/>
      <c r="J133" s="734"/>
      <c r="K133" s="734"/>
      <c r="L133" s="734"/>
    </row>
    <row r="134" spans="1:12" s="62" customFormat="1" x14ac:dyDescent="0.25">
      <c r="A134" s="56" t="s">
        <v>206</v>
      </c>
      <c r="B134" s="734"/>
      <c r="C134" s="734"/>
      <c r="D134" s="734"/>
      <c r="E134" s="734"/>
      <c r="F134" s="734"/>
      <c r="G134" s="734"/>
      <c r="H134" s="734"/>
      <c r="I134" s="734"/>
      <c r="J134" s="734"/>
      <c r="K134" s="734"/>
      <c r="L134" s="734"/>
    </row>
    <row r="135" spans="1:12" s="62" customFormat="1" x14ac:dyDescent="0.25">
      <c r="A135" s="56" t="s">
        <v>680</v>
      </c>
      <c r="B135" s="734"/>
      <c r="C135" s="734"/>
      <c r="D135" s="734"/>
      <c r="E135" s="734"/>
      <c r="F135" s="734"/>
      <c r="G135" s="734"/>
      <c r="H135" s="734"/>
      <c r="I135" s="734"/>
      <c r="J135" s="734"/>
      <c r="K135" s="734"/>
      <c r="L135" s="734"/>
    </row>
    <row r="136" spans="1:12" s="62" customFormat="1" x14ac:dyDescent="0.25">
      <c r="A136" s="56" t="s">
        <v>209</v>
      </c>
      <c r="B136" s="734"/>
      <c r="C136" s="734"/>
      <c r="D136" s="734"/>
      <c r="E136" s="734"/>
      <c r="F136" s="734"/>
      <c r="G136" s="734"/>
      <c r="H136" s="734"/>
      <c r="I136" s="734"/>
      <c r="J136" s="734"/>
      <c r="K136" s="734"/>
      <c r="L136" s="734"/>
    </row>
    <row r="137" spans="1:12" s="62" customFormat="1" x14ac:dyDescent="0.25">
      <c r="A137" s="56" t="s">
        <v>1170</v>
      </c>
      <c r="B137" s="734"/>
      <c r="C137" s="734"/>
      <c r="D137" s="734"/>
      <c r="E137" s="734"/>
      <c r="F137" s="734"/>
      <c r="G137" s="734"/>
      <c r="H137" s="734"/>
      <c r="I137" s="734"/>
      <c r="J137" s="734"/>
      <c r="K137" s="734"/>
      <c r="L137" s="734"/>
    </row>
    <row r="138" spans="1:12" s="62" customFormat="1" x14ac:dyDescent="0.25">
      <c r="A138" s="734"/>
      <c r="B138" s="734"/>
      <c r="C138" s="734"/>
      <c r="D138" s="734"/>
      <c r="E138" s="734"/>
      <c r="F138" s="734"/>
      <c r="G138" s="734"/>
      <c r="H138" s="734"/>
      <c r="I138" s="734"/>
      <c r="J138" s="734"/>
      <c r="K138" s="734"/>
      <c r="L138" s="734"/>
    </row>
    <row r="139" spans="1:12" s="62" customFormat="1" x14ac:dyDescent="0.25">
      <c r="A139" s="734"/>
      <c r="B139" s="734"/>
      <c r="C139" s="734"/>
      <c r="D139" s="734"/>
      <c r="E139" s="734"/>
      <c r="F139" s="734"/>
      <c r="G139" s="734"/>
      <c r="H139" s="734"/>
      <c r="I139" s="734"/>
      <c r="J139" s="734"/>
      <c r="K139" s="734"/>
      <c r="L139" s="734"/>
    </row>
    <row r="140" spans="1:12" s="62" customFormat="1" x14ac:dyDescent="0.25">
      <c r="A140" s="734"/>
      <c r="B140" s="734"/>
      <c r="C140" s="734"/>
      <c r="D140" s="734"/>
      <c r="E140" s="734"/>
      <c r="F140" s="734"/>
      <c r="G140" s="734"/>
      <c r="H140" s="734"/>
      <c r="I140" s="734"/>
      <c r="J140" s="734"/>
      <c r="K140" s="734"/>
      <c r="L140" s="734"/>
    </row>
    <row r="141" spans="1:12" s="62" customFormat="1" x14ac:dyDescent="0.25">
      <c r="A141" s="734"/>
      <c r="B141" s="734"/>
      <c r="C141" s="734"/>
      <c r="D141" s="734"/>
      <c r="E141" s="734"/>
      <c r="F141" s="734"/>
      <c r="G141" s="734"/>
      <c r="H141" s="734"/>
      <c r="I141" s="734"/>
      <c r="J141" s="734"/>
      <c r="K141" s="734"/>
      <c r="L141" s="734"/>
    </row>
    <row r="142" spans="1:12" s="62" customFormat="1" x14ac:dyDescent="0.25">
      <c r="A142" s="734"/>
      <c r="B142" s="734"/>
      <c r="C142" s="734"/>
      <c r="D142" s="734"/>
      <c r="E142" s="734"/>
      <c r="F142" s="734"/>
      <c r="G142" s="734"/>
      <c r="H142" s="734"/>
      <c r="I142" s="734"/>
      <c r="J142" s="734"/>
      <c r="K142" s="734"/>
      <c r="L142" s="734"/>
    </row>
    <row r="143" spans="1:12" s="62" customFormat="1" x14ac:dyDescent="0.25">
      <c r="A143" s="734"/>
      <c r="B143" s="734"/>
      <c r="C143" s="734"/>
      <c r="D143" s="734"/>
      <c r="E143" s="734"/>
      <c r="F143" s="734"/>
      <c r="G143" s="734"/>
      <c r="H143" s="734"/>
      <c r="I143" s="734"/>
      <c r="J143" s="734"/>
      <c r="K143" s="734"/>
      <c r="L143" s="734"/>
    </row>
    <row r="144" spans="1:12" s="62" customFormat="1" x14ac:dyDescent="0.25">
      <c r="A144" s="734"/>
      <c r="B144" s="734"/>
      <c r="C144" s="734"/>
      <c r="D144" s="734"/>
      <c r="E144" s="734"/>
      <c r="F144" s="734"/>
      <c r="G144" s="734"/>
      <c r="H144" s="734"/>
      <c r="I144" s="734"/>
      <c r="J144" s="734"/>
      <c r="K144" s="734"/>
      <c r="L144" s="734"/>
    </row>
    <row r="145" spans="1:12" s="62" customFormat="1" x14ac:dyDescent="0.25">
      <c r="A145" s="734"/>
      <c r="B145" s="734"/>
      <c r="C145" s="734"/>
      <c r="D145" s="734"/>
      <c r="E145" s="734"/>
      <c r="F145" s="734"/>
      <c r="G145" s="734"/>
      <c r="H145" s="734"/>
      <c r="I145" s="734"/>
      <c r="J145" s="734"/>
      <c r="K145" s="734"/>
      <c r="L145" s="734"/>
    </row>
    <row r="146" spans="1:12" s="62" customFormat="1" x14ac:dyDescent="0.25">
      <c r="A146" s="734"/>
      <c r="B146" s="734"/>
      <c r="C146" s="734"/>
      <c r="D146" s="734"/>
      <c r="E146" s="734"/>
      <c r="F146" s="734"/>
      <c r="G146" s="734"/>
      <c r="H146" s="734"/>
      <c r="I146" s="734"/>
      <c r="J146" s="734"/>
      <c r="K146" s="734"/>
      <c r="L146" s="734"/>
    </row>
    <row r="147" spans="1:12" s="62" customFormat="1" x14ac:dyDescent="0.25">
      <c r="A147" s="734"/>
      <c r="B147" s="734"/>
      <c r="C147" s="734"/>
      <c r="D147" s="734"/>
      <c r="E147" s="734"/>
      <c r="F147" s="734"/>
      <c r="G147" s="734"/>
      <c r="H147" s="734"/>
      <c r="I147" s="734"/>
      <c r="J147" s="734"/>
      <c r="K147" s="734"/>
      <c r="L147" s="734"/>
    </row>
    <row r="148" spans="1:12" s="62" customFormat="1" x14ac:dyDescent="0.25">
      <c r="A148" s="734"/>
      <c r="B148" s="734"/>
      <c r="C148" s="734"/>
      <c r="D148" s="734"/>
      <c r="E148" s="734"/>
      <c r="F148" s="734"/>
      <c r="G148" s="734"/>
      <c r="H148" s="734"/>
      <c r="I148" s="734"/>
      <c r="J148" s="734"/>
      <c r="K148" s="734"/>
      <c r="L148" s="734"/>
    </row>
    <row r="149" spans="1:12" s="62" customFormat="1" x14ac:dyDescent="0.25">
      <c r="A149" s="734"/>
      <c r="B149" s="734"/>
      <c r="C149" s="734"/>
      <c r="D149" s="734"/>
      <c r="E149" s="734"/>
      <c r="F149" s="734"/>
      <c r="G149" s="734"/>
      <c r="H149" s="734"/>
      <c r="I149" s="734"/>
      <c r="J149" s="734"/>
      <c r="K149" s="734"/>
      <c r="L149" s="734"/>
    </row>
    <row r="150" spans="1:12" s="62" customFormat="1" x14ac:dyDescent="0.25">
      <c r="A150" s="734"/>
      <c r="B150" s="734"/>
      <c r="C150" s="734"/>
      <c r="D150" s="734"/>
      <c r="E150" s="734"/>
      <c r="F150" s="734"/>
      <c r="G150" s="734"/>
      <c r="H150" s="734"/>
      <c r="I150" s="734"/>
      <c r="J150" s="734"/>
      <c r="K150" s="734"/>
      <c r="L150" s="734"/>
    </row>
    <row r="151" spans="1:12" s="62" customFormat="1" x14ac:dyDescent="0.25">
      <c r="A151" s="734"/>
      <c r="B151" s="734"/>
      <c r="C151" s="734"/>
      <c r="D151" s="734"/>
      <c r="E151" s="734"/>
      <c r="F151" s="734"/>
      <c r="G151" s="734"/>
      <c r="H151" s="734"/>
      <c r="I151" s="734"/>
      <c r="J151" s="734"/>
      <c r="K151" s="734"/>
      <c r="L151" s="734"/>
    </row>
    <row r="152" spans="1:12" s="62" customFormat="1" x14ac:dyDescent="0.25">
      <c r="A152" s="734"/>
      <c r="B152" s="734"/>
      <c r="C152" s="734"/>
      <c r="D152" s="734"/>
      <c r="E152" s="734"/>
      <c r="F152" s="734"/>
      <c r="G152" s="734"/>
      <c r="H152" s="734"/>
      <c r="I152" s="734"/>
      <c r="J152" s="734"/>
      <c r="K152" s="734"/>
      <c r="L152" s="734"/>
    </row>
    <row r="153" spans="1:12" s="62" customFormat="1" x14ac:dyDescent="0.25">
      <c r="A153" s="734"/>
      <c r="B153" s="734"/>
      <c r="C153" s="734"/>
      <c r="D153" s="734"/>
      <c r="E153" s="734"/>
      <c r="F153" s="734"/>
      <c r="G153" s="734"/>
      <c r="H153" s="734"/>
      <c r="I153" s="734"/>
      <c r="J153" s="734"/>
      <c r="K153" s="734"/>
      <c r="L153" s="734"/>
    </row>
    <row r="154" spans="1:12" s="62" customFormat="1" x14ac:dyDescent="0.25">
      <c r="A154" s="734"/>
      <c r="B154" s="734"/>
      <c r="C154" s="734"/>
      <c r="D154" s="734"/>
      <c r="E154" s="734"/>
      <c r="F154" s="734"/>
      <c r="G154" s="734"/>
      <c r="H154" s="734"/>
      <c r="I154" s="734"/>
      <c r="J154" s="734"/>
      <c r="K154" s="734"/>
      <c r="L154" s="734"/>
    </row>
    <row r="155" spans="1:12" s="62" customFormat="1" x14ac:dyDescent="0.25">
      <c r="A155" s="734"/>
      <c r="B155" s="734"/>
      <c r="C155" s="734"/>
      <c r="D155" s="734"/>
      <c r="E155" s="734"/>
      <c r="F155" s="734"/>
      <c r="G155" s="734"/>
      <c r="H155" s="734"/>
      <c r="I155" s="734"/>
      <c r="J155" s="734"/>
      <c r="K155" s="734"/>
      <c r="L155" s="734"/>
    </row>
    <row r="156" spans="1:12" s="62" customFormat="1" x14ac:dyDescent="0.25">
      <c r="A156" s="734"/>
      <c r="B156" s="734"/>
      <c r="C156" s="734"/>
      <c r="D156" s="734"/>
      <c r="E156" s="734"/>
      <c r="F156" s="734"/>
      <c r="G156" s="734"/>
      <c r="H156" s="734"/>
      <c r="I156" s="734"/>
      <c r="J156" s="734"/>
      <c r="K156" s="734"/>
      <c r="L156" s="734"/>
    </row>
    <row r="157" spans="1:12" s="62" customFormat="1" x14ac:dyDescent="0.25">
      <c r="A157" s="734"/>
      <c r="B157" s="734"/>
      <c r="C157" s="734"/>
      <c r="D157" s="734"/>
      <c r="E157" s="734"/>
      <c r="F157" s="734"/>
      <c r="G157" s="734"/>
      <c r="H157" s="734"/>
      <c r="I157" s="734"/>
      <c r="J157" s="734"/>
      <c r="K157" s="734"/>
      <c r="L157" s="734"/>
    </row>
    <row r="158" spans="1:12" s="62" customFormat="1" x14ac:dyDescent="0.25">
      <c r="A158" s="734"/>
      <c r="B158" s="734"/>
      <c r="C158" s="734"/>
      <c r="D158" s="734"/>
      <c r="E158" s="734"/>
      <c r="F158" s="734"/>
      <c r="G158" s="734"/>
      <c r="H158" s="734"/>
      <c r="I158" s="734"/>
      <c r="J158" s="734"/>
      <c r="K158" s="734"/>
      <c r="L158" s="734"/>
    </row>
    <row r="159" spans="1:12" s="62" customFormat="1" x14ac:dyDescent="0.25">
      <c r="A159" s="734"/>
      <c r="B159" s="734"/>
      <c r="C159" s="734"/>
      <c r="D159" s="734"/>
      <c r="E159" s="734"/>
      <c r="F159" s="734"/>
      <c r="G159" s="734"/>
      <c r="H159" s="734"/>
      <c r="I159" s="734"/>
      <c r="J159" s="734"/>
      <c r="K159" s="734"/>
      <c r="L159" s="734"/>
    </row>
    <row r="160" spans="1:12" s="62" customFormat="1" x14ac:dyDescent="0.25">
      <c r="A160" s="734"/>
      <c r="B160" s="734"/>
      <c r="C160" s="734"/>
      <c r="D160" s="734"/>
      <c r="E160" s="734"/>
      <c r="F160" s="734"/>
      <c r="G160" s="734"/>
      <c r="H160" s="734"/>
      <c r="I160" s="734"/>
      <c r="J160" s="734"/>
      <c r="K160" s="734"/>
      <c r="L160" s="734"/>
    </row>
    <row r="161" spans="1:12" s="62" customFormat="1" x14ac:dyDescent="0.25">
      <c r="A161" s="734"/>
      <c r="B161" s="734"/>
      <c r="C161" s="734"/>
      <c r="D161" s="734"/>
      <c r="E161" s="734"/>
      <c r="F161" s="734"/>
      <c r="G161" s="734"/>
      <c r="H161" s="734"/>
      <c r="I161" s="734"/>
      <c r="J161" s="734"/>
      <c r="K161" s="734"/>
      <c r="L161" s="734"/>
    </row>
    <row r="162" spans="1:12" s="62" customFormat="1" x14ac:dyDescent="0.25">
      <c r="A162" s="734"/>
      <c r="B162" s="734"/>
      <c r="C162" s="734"/>
      <c r="D162" s="734"/>
      <c r="E162" s="734"/>
      <c r="F162" s="734"/>
      <c r="G162" s="734"/>
      <c r="H162" s="734"/>
      <c r="I162" s="734"/>
      <c r="J162" s="734"/>
      <c r="K162" s="734"/>
      <c r="L162" s="734"/>
    </row>
    <row r="163" spans="1:12" s="62" customFormat="1" x14ac:dyDescent="0.25">
      <c r="A163" s="734"/>
      <c r="B163" s="734"/>
      <c r="C163" s="734"/>
      <c r="D163" s="734"/>
      <c r="E163" s="734"/>
      <c r="F163" s="734"/>
      <c r="G163" s="734"/>
      <c r="H163" s="734"/>
      <c r="I163" s="734"/>
      <c r="J163" s="734"/>
      <c r="K163" s="734"/>
      <c r="L163" s="734"/>
    </row>
    <row r="164" spans="1:12" s="62" customFormat="1" x14ac:dyDescent="0.25">
      <c r="A164" s="734"/>
      <c r="B164" s="734"/>
      <c r="C164" s="734"/>
      <c r="D164" s="734"/>
      <c r="E164" s="734"/>
      <c r="F164" s="734"/>
      <c r="G164" s="734"/>
      <c r="H164" s="734"/>
      <c r="I164" s="734"/>
      <c r="J164" s="734"/>
      <c r="K164" s="734"/>
      <c r="L164" s="734"/>
    </row>
    <row r="165" spans="1:12" s="62" customFormat="1" x14ac:dyDescent="0.25">
      <c r="A165" s="734"/>
      <c r="B165" s="734"/>
      <c r="C165" s="734"/>
      <c r="D165" s="734"/>
      <c r="E165" s="734"/>
      <c r="F165" s="734"/>
      <c r="G165" s="734"/>
      <c r="H165" s="734"/>
      <c r="I165" s="734"/>
      <c r="J165" s="734"/>
      <c r="K165" s="734"/>
      <c r="L165" s="734"/>
    </row>
    <row r="166" spans="1:12" s="62" customFormat="1" x14ac:dyDescent="0.25">
      <c r="A166" s="734"/>
      <c r="B166" s="734"/>
      <c r="C166" s="734"/>
      <c r="D166" s="734"/>
      <c r="E166" s="734"/>
      <c r="F166" s="734"/>
      <c r="G166" s="734"/>
      <c r="H166" s="734"/>
      <c r="I166" s="734"/>
      <c r="J166" s="734"/>
      <c r="K166" s="734"/>
      <c r="L166" s="734"/>
    </row>
    <row r="167" spans="1:12" s="62" customFormat="1" x14ac:dyDescent="0.25">
      <c r="A167" s="734"/>
      <c r="B167" s="734"/>
      <c r="C167" s="734"/>
      <c r="D167" s="734"/>
      <c r="E167" s="734"/>
      <c r="F167" s="734"/>
      <c r="G167" s="734"/>
      <c r="H167" s="734"/>
      <c r="I167" s="734"/>
      <c r="J167" s="734"/>
      <c r="K167" s="734"/>
      <c r="L167" s="734"/>
    </row>
    <row r="168" spans="1:12" s="62" customFormat="1" x14ac:dyDescent="0.25">
      <c r="A168" s="734"/>
      <c r="B168" s="734"/>
      <c r="C168" s="734"/>
      <c r="D168" s="734"/>
      <c r="E168" s="734"/>
      <c r="F168" s="734"/>
      <c r="G168" s="734"/>
      <c r="H168" s="734"/>
      <c r="I168" s="734"/>
      <c r="J168" s="734"/>
      <c r="K168" s="734"/>
      <c r="L168" s="734"/>
    </row>
    <row r="169" spans="1:12" s="62" customFormat="1" x14ac:dyDescent="0.25">
      <c r="A169" s="734"/>
      <c r="B169" s="734"/>
      <c r="C169" s="734"/>
      <c r="D169" s="734"/>
      <c r="E169" s="734"/>
      <c r="F169" s="734"/>
      <c r="G169" s="734"/>
      <c r="H169" s="734"/>
      <c r="I169" s="734"/>
      <c r="J169" s="734"/>
      <c r="K169" s="734"/>
      <c r="L169" s="734"/>
    </row>
    <row r="170" spans="1:12" s="62" customFormat="1" x14ac:dyDescent="0.25">
      <c r="A170" s="734"/>
      <c r="B170" s="734"/>
      <c r="C170" s="734"/>
      <c r="D170" s="734"/>
      <c r="E170" s="734"/>
      <c r="F170" s="734"/>
      <c r="G170" s="734"/>
      <c r="H170" s="734"/>
      <c r="I170" s="734"/>
      <c r="J170" s="734"/>
      <c r="K170" s="734"/>
      <c r="L170" s="734"/>
    </row>
    <row r="171" spans="1:12" s="62" customFormat="1" x14ac:dyDescent="0.25">
      <c r="A171" s="734"/>
      <c r="B171" s="734"/>
      <c r="C171" s="734"/>
      <c r="D171" s="734"/>
      <c r="E171" s="734"/>
      <c r="F171" s="734"/>
      <c r="G171" s="734"/>
      <c r="H171" s="734"/>
      <c r="I171" s="734"/>
      <c r="J171" s="734"/>
      <c r="K171" s="734"/>
      <c r="L171" s="734"/>
    </row>
    <row r="172" spans="1:12" s="62" customFormat="1" x14ac:dyDescent="0.25">
      <c r="A172" s="734"/>
      <c r="B172" s="734"/>
      <c r="C172" s="734"/>
      <c r="D172" s="734"/>
      <c r="E172" s="734"/>
      <c r="F172" s="734"/>
      <c r="G172" s="734"/>
      <c r="H172" s="734"/>
      <c r="I172" s="734"/>
      <c r="J172" s="734"/>
      <c r="K172" s="734"/>
      <c r="L172" s="734"/>
    </row>
    <row r="173" spans="1:12" s="62" customFormat="1" x14ac:dyDescent="0.25">
      <c r="A173" s="734"/>
      <c r="B173" s="734"/>
      <c r="C173" s="734"/>
      <c r="D173" s="734"/>
      <c r="E173" s="734"/>
      <c r="F173" s="734"/>
      <c r="G173" s="734"/>
      <c r="H173" s="734"/>
      <c r="I173" s="734"/>
      <c r="J173" s="734"/>
      <c r="K173" s="734"/>
      <c r="L173" s="734"/>
    </row>
    <row r="174" spans="1:12" s="62" customFormat="1" x14ac:dyDescent="0.25">
      <c r="A174" s="734"/>
      <c r="B174" s="734"/>
      <c r="C174" s="734"/>
      <c r="D174" s="734"/>
      <c r="E174" s="734"/>
      <c r="F174" s="734"/>
      <c r="G174" s="734"/>
      <c r="H174" s="734"/>
      <c r="I174" s="734"/>
      <c r="J174" s="734"/>
      <c r="K174" s="734"/>
      <c r="L174" s="734"/>
    </row>
    <row r="175" spans="1:12" s="62" customFormat="1" x14ac:dyDescent="0.25">
      <c r="A175" s="734"/>
      <c r="B175" s="734"/>
      <c r="C175" s="734"/>
      <c r="D175" s="734"/>
      <c r="E175" s="734"/>
      <c r="F175" s="734"/>
      <c r="G175" s="734"/>
      <c r="H175" s="734"/>
      <c r="I175" s="734"/>
      <c r="J175" s="734"/>
      <c r="K175" s="734"/>
      <c r="L175" s="734"/>
    </row>
    <row r="176" spans="1:12" s="62" customFormat="1" x14ac:dyDescent="0.25">
      <c r="A176" s="734"/>
      <c r="B176" s="734"/>
      <c r="C176" s="734"/>
      <c r="D176" s="734"/>
      <c r="E176" s="734"/>
      <c r="F176" s="734"/>
      <c r="G176" s="734"/>
      <c r="H176" s="734"/>
      <c r="I176" s="734"/>
      <c r="J176" s="734"/>
      <c r="K176" s="734"/>
      <c r="L176" s="734"/>
    </row>
    <row r="177" spans="1:12" s="62" customFormat="1" x14ac:dyDescent="0.25">
      <c r="A177" s="734"/>
      <c r="B177" s="734"/>
      <c r="C177" s="734"/>
      <c r="D177" s="734"/>
      <c r="E177" s="734"/>
      <c r="F177" s="734"/>
      <c r="G177" s="734"/>
      <c r="H177" s="734"/>
      <c r="I177" s="734"/>
      <c r="J177" s="734"/>
      <c r="K177" s="734"/>
      <c r="L177" s="734"/>
    </row>
    <row r="178" spans="1:12" s="62" customFormat="1" x14ac:dyDescent="0.25">
      <c r="A178" s="734"/>
      <c r="B178" s="734"/>
      <c r="C178" s="734"/>
      <c r="D178" s="734"/>
      <c r="E178" s="734"/>
      <c r="F178" s="734"/>
      <c r="G178" s="734"/>
      <c r="H178" s="734"/>
      <c r="I178" s="734"/>
      <c r="J178" s="734"/>
      <c r="K178" s="734"/>
      <c r="L178" s="734"/>
    </row>
    <row r="179" spans="1:12" s="62" customFormat="1" x14ac:dyDescent="0.25">
      <c r="A179" s="734"/>
      <c r="B179" s="734"/>
      <c r="C179" s="734"/>
      <c r="D179" s="734"/>
      <c r="E179" s="734"/>
      <c r="F179" s="734"/>
      <c r="G179" s="734"/>
      <c r="H179" s="734"/>
      <c r="I179" s="734"/>
      <c r="J179" s="734"/>
      <c r="K179" s="734"/>
      <c r="L179" s="734"/>
    </row>
    <row r="180" spans="1:12" s="62" customFormat="1" x14ac:dyDescent="0.25">
      <c r="A180" s="734"/>
      <c r="B180" s="734"/>
      <c r="C180" s="734"/>
      <c r="D180" s="734"/>
      <c r="E180" s="734"/>
      <c r="F180" s="734"/>
      <c r="G180" s="734"/>
      <c r="H180" s="734"/>
      <c r="I180" s="734"/>
      <c r="J180" s="734"/>
      <c r="K180" s="734"/>
      <c r="L180" s="734"/>
    </row>
    <row r="181" spans="1:12" s="62" customFormat="1" x14ac:dyDescent="0.25">
      <c r="A181" s="734"/>
      <c r="B181" s="734"/>
      <c r="C181" s="734"/>
      <c r="D181" s="734"/>
      <c r="E181" s="734"/>
      <c r="F181" s="734"/>
      <c r="G181" s="734"/>
      <c r="H181" s="734"/>
      <c r="I181" s="734"/>
      <c r="J181" s="734"/>
      <c r="K181" s="734"/>
      <c r="L181" s="734"/>
    </row>
    <row r="182" spans="1:12" s="62" customFormat="1" x14ac:dyDescent="0.25">
      <c r="A182" s="734"/>
      <c r="B182" s="734"/>
      <c r="C182" s="734"/>
      <c r="D182" s="734"/>
      <c r="E182" s="734"/>
      <c r="F182" s="734"/>
      <c r="G182" s="734"/>
      <c r="H182" s="734"/>
      <c r="I182" s="734"/>
      <c r="J182" s="734"/>
      <c r="K182" s="734"/>
      <c r="L182" s="734"/>
    </row>
    <row r="183" spans="1:12" s="62" customFormat="1" x14ac:dyDescent="0.25">
      <c r="A183" s="734"/>
      <c r="B183" s="734"/>
      <c r="C183" s="734"/>
      <c r="D183" s="734"/>
      <c r="E183" s="734"/>
      <c r="F183" s="734"/>
      <c r="G183" s="734"/>
      <c r="H183" s="734"/>
      <c r="I183" s="734"/>
      <c r="J183" s="734"/>
      <c r="K183" s="734"/>
      <c r="L183" s="734"/>
    </row>
    <row r="184" spans="1:12" s="62" customFormat="1" x14ac:dyDescent="0.25">
      <c r="A184" s="734"/>
      <c r="B184" s="734"/>
      <c r="C184" s="734"/>
      <c r="D184" s="734"/>
      <c r="E184" s="734"/>
      <c r="F184" s="734"/>
      <c r="G184" s="734"/>
      <c r="H184" s="734"/>
      <c r="I184" s="734"/>
      <c r="J184" s="734"/>
      <c r="K184" s="734"/>
      <c r="L184" s="734"/>
    </row>
    <row r="185" spans="1:12" s="62" customFormat="1" x14ac:dyDescent="0.25">
      <c r="A185" s="734"/>
      <c r="B185" s="734"/>
      <c r="C185" s="734"/>
      <c r="D185" s="734"/>
      <c r="E185" s="734"/>
      <c r="F185" s="734"/>
      <c r="G185" s="734"/>
      <c r="H185" s="734"/>
      <c r="I185" s="734"/>
      <c r="J185" s="734"/>
      <c r="K185" s="734"/>
      <c r="L185" s="734"/>
    </row>
    <row r="186" spans="1:12" s="62" customFormat="1" x14ac:dyDescent="0.25">
      <c r="A186" s="734"/>
      <c r="B186" s="734"/>
      <c r="C186" s="734"/>
      <c r="D186" s="734"/>
      <c r="E186" s="734"/>
      <c r="F186" s="734"/>
      <c r="G186" s="734"/>
      <c r="H186" s="734"/>
      <c r="I186" s="734"/>
      <c r="J186" s="734"/>
      <c r="K186" s="734"/>
      <c r="L186" s="734"/>
    </row>
    <row r="187" spans="1:12" s="62" customFormat="1" x14ac:dyDescent="0.25">
      <c r="A187" s="734"/>
      <c r="B187" s="734"/>
      <c r="C187" s="734"/>
      <c r="D187" s="734"/>
      <c r="E187" s="734"/>
      <c r="F187" s="734"/>
      <c r="G187" s="734"/>
      <c r="H187" s="734"/>
      <c r="I187" s="734"/>
      <c r="J187" s="734"/>
      <c r="K187" s="734"/>
      <c r="L187" s="734"/>
    </row>
    <row r="188" spans="1:12" s="62" customFormat="1" x14ac:dyDescent="0.25">
      <c r="A188" s="734"/>
      <c r="B188" s="734"/>
      <c r="C188" s="734"/>
      <c r="D188" s="734"/>
      <c r="E188" s="734"/>
      <c r="F188" s="734"/>
      <c r="G188" s="734"/>
      <c r="H188" s="734"/>
      <c r="I188" s="734"/>
      <c r="J188" s="734"/>
      <c r="K188" s="734"/>
      <c r="L188" s="734"/>
    </row>
    <row r="189" spans="1:12" x14ac:dyDescent="0.25">
      <c r="A189" s="734"/>
      <c r="B189" s="734"/>
      <c r="C189" s="734"/>
      <c r="D189" s="734"/>
      <c r="E189" s="734"/>
      <c r="F189" s="734"/>
      <c r="G189" s="734"/>
      <c r="H189" s="734"/>
      <c r="I189" s="734"/>
      <c r="J189" s="734"/>
      <c r="K189" s="734"/>
      <c r="L189" s="734"/>
    </row>
    <row r="190" spans="1:12" x14ac:dyDescent="0.25">
      <c r="A190" s="734"/>
      <c r="B190" s="734"/>
      <c r="C190" s="734"/>
      <c r="D190" s="734"/>
      <c r="E190" s="734"/>
      <c r="F190" s="734"/>
      <c r="G190" s="734"/>
      <c r="H190" s="734"/>
      <c r="I190" s="734"/>
      <c r="J190" s="734"/>
      <c r="K190" s="734"/>
      <c r="L190" s="734"/>
    </row>
    <row r="191" spans="1:12" x14ac:dyDescent="0.25">
      <c r="A191" s="734"/>
      <c r="B191" s="734"/>
      <c r="C191" s="734"/>
      <c r="D191" s="734"/>
      <c r="E191" s="734"/>
      <c r="F191" s="734"/>
      <c r="G191" s="734"/>
      <c r="H191" s="734"/>
      <c r="I191" s="734"/>
      <c r="J191" s="734"/>
      <c r="K191" s="734"/>
      <c r="L191" s="734"/>
    </row>
    <row r="192" spans="1:12" x14ac:dyDescent="0.25">
      <c r="A192" s="734"/>
      <c r="B192" s="734"/>
      <c r="C192" s="734"/>
      <c r="D192" s="734"/>
      <c r="E192" s="734"/>
      <c r="F192" s="734"/>
      <c r="G192" s="734"/>
      <c r="H192" s="734"/>
      <c r="I192" s="734"/>
      <c r="J192" s="734"/>
      <c r="K192" s="734"/>
      <c r="L192" s="734"/>
    </row>
    <row r="193" spans="1:12" x14ac:dyDescent="0.25">
      <c r="A193" s="734"/>
      <c r="B193" s="734"/>
      <c r="C193" s="734"/>
      <c r="D193" s="734"/>
      <c r="E193" s="734"/>
      <c r="F193" s="734"/>
      <c r="G193" s="734"/>
      <c r="H193" s="734"/>
      <c r="I193" s="734"/>
      <c r="J193" s="734"/>
      <c r="K193" s="734"/>
      <c r="L193" s="734"/>
    </row>
    <row r="194" spans="1:12" x14ac:dyDescent="0.25">
      <c r="A194" s="734"/>
      <c r="B194" s="734"/>
      <c r="C194" s="734"/>
      <c r="D194" s="734"/>
      <c r="E194" s="734"/>
      <c r="F194" s="734"/>
      <c r="G194" s="734"/>
      <c r="H194" s="734"/>
      <c r="I194" s="734"/>
      <c r="J194" s="734"/>
      <c r="K194" s="734"/>
      <c r="L194" s="734"/>
    </row>
    <row r="195" spans="1:12" x14ac:dyDescent="0.25">
      <c r="A195" s="734"/>
      <c r="B195" s="734"/>
      <c r="C195" s="734"/>
      <c r="D195" s="734"/>
      <c r="E195" s="734"/>
      <c r="F195" s="734"/>
      <c r="G195" s="734"/>
      <c r="H195" s="734"/>
      <c r="I195" s="734"/>
      <c r="J195" s="734"/>
      <c r="K195" s="734"/>
      <c r="L195" s="734"/>
    </row>
    <row r="196" spans="1:12" x14ac:dyDescent="0.25">
      <c r="A196" s="734"/>
      <c r="B196" s="734"/>
      <c r="C196" s="734"/>
      <c r="D196" s="734"/>
      <c r="E196" s="734"/>
      <c r="F196" s="734"/>
      <c r="G196" s="734"/>
      <c r="H196" s="734"/>
      <c r="I196" s="734"/>
      <c r="J196" s="734"/>
      <c r="K196" s="734"/>
      <c r="L196" s="734"/>
    </row>
    <row r="197" spans="1:12" x14ac:dyDescent="0.25">
      <c r="A197" s="734"/>
      <c r="B197" s="734"/>
      <c r="C197" s="734"/>
      <c r="D197" s="734"/>
      <c r="E197" s="734"/>
      <c r="F197" s="734"/>
      <c r="G197" s="734"/>
      <c r="H197" s="734"/>
      <c r="I197" s="734"/>
      <c r="J197" s="734"/>
      <c r="K197" s="734"/>
      <c r="L197" s="734"/>
    </row>
    <row r="198" spans="1:12" x14ac:dyDescent="0.25">
      <c r="A198" s="734"/>
      <c r="B198" s="734"/>
      <c r="C198" s="734"/>
      <c r="D198" s="734"/>
      <c r="E198" s="734"/>
      <c r="F198" s="734"/>
      <c r="G198" s="734"/>
      <c r="H198" s="734"/>
      <c r="I198" s="734"/>
      <c r="J198" s="734"/>
      <c r="K198" s="734"/>
      <c r="L198" s="734"/>
    </row>
    <row r="199" spans="1:12" x14ac:dyDescent="0.25">
      <c r="A199" s="734"/>
      <c r="B199" s="734"/>
      <c r="C199" s="734"/>
      <c r="D199" s="734"/>
      <c r="E199" s="734"/>
      <c r="F199" s="734"/>
      <c r="G199" s="734"/>
      <c r="H199" s="734"/>
      <c r="I199" s="734"/>
      <c r="J199" s="734"/>
      <c r="K199" s="734"/>
      <c r="L199" s="734"/>
    </row>
    <row r="200" spans="1:12" x14ac:dyDescent="0.25">
      <c r="A200" s="734"/>
      <c r="B200" s="734"/>
      <c r="C200" s="734"/>
      <c r="D200" s="734"/>
      <c r="E200" s="734"/>
      <c r="F200" s="734"/>
      <c r="G200" s="734"/>
      <c r="H200" s="734"/>
      <c r="I200" s="734"/>
      <c r="J200" s="734"/>
      <c r="K200" s="734"/>
      <c r="L200" s="734"/>
    </row>
    <row r="201" spans="1:12" x14ac:dyDescent="0.25">
      <c r="A201" s="734"/>
      <c r="B201" s="734"/>
      <c r="C201" s="734"/>
      <c r="D201" s="734"/>
      <c r="E201" s="734"/>
      <c r="F201" s="734"/>
      <c r="G201" s="734"/>
      <c r="H201" s="734"/>
      <c r="I201" s="734"/>
      <c r="J201" s="734"/>
      <c r="K201" s="734"/>
      <c r="L201" s="734"/>
    </row>
    <row r="202" spans="1:12" x14ac:dyDescent="0.25">
      <c r="A202" s="734"/>
      <c r="B202" s="734"/>
      <c r="C202" s="734"/>
      <c r="D202" s="734"/>
      <c r="E202" s="734"/>
      <c r="F202" s="734"/>
      <c r="G202" s="734"/>
      <c r="H202" s="734"/>
      <c r="I202" s="734"/>
      <c r="J202" s="734"/>
      <c r="K202" s="734"/>
      <c r="L202" s="734"/>
    </row>
    <row r="203" spans="1:12" x14ac:dyDescent="0.25">
      <c r="A203" s="734"/>
      <c r="B203" s="734"/>
      <c r="C203" s="734"/>
      <c r="D203" s="734"/>
      <c r="E203" s="734"/>
      <c r="F203" s="734"/>
      <c r="G203" s="734"/>
      <c r="H203" s="734"/>
      <c r="I203" s="734"/>
      <c r="J203" s="734"/>
      <c r="K203" s="734"/>
      <c r="L203" s="734"/>
    </row>
    <row r="204" spans="1:12" x14ac:dyDescent="0.25">
      <c r="A204" s="734"/>
      <c r="B204" s="734"/>
      <c r="C204" s="734"/>
      <c r="D204" s="734"/>
      <c r="E204" s="734"/>
      <c r="F204" s="734"/>
      <c r="G204" s="734"/>
      <c r="H204" s="734"/>
      <c r="I204" s="734"/>
      <c r="J204" s="734"/>
      <c r="K204" s="734"/>
      <c r="L204" s="734"/>
    </row>
    <row r="205" spans="1:12" x14ac:dyDescent="0.25">
      <c r="A205" s="734"/>
      <c r="B205" s="734"/>
      <c r="C205" s="734"/>
      <c r="D205" s="734"/>
      <c r="E205" s="734"/>
      <c r="F205" s="734"/>
      <c r="G205" s="734"/>
      <c r="H205" s="734"/>
      <c r="I205" s="734"/>
      <c r="J205" s="734"/>
      <c r="K205" s="734"/>
      <c r="L205" s="734"/>
    </row>
    <row r="206" spans="1:12" x14ac:dyDescent="0.25">
      <c r="A206" s="734"/>
      <c r="B206" s="734"/>
      <c r="C206" s="734"/>
      <c r="D206" s="734"/>
      <c r="E206" s="734"/>
      <c r="F206" s="734"/>
      <c r="G206" s="734"/>
      <c r="H206" s="734"/>
      <c r="I206" s="734"/>
      <c r="J206" s="734"/>
      <c r="K206" s="734"/>
      <c r="L206" s="734"/>
    </row>
    <row r="207" spans="1:12" x14ac:dyDescent="0.25">
      <c r="A207" s="734"/>
      <c r="B207" s="734"/>
      <c r="C207" s="734"/>
      <c r="D207" s="734"/>
      <c r="E207" s="734"/>
      <c r="F207" s="734"/>
      <c r="G207" s="734"/>
      <c r="H207" s="734"/>
      <c r="I207" s="734"/>
      <c r="J207" s="734"/>
      <c r="K207" s="734"/>
      <c r="L207" s="734"/>
    </row>
    <row r="208" spans="1:12" x14ac:dyDescent="0.25">
      <c r="A208" s="734"/>
      <c r="B208" s="734"/>
      <c r="C208" s="734"/>
      <c r="D208" s="734"/>
      <c r="E208" s="734"/>
      <c r="F208" s="734"/>
      <c r="G208" s="734"/>
      <c r="H208" s="734"/>
      <c r="I208" s="734"/>
      <c r="J208" s="734"/>
      <c r="K208" s="734"/>
      <c r="L208" s="734"/>
    </row>
    <row r="209" spans="1:12" x14ac:dyDescent="0.25">
      <c r="A209" s="734"/>
      <c r="B209" s="734"/>
      <c r="C209" s="734"/>
      <c r="D209" s="734"/>
      <c r="E209" s="734"/>
      <c r="F209" s="734"/>
      <c r="G209" s="734"/>
      <c r="H209" s="734"/>
      <c r="I209" s="734"/>
      <c r="J209" s="734"/>
      <c r="K209" s="734"/>
      <c r="L209" s="734"/>
    </row>
    <row r="210" spans="1:12" x14ac:dyDescent="0.25">
      <c r="A210" s="734"/>
      <c r="B210" s="734"/>
      <c r="C210" s="734"/>
      <c r="D210" s="734"/>
      <c r="E210" s="734"/>
      <c r="F210" s="734"/>
      <c r="G210" s="734"/>
      <c r="H210" s="734"/>
      <c r="I210" s="734"/>
      <c r="J210" s="734"/>
      <c r="K210" s="734"/>
      <c r="L210" s="734"/>
    </row>
    <row r="211" spans="1:12" x14ac:dyDescent="0.25">
      <c r="A211" s="734"/>
      <c r="B211" s="734"/>
      <c r="C211" s="734"/>
      <c r="D211" s="734"/>
      <c r="E211" s="734"/>
      <c r="F211" s="734"/>
      <c r="G211" s="734"/>
      <c r="H211" s="734"/>
      <c r="I211" s="734"/>
      <c r="J211" s="734"/>
      <c r="K211" s="734"/>
      <c r="L211" s="734"/>
    </row>
    <row r="212" spans="1:12" x14ac:dyDescent="0.25">
      <c r="A212" s="734"/>
      <c r="B212" s="734"/>
      <c r="C212" s="734"/>
      <c r="D212" s="734"/>
      <c r="E212" s="734"/>
      <c r="F212" s="734"/>
      <c r="G212" s="734"/>
      <c r="H212" s="734"/>
      <c r="I212" s="734"/>
      <c r="J212" s="734"/>
      <c r="K212" s="734"/>
      <c r="L212" s="734"/>
    </row>
    <row r="213" spans="1:12" x14ac:dyDescent="0.25">
      <c r="A213" s="734"/>
      <c r="B213" s="734"/>
      <c r="C213" s="734"/>
      <c r="D213" s="734"/>
      <c r="E213" s="734"/>
      <c r="F213" s="734"/>
      <c r="G213" s="734"/>
      <c r="H213" s="734"/>
      <c r="I213" s="734"/>
      <c r="J213" s="734"/>
      <c r="K213" s="734"/>
      <c r="L213" s="734"/>
    </row>
    <row r="214" spans="1:12" x14ac:dyDescent="0.25">
      <c r="A214" s="734"/>
      <c r="B214" s="734"/>
      <c r="C214" s="734"/>
      <c r="D214" s="734"/>
      <c r="E214" s="734"/>
      <c r="F214" s="734"/>
      <c r="G214" s="734"/>
      <c r="H214" s="734"/>
      <c r="I214" s="734"/>
      <c r="J214" s="734"/>
      <c r="K214" s="734"/>
      <c r="L214" s="734"/>
    </row>
    <row r="215" spans="1:12" x14ac:dyDescent="0.25">
      <c r="A215" s="734"/>
      <c r="B215" s="734"/>
      <c r="C215" s="734"/>
      <c r="D215" s="734"/>
      <c r="E215" s="734"/>
      <c r="F215" s="734"/>
      <c r="G215" s="734"/>
      <c r="H215" s="734"/>
      <c r="I215" s="734"/>
      <c r="J215" s="734"/>
      <c r="K215" s="734"/>
      <c r="L215" s="734"/>
    </row>
    <row r="216" spans="1:12" x14ac:dyDescent="0.25">
      <c r="A216" s="734"/>
      <c r="B216" s="734"/>
      <c r="C216" s="734"/>
      <c r="D216" s="734"/>
      <c r="E216" s="734"/>
      <c r="F216" s="734"/>
      <c r="G216" s="734"/>
      <c r="H216" s="734"/>
      <c r="I216" s="734"/>
      <c r="J216" s="734"/>
      <c r="K216" s="734"/>
      <c r="L216" s="734"/>
    </row>
    <row r="217" spans="1:12" x14ac:dyDescent="0.25">
      <c r="A217" s="734"/>
      <c r="B217" s="734"/>
      <c r="C217" s="734"/>
      <c r="D217" s="734"/>
      <c r="E217" s="734"/>
      <c r="F217" s="734"/>
      <c r="G217" s="734"/>
      <c r="H217" s="734"/>
      <c r="I217" s="734"/>
      <c r="J217" s="734"/>
      <c r="K217" s="734"/>
      <c r="L217" s="734"/>
    </row>
    <row r="218" spans="1:12" x14ac:dyDescent="0.25">
      <c r="A218" s="734"/>
      <c r="B218" s="734"/>
      <c r="C218" s="734"/>
      <c r="D218" s="734"/>
      <c r="E218" s="734"/>
      <c r="F218" s="734"/>
      <c r="G218" s="734"/>
      <c r="H218" s="734"/>
      <c r="I218" s="734"/>
      <c r="J218" s="734"/>
      <c r="K218" s="734"/>
      <c r="L218" s="734"/>
    </row>
    <row r="219" spans="1:12" x14ac:dyDescent="0.25">
      <c r="A219" s="734"/>
      <c r="B219" s="734"/>
      <c r="C219" s="734"/>
      <c r="D219" s="734"/>
      <c r="E219" s="734"/>
      <c r="F219" s="734"/>
      <c r="G219" s="734"/>
      <c r="H219" s="734"/>
      <c r="I219" s="734"/>
      <c r="J219" s="734"/>
      <c r="K219" s="734"/>
      <c r="L219" s="734"/>
    </row>
    <row r="220" spans="1:12" x14ac:dyDescent="0.25">
      <c r="A220" s="734"/>
      <c r="B220" s="734"/>
      <c r="C220" s="734"/>
      <c r="D220" s="734"/>
      <c r="E220" s="734"/>
      <c r="F220" s="734"/>
      <c r="G220" s="734"/>
      <c r="H220" s="734"/>
      <c r="I220" s="734"/>
      <c r="J220" s="734"/>
      <c r="K220" s="734"/>
      <c r="L220" s="734"/>
    </row>
    <row r="221" spans="1:12" x14ac:dyDescent="0.25">
      <c r="A221" s="734"/>
      <c r="B221" s="734"/>
      <c r="C221" s="734"/>
      <c r="D221" s="734"/>
      <c r="E221" s="734"/>
      <c r="F221" s="734"/>
      <c r="G221" s="734"/>
      <c r="H221" s="734"/>
      <c r="I221" s="734"/>
      <c r="J221" s="734"/>
      <c r="K221" s="734"/>
      <c r="L221" s="734"/>
    </row>
    <row r="222" spans="1:12" x14ac:dyDescent="0.25">
      <c r="A222" s="734"/>
      <c r="B222" s="734"/>
      <c r="C222" s="734"/>
      <c r="D222" s="734"/>
      <c r="E222" s="734"/>
      <c r="F222" s="734"/>
      <c r="G222" s="734"/>
      <c r="H222" s="734"/>
      <c r="I222" s="734"/>
      <c r="J222" s="734"/>
      <c r="K222" s="734"/>
      <c r="L222" s="734"/>
    </row>
    <row r="223" spans="1:12" x14ac:dyDescent="0.25">
      <c r="A223" s="734"/>
      <c r="B223" s="734"/>
      <c r="C223" s="734"/>
      <c r="D223" s="734"/>
      <c r="E223" s="734"/>
      <c r="F223" s="734"/>
      <c r="G223" s="734"/>
      <c r="H223" s="734"/>
      <c r="I223" s="734"/>
      <c r="J223" s="734"/>
      <c r="K223" s="734"/>
      <c r="L223" s="734"/>
    </row>
    <row r="224" spans="1:12" x14ac:dyDescent="0.25">
      <c r="A224" s="734"/>
      <c r="B224" s="734"/>
      <c r="C224" s="734"/>
      <c r="D224" s="734"/>
      <c r="E224" s="734"/>
      <c r="F224" s="734"/>
      <c r="G224" s="734"/>
      <c r="H224" s="734"/>
      <c r="I224" s="734"/>
      <c r="J224" s="734"/>
      <c r="K224" s="734"/>
      <c r="L224" s="734"/>
    </row>
    <row r="225" spans="1:12" x14ac:dyDescent="0.25">
      <c r="A225" s="734"/>
      <c r="B225" s="734"/>
      <c r="C225" s="734"/>
      <c r="D225" s="734"/>
      <c r="E225" s="734"/>
      <c r="F225" s="734"/>
      <c r="G225" s="734"/>
      <c r="H225" s="734"/>
      <c r="I225" s="734"/>
      <c r="J225" s="734"/>
      <c r="K225" s="734"/>
      <c r="L225" s="734"/>
    </row>
    <row r="226" spans="1:12" x14ac:dyDescent="0.25">
      <c r="A226" s="734"/>
      <c r="B226" s="734"/>
      <c r="C226" s="734"/>
      <c r="D226" s="734"/>
      <c r="E226" s="734"/>
      <c r="F226" s="734"/>
      <c r="G226" s="734"/>
      <c r="H226" s="734"/>
      <c r="I226" s="734"/>
      <c r="J226" s="734"/>
      <c r="K226" s="734"/>
      <c r="L226" s="734"/>
    </row>
    <row r="227" spans="1:12" x14ac:dyDescent="0.25">
      <c r="A227" s="734"/>
      <c r="B227" s="734"/>
      <c r="C227" s="734"/>
      <c r="D227" s="734"/>
      <c r="E227" s="734"/>
      <c r="F227" s="734"/>
      <c r="G227" s="734"/>
      <c r="H227" s="734"/>
      <c r="I227" s="734"/>
      <c r="J227" s="734"/>
      <c r="K227" s="734"/>
      <c r="L227" s="734"/>
    </row>
    <row r="228" spans="1:12" x14ac:dyDescent="0.25">
      <c r="A228" s="734"/>
      <c r="B228" s="734"/>
      <c r="C228" s="734"/>
      <c r="D228" s="734"/>
      <c r="E228" s="734"/>
      <c r="F228" s="734"/>
      <c r="G228" s="734"/>
      <c r="H228" s="734"/>
      <c r="I228" s="734"/>
      <c r="J228" s="734"/>
      <c r="K228" s="734"/>
      <c r="L228" s="734"/>
    </row>
    <row r="229" spans="1:12" x14ac:dyDescent="0.25">
      <c r="A229" s="734"/>
      <c r="B229" s="734"/>
      <c r="C229" s="734"/>
      <c r="D229" s="734"/>
      <c r="E229" s="734"/>
      <c r="F229" s="734"/>
      <c r="G229" s="734"/>
      <c r="H229" s="734"/>
      <c r="I229" s="734"/>
      <c r="J229" s="734"/>
      <c r="K229" s="734"/>
      <c r="L229" s="734"/>
    </row>
    <row r="230" spans="1:12" x14ac:dyDescent="0.25">
      <c r="A230" s="734"/>
      <c r="B230" s="734"/>
      <c r="C230" s="734"/>
      <c r="D230" s="734"/>
      <c r="E230" s="734"/>
      <c r="F230" s="734"/>
      <c r="G230" s="734"/>
      <c r="H230" s="734"/>
      <c r="I230" s="734"/>
      <c r="J230" s="734"/>
      <c r="K230" s="734"/>
      <c r="L230" s="734"/>
    </row>
    <row r="231" spans="1:12" x14ac:dyDescent="0.25">
      <c r="A231" s="734"/>
      <c r="B231" s="734"/>
      <c r="C231" s="734"/>
      <c r="D231" s="734"/>
      <c r="E231" s="734"/>
      <c r="F231" s="734"/>
      <c r="G231" s="734"/>
      <c r="H231" s="734"/>
      <c r="I231" s="734"/>
      <c r="J231" s="734"/>
      <c r="K231" s="734"/>
      <c r="L231" s="734"/>
    </row>
    <row r="232" spans="1:12" x14ac:dyDescent="0.25">
      <c r="A232" s="734"/>
      <c r="B232" s="734"/>
      <c r="C232" s="734"/>
      <c r="D232" s="734"/>
      <c r="E232" s="734"/>
      <c r="F232" s="734"/>
      <c r="G232" s="734"/>
      <c r="H232" s="734"/>
      <c r="I232" s="734"/>
      <c r="J232" s="734"/>
      <c r="K232" s="734"/>
      <c r="L232" s="734"/>
    </row>
    <row r="233" spans="1:12" x14ac:dyDescent="0.25">
      <c r="A233" s="734"/>
      <c r="B233" s="734"/>
      <c r="C233" s="734"/>
      <c r="D233" s="734"/>
      <c r="E233" s="734"/>
      <c r="F233" s="734"/>
      <c r="G233" s="734"/>
      <c r="H233" s="734"/>
      <c r="I233" s="734"/>
      <c r="J233" s="734"/>
      <c r="K233" s="734"/>
      <c r="L233" s="734"/>
    </row>
    <row r="234" spans="1:12" x14ac:dyDescent="0.25">
      <c r="A234" s="734"/>
      <c r="B234" s="734"/>
      <c r="C234" s="734"/>
      <c r="D234" s="734"/>
      <c r="E234" s="734"/>
      <c r="F234" s="734"/>
      <c r="G234" s="734"/>
      <c r="H234" s="734"/>
      <c r="I234" s="734"/>
      <c r="J234" s="734"/>
      <c r="K234" s="734"/>
      <c r="L234" s="734"/>
    </row>
    <row r="235" spans="1:12" x14ac:dyDescent="0.25">
      <c r="A235" s="734"/>
      <c r="B235" s="734"/>
      <c r="C235" s="734"/>
      <c r="D235" s="734"/>
      <c r="E235" s="734"/>
      <c r="F235" s="734"/>
      <c r="G235" s="734"/>
      <c r="H235" s="734"/>
      <c r="I235" s="734"/>
      <c r="J235" s="734"/>
      <c r="K235" s="734"/>
      <c r="L235" s="734"/>
    </row>
    <row r="236" spans="1:12" x14ac:dyDescent="0.25">
      <c r="A236" s="734"/>
      <c r="B236" s="734"/>
      <c r="C236" s="734"/>
      <c r="D236" s="734"/>
      <c r="E236" s="734"/>
      <c r="F236" s="734"/>
      <c r="G236" s="734"/>
      <c r="H236" s="734"/>
      <c r="I236" s="734"/>
      <c r="J236" s="734"/>
      <c r="K236" s="734"/>
      <c r="L236" s="734"/>
    </row>
    <row r="237" spans="1:12" x14ac:dyDescent="0.25">
      <c r="A237" s="734"/>
      <c r="B237" s="734"/>
      <c r="C237" s="734"/>
      <c r="D237" s="734"/>
      <c r="E237" s="734"/>
      <c r="F237" s="734"/>
      <c r="G237" s="734"/>
      <c r="H237" s="734"/>
      <c r="I237" s="734"/>
      <c r="J237" s="734"/>
      <c r="K237" s="734"/>
      <c r="L237" s="734"/>
    </row>
    <row r="238" spans="1:12" x14ac:dyDescent="0.25">
      <c r="A238" s="734"/>
      <c r="B238" s="734"/>
      <c r="C238" s="734"/>
      <c r="D238" s="734"/>
      <c r="E238" s="734"/>
      <c r="F238" s="734"/>
      <c r="G238" s="734"/>
      <c r="H238" s="734"/>
      <c r="I238" s="734"/>
      <c r="J238" s="734"/>
      <c r="K238" s="734"/>
      <c r="L238" s="734"/>
    </row>
    <row r="239" spans="1:12" x14ac:dyDescent="0.25">
      <c r="A239" s="734"/>
      <c r="B239" s="734"/>
      <c r="C239" s="734"/>
      <c r="D239" s="734"/>
      <c r="E239" s="734"/>
      <c r="F239" s="734"/>
      <c r="G239" s="734"/>
      <c r="H239" s="734"/>
      <c r="I239" s="734"/>
      <c r="J239" s="734"/>
      <c r="K239" s="734"/>
      <c r="L239" s="734"/>
    </row>
    <row r="240" spans="1:12" x14ac:dyDescent="0.25">
      <c r="A240" s="734"/>
      <c r="B240" s="734"/>
      <c r="C240" s="734"/>
      <c r="D240" s="734"/>
      <c r="E240" s="734"/>
      <c r="F240" s="734"/>
      <c r="G240" s="734"/>
      <c r="H240" s="734"/>
      <c r="I240" s="734"/>
      <c r="J240" s="734"/>
      <c r="K240" s="734"/>
      <c r="L240" s="734"/>
    </row>
    <row r="241" spans="1:12" x14ac:dyDescent="0.25">
      <c r="A241" s="734"/>
      <c r="B241" s="734"/>
      <c r="C241" s="734"/>
      <c r="D241" s="734"/>
      <c r="E241" s="734"/>
      <c r="F241" s="734"/>
      <c r="G241" s="734"/>
      <c r="H241" s="734"/>
      <c r="I241" s="734"/>
      <c r="J241" s="734"/>
      <c r="K241" s="734"/>
      <c r="L241" s="734"/>
    </row>
    <row r="242" spans="1:12" x14ac:dyDescent="0.25">
      <c r="A242" s="734"/>
      <c r="B242" s="734"/>
      <c r="C242" s="734"/>
      <c r="D242" s="734"/>
      <c r="E242" s="734"/>
      <c r="F242" s="734"/>
      <c r="G242" s="734"/>
      <c r="H242" s="734"/>
      <c r="I242" s="734"/>
      <c r="J242" s="734"/>
      <c r="K242" s="734"/>
      <c r="L242" s="734"/>
    </row>
    <row r="243" spans="1:12" x14ac:dyDescent="0.25">
      <c r="A243" s="734"/>
      <c r="B243" s="734"/>
      <c r="C243" s="734"/>
      <c r="D243" s="734"/>
      <c r="E243" s="734"/>
      <c r="F243" s="734"/>
      <c r="G243" s="734"/>
      <c r="H243" s="734"/>
      <c r="I243" s="734"/>
      <c r="J243" s="734"/>
      <c r="K243" s="734"/>
      <c r="L243" s="734"/>
    </row>
    <row r="244" spans="1:12" x14ac:dyDescent="0.25">
      <c r="A244" s="734"/>
      <c r="B244" s="734"/>
      <c r="C244" s="734"/>
      <c r="D244" s="734"/>
      <c r="E244" s="734"/>
      <c r="F244" s="734"/>
      <c r="G244" s="734"/>
      <c r="H244" s="734"/>
      <c r="I244" s="734"/>
      <c r="J244" s="734"/>
      <c r="K244" s="734"/>
      <c r="L244" s="734"/>
    </row>
    <row r="245" spans="1:12" x14ac:dyDescent="0.25">
      <c r="A245" s="734"/>
      <c r="B245" s="734"/>
      <c r="C245" s="734"/>
      <c r="D245" s="734"/>
      <c r="E245" s="734"/>
      <c r="F245" s="734"/>
      <c r="G245" s="734"/>
      <c r="H245" s="734"/>
      <c r="I245" s="734"/>
      <c r="J245" s="734"/>
      <c r="K245" s="734"/>
      <c r="L245" s="734"/>
    </row>
    <row r="246" spans="1:12" x14ac:dyDescent="0.25">
      <c r="A246" s="734"/>
      <c r="B246" s="734"/>
      <c r="C246" s="734"/>
      <c r="D246" s="734"/>
      <c r="E246" s="734"/>
      <c r="F246" s="734"/>
      <c r="G246" s="734"/>
      <c r="H246" s="734"/>
      <c r="I246" s="734"/>
      <c r="J246" s="734"/>
      <c r="K246" s="734"/>
      <c r="L246" s="734"/>
    </row>
    <row r="247" spans="1:12" x14ac:dyDescent="0.25">
      <c r="A247" s="734"/>
      <c r="B247" s="734"/>
      <c r="C247" s="734"/>
      <c r="D247" s="734"/>
      <c r="E247" s="734"/>
      <c r="F247" s="734"/>
      <c r="G247" s="734"/>
      <c r="H247" s="734"/>
      <c r="I247" s="734"/>
      <c r="J247" s="734"/>
      <c r="K247" s="734"/>
      <c r="L247" s="734"/>
    </row>
    <row r="248" spans="1:12" x14ac:dyDescent="0.25">
      <c r="A248" s="734"/>
      <c r="B248" s="734"/>
      <c r="C248" s="734"/>
      <c r="D248" s="734"/>
      <c r="E248" s="734"/>
      <c r="F248" s="734"/>
      <c r="G248" s="734"/>
      <c r="H248" s="734"/>
      <c r="I248" s="734"/>
      <c r="J248" s="734"/>
      <c r="K248" s="734"/>
      <c r="L248" s="734"/>
    </row>
    <row r="249" spans="1:12" x14ac:dyDescent="0.25">
      <c r="A249" s="734"/>
      <c r="B249" s="734"/>
      <c r="C249" s="734"/>
      <c r="D249" s="734"/>
      <c r="E249" s="734"/>
      <c r="F249" s="734"/>
      <c r="G249" s="734"/>
      <c r="H249" s="734"/>
      <c r="I249" s="734"/>
      <c r="J249" s="734"/>
      <c r="K249" s="734"/>
      <c r="L249" s="734"/>
    </row>
    <row r="250" spans="1:12" x14ac:dyDescent="0.25">
      <c r="A250" s="734"/>
      <c r="B250" s="734"/>
      <c r="C250" s="734"/>
      <c r="D250" s="734"/>
      <c r="E250" s="734"/>
      <c r="F250" s="734"/>
      <c r="G250" s="734"/>
      <c r="H250" s="734"/>
      <c r="I250" s="734"/>
      <c r="J250" s="734"/>
      <c r="K250" s="734"/>
      <c r="L250" s="734"/>
    </row>
    <row r="251" spans="1:12" x14ac:dyDescent="0.25">
      <c r="A251" s="734"/>
      <c r="B251" s="734"/>
      <c r="C251" s="734"/>
      <c r="D251" s="734"/>
      <c r="E251" s="734"/>
      <c r="F251" s="734"/>
      <c r="G251" s="734"/>
      <c r="H251" s="734"/>
      <c r="I251" s="734"/>
      <c r="J251" s="734"/>
      <c r="K251" s="734"/>
      <c r="L251" s="734"/>
    </row>
    <row r="252" spans="1:12" x14ac:dyDescent="0.25">
      <c r="A252" s="734"/>
      <c r="B252" s="734"/>
      <c r="C252" s="734"/>
      <c r="D252" s="734"/>
      <c r="E252" s="734"/>
      <c r="F252" s="734"/>
      <c r="G252" s="734"/>
      <c r="H252" s="734"/>
      <c r="I252" s="734"/>
      <c r="J252" s="734"/>
      <c r="K252" s="734"/>
      <c r="L252" s="734"/>
    </row>
  </sheetData>
  <sortState xmlns:xlrd2="http://schemas.microsoft.com/office/spreadsheetml/2017/richdata2" ref="D13:K44">
    <sortCondition ref="D13:D44"/>
  </sortState>
  <mergeCells count="22">
    <mergeCell ref="A115:C115"/>
    <mergeCell ref="N21:Q21"/>
    <mergeCell ref="A84:C84"/>
    <mergeCell ref="A87:C87"/>
    <mergeCell ref="A110:C110"/>
    <mergeCell ref="A112:C112"/>
    <mergeCell ref="J2:K2"/>
    <mergeCell ref="F11:K11"/>
    <mergeCell ref="AL21:AO21"/>
    <mergeCell ref="A75:C75"/>
    <mergeCell ref="A81:C81"/>
    <mergeCell ref="B72:C72"/>
    <mergeCell ref="A72:A74"/>
    <mergeCell ref="R21:U21"/>
    <mergeCell ref="V21:Y21"/>
    <mergeCell ref="Z21:AC21"/>
    <mergeCell ref="AD21:AG21"/>
    <mergeCell ref="AH21:AK21"/>
    <mergeCell ref="A22:A23"/>
    <mergeCell ref="B21:E21"/>
    <mergeCell ref="F21:I21"/>
    <mergeCell ref="J21:M21"/>
  </mergeCells>
  <phoneticPr fontId="8" type="noConversion"/>
  <pageMargins left="0.25" right="0.25" top="0.75" bottom="0.5" header="0.5" footer="0.5"/>
  <pageSetup orientation="landscape" horizontalDpi="4294967294" r:id="rId1"/>
  <headerFooter alignWithMargins="0">
    <oddHeade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0"/>
  <sheetViews>
    <sheetView topLeftCell="A46" workbookViewId="0">
      <selection activeCell="A71" sqref="A71:B80"/>
    </sheetView>
  </sheetViews>
  <sheetFormatPr defaultRowHeight="12.5" x14ac:dyDescent="0.25"/>
  <cols>
    <col min="1" max="1" width="56.453125" bestFit="1" customWidth="1"/>
    <col min="2" max="2" width="32.08984375" bestFit="1" customWidth="1"/>
  </cols>
  <sheetData>
    <row r="1" spans="1:2" ht="15" x14ac:dyDescent="0.3">
      <c r="A1" s="763" t="s">
        <v>1127</v>
      </c>
      <c r="B1" s="763"/>
    </row>
    <row r="2" spans="1:2" ht="13" x14ac:dyDescent="0.3">
      <c r="A2" s="769" t="s">
        <v>709</v>
      </c>
      <c r="B2" s="769"/>
    </row>
    <row r="3" spans="1:2" ht="15" x14ac:dyDescent="0.3">
      <c r="A3" s="491" t="s">
        <v>1156</v>
      </c>
      <c r="B3" s="492" t="s">
        <v>8</v>
      </c>
    </row>
    <row r="4" spans="1:2" ht="14" x14ac:dyDescent="0.3">
      <c r="A4" s="764" t="s">
        <v>1126</v>
      </c>
      <c r="B4" s="764"/>
    </row>
    <row r="5" spans="1:2" ht="14.25" customHeight="1" x14ac:dyDescent="0.3">
      <c r="A5" s="493" t="s">
        <v>706</v>
      </c>
      <c r="B5" s="494">
        <v>25.1</v>
      </c>
    </row>
    <row r="6" spans="1:2" ht="14" x14ac:dyDescent="0.3">
      <c r="A6" s="493" t="s">
        <v>707</v>
      </c>
      <c r="B6" s="494">
        <v>14.9</v>
      </c>
    </row>
    <row r="7" spans="1:2" ht="14" x14ac:dyDescent="0.3">
      <c r="A7" s="301" t="s">
        <v>9</v>
      </c>
      <c r="B7" s="494">
        <v>52.9</v>
      </c>
    </row>
    <row r="8" spans="1:2" ht="14" x14ac:dyDescent="0.3">
      <c r="A8" s="764" t="s">
        <v>128</v>
      </c>
      <c r="B8" s="764"/>
    </row>
    <row r="9" spans="1:2" ht="14" x14ac:dyDescent="0.3">
      <c r="A9" s="301" t="s">
        <v>705</v>
      </c>
      <c r="B9" s="495">
        <v>61.5</v>
      </c>
    </row>
    <row r="10" spans="1:2" ht="14" x14ac:dyDescent="0.3">
      <c r="A10" s="301" t="s">
        <v>702</v>
      </c>
      <c r="B10" s="495">
        <v>53.4</v>
      </c>
    </row>
    <row r="11" spans="1:2" ht="14" x14ac:dyDescent="0.3">
      <c r="A11" s="301" t="s">
        <v>703</v>
      </c>
      <c r="B11" s="495">
        <v>69.8</v>
      </c>
    </row>
    <row r="12" spans="1:2" ht="14" x14ac:dyDescent="0.3">
      <c r="A12" s="301" t="s">
        <v>704</v>
      </c>
      <c r="B12" s="495">
        <v>97.2</v>
      </c>
    </row>
    <row r="13" spans="1:2" ht="14" x14ac:dyDescent="0.3">
      <c r="A13" s="301" t="s">
        <v>700</v>
      </c>
      <c r="B13" s="495">
        <v>91.7</v>
      </c>
    </row>
    <row r="14" spans="1:2" ht="14" x14ac:dyDescent="0.3">
      <c r="A14" s="301" t="s">
        <v>701</v>
      </c>
      <c r="B14" s="495">
        <v>102.7</v>
      </c>
    </row>
    <row r="15" spans="1:2" ht="14" x14ac:dyDescent="0.3">
      <c r="A15" s="301" t="s">
        <v>693</v>
      </c>
      <c r="B15" s="495">
        <v>139</v>
      </c>
    </row>
    <row r="16" spans="1:2" ht="14" x14ac:dyDescent="0.3">
      <c r="A16" s="301" t="s">
        <v>695</v>
      </c>
      <c r="B16" s="495">
        <v>28</v>
      </c>
    </row>
    <row r="17" spans="1:2" ht="14" x14ac:dyDescent="0.3">
      <c r="A17" s="301" t="s">
        <v>715</v>
      </c>
      <c r="B17" s="495">
        <v>47.5</v>
      </c>
    </row>
    <row r="18" spans="1:2" ht="14" x14ac:dyDescent="0.3">
      <c r="A18" s="301" t="s">
        <v>696</v>
      </c>
      <c r="B18" s="494">
        <v>73</v>
      </c>
    </row>
    <row r="19" spans="1:2" ht="14" x14ac:dyDescent="0.3">
      <c r="A19" s="764" t="s">
        <v>129</v>
      </c>
      <c r="B19" s="765"/>
    </row>
    <row r="20" spans="1:2" ht="14" x14ac:dyDescent="0.3">
      <c r="A20" s="301" t="s">
        <v>697</v>
      </c>
      <c r="B20" s="495">
        <v>134</v>
      </c>
    </row>
    <row r="21" spans="1:2" ht="14" x14ac:dyDescent="0.3">
      <c r="A21" s="301" t="s">
        <v>710</v>
      </c>
      <c r="B21" s="495">
        <v>32</v>
      </c>
    </row>
    <row r="22" spans="1:2" ht="14" x14ac:dyDescent="0.3">
      <c r="A22" s="301" t="s">
        <v>698</v>
      </c>
      <c r="B22" s="495">
        <v>704</v>
      </c>
    </row>
    <row r="23" spans="1:2" ht="14" x14ac:dyDescent="0.3">
      <c r="A23" s="301" t="s">
        <v>699</v>
      </c>
      <c r="B23" s="495">
        <v>670</v>
      </c>
    </row>
    <row r="24" spans="1:2" ht="14" x14ac:dyDescent="0.3">
      <c r="A24" s="301" t="s">
        <v>691</v>
      </c>
      <c r="B24" s="495">
        <v>676</v>
      </c>
    </row>
    <row r="25" spans="1:2" ht="14" x14ac:dyDescent="0.3">
      <c r="A25" s="301" t="s">
        <v>692</v>
      </c>
      <c r="B25" s="495">
        <v>664</v>
      </c>
    </row>
    <row r="26" spans="1:2" ht="14" x14ac:dyDescent="0.3">
      <c r="A26" s="301" t="s">
        <v>711</v>
      </c>
      <c r="B26" s="495">
        <v>647</v>
      </c>
    </row>
    <row r="27" spans="1:2" ht="14" x14ac:dyDescent="0.3">
      <c r="A27" s="301" t="s">
        <v>712</v>
      </c>
      <c r="B27" s="495">
        <v>652</v>
      </c>
    </row>
    <row r="28" spans="1:2" ht="14" x14ac:dyDescent="0.3">
      <c r="A28" s="301" t="s">
        <v>713</v>
      </c>
      <c r="B28" s="495">
        <v>642</v>
      </c>
    </row>
    <row r="29" spans="1:2" ht="14" x14ac:dyDescent="0.3">
      <c r="A29" s="764" t="s">
        <v>1128</v>
      </c>
      <c r="B29" s="765"/>
    </row>
    <row r="30" spans="1:2" ht="14" x14ac:dyDescent="0.3">
      <c r="A30" s="301" t="s">
        <v>152</v>
      </c>
      <c r="B30" s="495">
        <v>2.21</v>
      </c>
    </row>
    <row r="31" spans="1:2" ht="14" x14ac:dyDescent="0.3">
      <c r="A31" s="301" t="s">
        <v>716</v>
      </c>
      <c r="B31" s="494">
        <v>1.42</v>
      </c>
    </row>
    <row r="32" spans="1:2" ht="14" x14ac:dyDescent="0.3">
      <c r="A32" s="764" t="s">
        <v>130</v>
      </c>
      <c r="B32" s="765"/>
    </row>
    <row r="33" spans="1:2" ht="14" x14ac:dyDescent="0.3">
      <c r="A33" s="301" t="s">
        <v>126</v>
      </c>
      <c r="B33" s="494">
        <v>9.9</v>
      </c>
    </row>
    <row r="34" spans="1:2" ht="14" x14ac:dyDescent="0.3">
      <c r="A34" s="301" t="s">
        <v>714</v>
      </c>
      <c r="B34" s="494">
        <v>15.1</v>
      </c>
    </row>
    <row r="35" spans="1:2" ht="14" x14ac:dyDescent="0.3">
      <c r="A35" s="301" t="s">
        <v>127</v>
      </c>
      <c r="B35" s="495">
        <v>41.2</v>
      </c>
    </row>
    <row r="36" spans="1:2" ht="14" x14ac:dyDescent="0.3">
      <c r="A36" s="764" t="s">
        <v>1129</v>
      </c>
      <c r="B36" s="764"/>
    </row>
    <row r="37" spans="1:2" ht="14" x14ac:dyDescent="0.3">
      <c r="A37" s="389" t="s">
        <v>1130</v>
      </c>
      <c r="B37" s="495">
        <v>9.4499999999999993</v>
      </c>
    </row>
    <row r="38" spans="1:2" ht="14" x14ac:dyDescent="0.3">
      <c r="A38" s="389" t="s">
        <v>1131</v>
      </c>
      <c r="B38" s="495">
        <v>6.22</v>
      </c>
    </row>
    <row r="39" spans="1:2" ht="14" x14ac:dyDescent="0.3">
      <c r="A39" s="389" t="s">
        <v>1133</v>
      </c>
      <c r="B39" s="495">
        <v>7.79</v>
      </c>
    </row>
    <row r="40" spans="1:2" ht="14" x14ac:dyDescent="0.3">
      <c r="A40" s="389" t="s">
        <v>1132</v>
      </c>
      <c r="B40" s="495">
        <v>6.22</v>
      </c>
    </row>
    <row r="41" spans="1:2" ht="14" x14ac:dyDescent="0.3">
      <c r="A41" s="764" t="s">
        <v>157</v>
      </c>
      <c r="B41" s="764"/>
    </row>
    <row r="42" spans="1:2" ht="14" x14ac:dyDescent="0.3">
      <c r="A42" s="389" t="s">
        <v>1130</v>
      </c>
      <c r="B42" s="495">
        <v>8.61</v>
      </c>
    </row>
    <row r="43" spans="1:2" ht="14" x14ac:dyDescent="0.3">
      <c r="A43" s="389" t="s">
        <v>1131</v>
      </c>
      <c r="B43" s="495">
        <v>9.1999999999999993</v>
      </c>
    </row>
    <row r="44" spans="1:2" ht="14" x14ac:dyDescent="0.3">
      <c r="A44" s="389" t="s">
        <v>1133</v>
      </c>
      <c r="B44" s="495">
        <v>8.68</v>
      </c>
    </row>
    <row r="45" spans="1:2" ht="14" x14ac:dyDescent="0.3">
      <c r="A45" s="389" t="s">
        <v>1132</v>
      </c>
      <c r="B45" s="495">
        <v>8.6999999999999993</v>
      </c>
    </row>
    <row r="46" spans="1:2" ht="14" x14ac:dyDescent="0.3">
      <c r="A46" s="770" t="s">
        <v>1134</v>
      </c>
      <c r="B46" s="771"/>
    </row>
    <row r="47" spans="1:2" ht="14" x14ac:dyDescent="0.3">
      <c r="A47" s="389" t="s">
        <v>1135</v>
      </c>
      <c r="B47" s="495">
        <v>0.55200000000000005</v>
      </c>
    </row>
    <row r="48" spans="1:2" ht="14" x14ac:dyDescent="0.3">
      <c r="A48" s="389" t="s">
        <v>1136</v>
      </c>
      <c r="B48" s="495">
        <v>0.70699999999999996</v>
      </c>
    </row>
    <row r="49" spans="1:6" ht="14" x14ac:dyDescent="0.3">
      <c r="A49" s="389" t="s">
        <v>1137</v>
      </c>
      <c r="B49" s="717">
        <v>0.56999999999999995</v>
      </c>
    </row>
    <row r="50" spans="1:6" ht="14" x14ac:dyDescent="0.3">
      <c r="A50" s="389" t="s">
        <v>1138</v>
      </c>
      <c r="B50" s="717">
        <v>0.67</v>
      </c>
    </row>
    <row r="51" spans="1:6" ht="14" x14ac:dyDescent="0.3">
      <c r="A51" s="764" t="s">
        <v>131</v>
      </c>
      <c r="B51" s="764"/>
    </row>
    <row r="52" spans="1:6" x14ac:dyDescent="0.25">
      <c r="A52" s="766" t="s">
        <v>1177</v>
      </c>
      <c r="B52" s="56" t="s">
        <v>666</v>
      </c>
    </row>
    <row r="53" spans="1:6" x14ac:dyDescent="0.25">
      <c r="A53" s="767"/>
      <c r="B53" s="56" t="s">
        <v>1159</v>
      </c>
    </row>
    <row r="54" spans="1:6" x14ac:dyDescent="0.25">
      <c r="A54" s="767"/>
      <c r="B54" s="56" t="s">
        <v>205</v>
      </c>
    </row>
    <row r="55" spans="1:6" x14ac:dyDescent="0.25">
      <c r="A55" s="767"/>
      <c r="B55" s="56" t="s">
        <v>1160</v>
      </c>
    </row>
    <row r="56" spans="1:6" x14ac:dyDescent="0.25">
      <c r="A56" s="767"/>
      <c r="B56" s="56" t="s">
        <v>135</v>
      </c>
    </row>
    <row r="57" spans="1:6" x14ac:dyDescent="0.25">
      <c r="A57" s="767"/>
      <c r="B57" s="56" t="s">
        <v>683</v>
      </c>
    </row>
    <row r="58" spans="1:6" x14ac:dyDescent="0.25">
      <c r="A58" s="767"/>
      <c r="B58" s="56" t="s">
        <v>689</v>
      </c>
    </row>
    <row r="59" spans="1:6" x14ac:dyDescent="0.25">
      <c r="A59" s="767"/>
      <c r="B59" s="56" t="s">
        <v>1163</v>
      </c>
      <c r="E59" s="62"/>
      <c r="F59" s="62"/>
    </row>
    <row r="60" spans="1:6" x14ac:dyDescent="0.25">
      <c r="A60" s="767"/>
      <c r="B60" s="56" t="s">
        <v>143</v>
      </c>
      <c r="D60" s="62"/>
      <c r="E60" s="484"/>
      <c r="F60" s="62"/>
    </row>
    <row r="61" spans="1:6" x14ac:dyDescent="0.25">
      <c r="A61" s="767"/>
      <c r="B61" s="56" t="s">
        <v>1164</v>
      </c>
      <c r="D61" s="62"/>
      <c r="E61" s="484"/>
      <c r="F61" s="62"/>
    </row>
    <row r="62" spans="1:6" x14ac:dyDescent="0.25">
      <c r="A62" s="767"/>
      <c r="B62" s="56" t="s">
        <v>7</v>
      </c>
      <c r="D62" s="62"/>
      <c r="E62" s="484"/>
      <c r="F62" s="62"/>
    </row>
    <row r="63" spans="1:6" x14ac:dyDescent="0.25">
      <c r="A63" s="767"/>
      <c r="B63" s="56" t="s">
        <v>206</v>
      </c>
      <c r="D63" s="62"/>
      <c r="E63" s="484"/>
      <c r="F63" s="62"/>
    </row>
    <row r="64" spans="1:6" x14ac:dyDescent="0.25">
      <c r="A64" s="767"/>
      <c r="B64" s="56" t="s">
        <v>680</v>
      </c>
      <c r="D64" s="62"/>
      <c r="E64" s="484"/>
      <c r="F64" s="62"/>
    </row>
    <row r="65" spans="1:6" x14ac:dyDescent="0.25">
      <c r="A65" s="767"/>
      <c r="B65" s="56" t="s">
        <v>209</v>
      </c>
      <c r="D65" s="62"/>
      <c r="E65" s="484"/>
      <c r="F65" s="62"/>
    </row>
    <row r="66" spans="1:6" x14ac:dyDescent="0.25">
      <c r="A66" s="768"/>
      <c r="B66" s="56" t="s">
        <v>1170</v>
      </c>
      <c r="D66" s="62"/>
      <c r="E66" s="484"/>
      <c r="F66" s="62"/>
    </row>
    <row r="67" spans="1:6" ht="14" x14ac:dyDescent="0.3">
      <c r="A67" s="764" t="s">
        <v>1175</v>
      </c>
      <c r="B67" s="764"/>
      <c r="D67" s="62"/>
    </row>
    <row r="68" spans="1:6" ht="14" x14ac:dyDescent="0.3">
      <c r="A68" s="496" t="s">
        <v>205</v>
      </c>
      <c r="B68" s="758" t="s">
        <v>1174</v>
      </c>
    </row>
    <row r="69" spans="1:6" ht="14" x14ac:dyDescent="0.3">
      <c r="A69" s="496" t="s">
        <v>205</v>
      </c>
      <c r="B69" s="759" t="s">
        <v>1176</v>
      </c>
    </row>
    <row r="70" spans="1:6" ht="14" x14ac:dyDescent="0.3">
      <c r="A70" s="760"/>
      <c r="B70" s="761"/>
    </row>
    <row r="71" spans="1:6" ht="14" x14ac:dyDescent="0.3">
      <c r="A71" s="770" t="s">
        <v>1155</v>
      </c>
      <c r="B71" s="771"/>
    </row>
    <row r="72" spans="1:6" ht="14" x14ac:dyDescent="0.25">
      <c r="A72" s="725" t="s">
        <v>1146</v>
      </c>
      <c r="B72" s="756">
        <v>15886.6825176934</v>
      </c>
    </row>
    <row r="73" spans="1:6" ht="14" x14ac:dyDescent="0.25">
      <c r="A73" s="725" t="s">
        <v>1147</v>
      </c>
      <c r="B73" s="756">
        <v>7896.7788864264303</v>
      </c>
    </row>
    <row r="74" spans="1:6" ht="14" x14ac:dyDescent="0.25">
      <c r="A74" s="725" t="s">
        <v>1148</v>
      </c>
      <c r="B74" s="756">
        <v>7989.9036312669496</v>
      </c>
    </row>
    <row r="75" spans="1:6" ht="14" x14ac:dyDescent="0.25">
      <c r="A75" s="725" t="s">
        <v>1149</v>
      </c>
      <c r="B75" s="756">
        <v>634.02266688164252</v>
      </c>
    </row>
    <row r="76" spans="1:6" ht="14" x14ac:dyDescent="0.25">
      <c r="A76" s="725" t="s">
        <v>1150</v>
      </c>
      <c r="B76" s="756">
        <v>259.74978861814503</v>
      </c>
    </row>
    <row r="77" spans="1:6" ht="14" x14ac:dyDescent="0.25">
      <c r="A77" s="725" t="s">
        <v>1151</v>
      </c>
      <c r="B77" s="756">
        <v>374.2728782634976</v>
      </c>
    </row>
    <row r="78" spans="1:6" ht="14" x14ac:dyDescent="0.3">
      <c r="A78" s="725" t="s">
        <v>1152</v>
      </c>
      <c r="B78" s="757">
        <v>570319.64585166902</v>
      </c>
    </row>
    <row r="79" spans="1:6" ht="14" x14ac:dyDescent="0.3">
      <c r="A79" s="725" t="s">
        <v>1153</v>
      </c>
      <c r="B79" s="757">
        <v>231401.28936960001</v>
      </c>
    </row>
    <row r="80" spans="1:6" ht="14" x14ac:dyDescent="0.3">
      <c r="A80" s="725" t="s">
        <v>1154</v>
      </c>
      <c r="B80" s="757">
        <v>338918.35648206901</v>
      </c>
    </row>
  </sheetData>
  <mergeCells count="14">
    <mergeCell ref="A71:B71"/>
    <mergeCell ref="A67:B67"/>
    <mergeCell ref="A29:B29"/>
    <mergeCell ref="A32:B32"/>
    <mergeCell ref="A51:B51"/>
    <mergeCell ref="A1:B1"/>
    <mergeCell ref="A4:B4"/>
    <mergeCell ref="A8:B8"/>
    <mergeCell ref="A19:B19"/>
    <mergeCell ref="A52:A66"/>
    <mergeCell ref="A2:B2"/>
    <mergeCell ref="A36:B36"/>
    <mergeCell ref="A41:B41"/>
    <mergeCell ref="A46:B46"/>
  </mergeCells>
  <phoneticPr fontId="8" type="noConversion"/>
  <pageMargins left="0.5" right="0.5" top="1" bottom="1" header="0.5" footer="0.5"/>
  <pageSetup orientation="portrait"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E716"/>
  <sheetViews>
    <sheetView zoomScale="80" zoomScaleNormal="80" workbookViewId="0">
      <selection activeCell="U17" sqref="U17"/>
    </sheetView>
  </sheetViews>
  <sheetFormatPr defaultColWidth="17.54296875" defaultRowHeight="12.5" x14ac:dyDescent="0.25"/>
  <cols>
    <col min="1" max="1" width="17.08984375" customWidth="1"/>
    <col min="2" max="2" width="27.54296875" bestFit="1" customWidth="1"/>
    <col min="3" max="3" width="9" customWidth="1"/>
    <col min="4" max="4" width="8.90625" bestFit="1" customWidth="1"/>
    <col min="5" max="5" width="9" bestFit="1" customWidth="1"/>
    <col min="6" max="6" width="8.90625" bestFit="1" customWidth="1"/>
    <col min="7" max="7" width="9.453125" bestFit="1" customWidth="1"/>
    <col min="8" max="8" width="9" bestFit="1" customWidth="1"/>
    <col min="9" max="9" width="8" bestFit="1" customWidth="1"/>
    <col min="10" max="10" width="8.36328125" bestFit="1" customWidth="1"/>
    <col min="11" max="11" width="8.08984375" bestFit="1" customWidth="1"/>
    <col min="12" max="12" width="8.08984375" customWidth="1"/>
    <col min="13" max="13" width="9.453125" bestFit="1" customWidth="1"/>
    <col min="14" max="14" width="9" bestFit="1" customWidth="1"/>
    <col min="15" max="15" width="10.90625" bestFit="1" customWidth="1"/>
    <col min="16" max="16" width="9" bestFit="1" customWidth="1"/>
    <col min="17" max="17" width="9.36328125" bestFit="1" customWidth="1"/>
    <col min="18" max="18" width="10.08984375" bestFit="1" customWidth="1"/>
    <col min="19" max="19" width="8" bestFit="1" customWidth="1"/>
    <col min="20" max="20" width="12" customWidth="1"/>
    <col min="21" max="21" width="9.90625" bestFit="1" customWidth="1"/>
    <col min="22" max="22" width="27.54296875" bestFit="1" customWidth="1"/>
    <col min="24" max="24" width="11.08984375" bestFit="1" customWidth="1"/>
    <col min="25" max="25" width="10.90625" bestFit="1" customWidth="1"/>
    <col min="26" max="26" width="27.54296875" bestFit="1" customWidth="1"/>
    <col min="27" max="27" width="10" bestFit="1" customWidth="1"/>
    <col min="28" max="28" width="25.453125" bestFit="1" customWidth="1"/>
    <col min="29" max="29" width="7.54296875" bestFit="1" customWidth="1"/>
    <col min="30" max="30" width="8" bestFit="1" customWidth="1"/>
    <col min="31" max="31" width="6.08984375" bestFit="1" customWidth="1"/>
  </cols>
  <sheetData>
    <row r="1" spans="1:31" ht="13" x14ac:dyDescent="0.3">
      <c r="A1" s="818" t="s">
        <v>184</v>
      </c>
      <c r="B1" s="818"/>
      <c r="C1" s="818"/>
      <c r="D1" s="818"/>
      <c r="E1" s="818"/>
      <c r="F1" s="818"/>
      <c r="G1" s="818"/>
      <c r="H1" s="818"/>
      <c r="I1" s="818"/>
      <c r="J1" s="818"/>
      <c r="K1" s="818"/>
      <c r="L1" s="818"/>
      <c r="M1" s="818"/>
      <c r="N1" s="818"/>
      <c r="O1" s="818"/>
      <c r="P1" s="818"/>
      <c r="Q1" s="818"/>
      <c r="R1" s="818"/>
      <c r="X1" s="555" t="s">
        <v>824</v>
      </c>
      <c r="Y1" s="556" t="s">
        <v>851</v>
      </c>
      <c r="Z1" s="555" t="s">
        <v>825</v>
      </c>
      <c r="AA1" s="557" t="s">
        <v>827</v>
      </c>
      <c r="AB1" s="555" t="s">
        <v>826</v>
      </c>
      <c r="AC1" s="555" t="s">
        <v>828</v>
      </c>
      <c r="AD1" s="555" t="s">
        <v>829</v>
      </c>
      <c r="AE1" s="558" t="s">
        <v>830</v>
      </c>
    </row>
    <row r="2" spans="1:31" ht="13" x14ac:dyDescent="0.3">
      <c r="A2" s="107" t="s">
        <v>11</v>
      </c>
      <c r="B2" s="107" t="s">
        <v>183</v>
      </c>
      <c r="C2" s="580">
        <v>40921</v>
      </c>
      <c r="D2" s="580">
        <v>40949</v>
      </c>
      <c r="E2" s="580">
        <v>40994</v>
      </c>
      <c r="F2" s="580">
        <v>41022</v>
      </c>
      <c r="G2" s="580">
        <v>41050</v>
      </c>
      <c r="H2" s="580">
        <v>41086</v>
      </c>
      <c r="I2" s="580">
        <v>41099</v>
      </c>
      <c r="J2" s="580">
        <v>41113</v>
      </c>
      <c r="K2" s="580">
        <v>41127</v>
      </c>
      <c r="L2" s="580">
        <v>41148</v>
      </c>
      <c r="M2" s="580">
        <v>41162</v>
      </c>
      <c r="N2" s="580">
        <v>41177</v>
      </c>
      <c r="O2" s="579">
        <v>41204</v>
      </c>
      <c r="P2" s="580">
        <v>41239</v>
      </c>
      <c r="Q2" s="580">
        <v>41257</v>
      </c>
      <c r="R2" s="482" t="s">
        <v>17</v>
      </c>
      <c r="S2" s="483" t="s">
        <v>659</v>
      </c>
      <c r="T2" s="119"/>
      <c r="U2" s="331"/>
      <c r="V2" s="108"/>
      <c r="W2" s="92"/>
      <c r="X2" s="119" t="s">
        <v>831</v>
      </c>
      <c r="Y2" s="331">
        <v>40921</v>
      </c>
      <c r="Z2" s="108" t="s">
        <v>210</v>
      </c>
      <c r="AA2" s="92">
        <v>998</v>
      </c>
      <c r="AB2" s="94" t="s">
        <v>832</v>
      </c>
      <c r="AC2" s="19"/>
      <c r="AD2" s="554" t="s">
        <v>833</v>
      </c>
      <c r="AE2" s="93">
        <v>2</v>
      </c>
    </row>
    <row r="3" spans="1:31" x14ac:dyDescent="0.25">
      <c r="A3" s="832" t="s">
        <v>220</v>
      </c>
      <c r="B3" s="98" t="s">
        <v>204</v>
      </c>
      <c r="C3" s="293">
        <v>623</v>
      </c>
      <c r="D3" s="57">
        <v>1115</v>
      </c>
      <c r="E3" s="57">
        <v>1015</v>
      </c>
      <c r="F3" s="330">
        <v>1494</v>
      </c>
      <c r="G3" s="57">
        <v>1487</v>
      </c>
      <c r="H3" s="120">
        <v>1888</v>
      </c>
      <c r="I3" s="101">
        <v>1113</v>
      </c>
      <c r="J3" s="101">
        <v>1262</v>
      </c>
      <c r="K3" s="121">
        <v>1020</v>
      </c>
      <c r="L3" s="121">
        <v>998</v>
      </c>
      <c r="M3" s="120">
        <v>2356</v>
      </c>
      <c r="N3" s="120">
        <v>3302</v>
      </c>
      <c r="O3" s="190">
        <v>640</v>
      </c>
      <c r="P3" s="125">
        <v>2125</v>
      </c>
      <c r="Q3" s="122">
        <v>1016</v>
      </c>
      <c r="R3" s="480">
        <f t="shared" ref="R3:R28" si="0">AVERAGE(C3:Q3)</f>
        <v>1430.2666666666667</v>
      </c>
      <c r="S3" s="559">
        <f t="shared" ref="S3:S28" si="1">MEDIAN(C3:Q3)</f>
        <v>1115</v>
      </c>
      <c r="T3" s="119"/>
      <c r="U3" s="331"/>
      <c r="V3" s="19"/>
      <c r="W3" s="92"/>
      <c r="X3" s="119" t="s">
        <v>831</v>
      </c>
      <c r="Y3" s="331">
        <v>40921</v>
      </c>
      <c r="Z3" s="19" t="s">
        <v>186</v>
      </c>
      <c r="AA3" s="92">
        <v>858</v>
      </c>
      <c r="AB3" s="19" t="s">
        <v>834</v>
      </c>
      <c r="AC3" s="92"/>
      <c r="AD3" s="19" t="s">
        <v>833</v>
      </c>
      <c r="AE3" s="93">
        <v>2</v>
      </c>
    </row>
    <row r="4" spans="1:31" x14ac:dyDescent="0.25">
      <c r="A4" s="836"/>
      <c r="B4" s="56" t="s">
        <v>186</v>
      </c>
      <c r="C4" s="185">
        <v>526</v>
      </c>
      <c r="D4" s="57">
        <v>904</v>
      </c>
      <c r="E4" s="57">
        <v>726</v>
      </c>
      <c r="F4" s="330">
        <v>1219</v>
      </c>
      <c r="G4" s="57">
        <v>1133</v>
      </c>
      <c r="H4" s="120">
        <v>233</v>
      </c>
      <c r="I4" s="101">
        <v>331</v>
      </c>
      <c r="J4" s="101">
        <v>1041</v>
      </c>
      <c r="K4" s="121">
        <v>585</v>
      </c>
      <c r="L4" s="121">
        <v>668</v>
      </c>
      <c r="M4" s="120">
        <v>2063</v>
      </c>
      <c r="N4" s="120">
        <v>2448</v>
      </c>
      <c r="O4" s="330">
        <v>417</v>
      </c>
      <c r="P4" s="125">
        <v>1884</v>
      </c>
      <c r="Q4" s="122">
        <v>726</v>
      </c>
      <c r="R4" s="480">
        <f t="shared" si="0"/>
        <v>993.6</v>
      </c>
      <c r="S4" s="559">
        <f t="shared" si="1"/>
        <v>726</v>
      </c>
      <c r="T4" s="119"/>
      <c r="U4" s="331"/>
      <c r="V4" s="19"/>
      <c r="W4" s="92"/>
      <c r="X4" s="119" t="s">
        <v>831</v>
      </c>
      <c r="Y4" s="331">
        <v>40921</v>
      </c>
      <c r="Z4" s="19" t="s">
        <v>180</v>
      </c>
      <c r="AA4" s="92">
        <v>32</v>
      </c>
      <c r="AB4" s="94" t="s">
        <v>835</v>
      </c>
      <c r="AC4" s="92"/>
      <c r="AD4" s="19" t="s">
        <v>833</v>
      </c>
      <c r="AE4" s="93">
        <v>2</v>
      </c>
    </row>
    <row r="5" spans="1:31" x14ac:dyDescent="0.25">
      <c r="A5" s="836"/>
      <c r="B5" s="98" t="s">
        <v>180</v>
      </c>
      <c r="C5" s="101">
        <v>2</v>
      </c>
      <c r="D5" s="57">
        <v>31</v>
      </c>
      <c r="E5" s="57">
        <v>19</v>
      </c>
      <c r="F5" s="330">
        <v>7</v>
      </c>
      <c r="G5" s="57">
        <v>73</v>
      </c>
      <c r="H5" s="120">
        <v>90</v>
      </c>
      <c r="I5" s="101">
        <v>134</v>
      </c>
      <c r="J5" s="101">
        <v>144</v>
      </c>
      <c r="K5" s="121">
        <v>89</v>
      </c>
      <c r="L5" s="121">
        <v>68</v>
      </c>
      <c r="M5" s="123">
        <v>40</v>
      </c>
      <c r="N5" s="120">
        <v>153</v>
      </c>
      <c r="O5" s="330">
        <v>26</v>
      </c>
      <c r="P5" s="125">
        <v>17</v>
      </c>
      <c r="Q5" s="122">
        <v>4</v>
      </c>
      <c r="R5" s="480">
        <f t="shared" si="0"/>
        <v>59.8</v>
      </c>
      <c r="S5" s="559">
        <f t="shared" si="1"/>
        <v>40</v>
      </c>
      <c r="T5" s="119"/>
      <c r="U5" s="331"/>
      <c r="V5" s="96"/>
      <c r="W5" s="95"/>
      <c r="X5" s="119" t="s">
        <v>831</v>
      </c>
      <c r="Y5" s="331">
        <v>40921</v>
      </c>
      <c r="Z5" s="96" t="s">
        <v>181</v>
      </c>
      <c r="AA5" s="95">
        <v>26</v>
      </c>
      <c r="AB5" s="94" t="s">
        <v>835</v>
      </c>
      <c r="AC5" s="554"/>
      <c r="AD5" s="19" t="s">
        <v>833</v>
      </c>
      <c r="AE5" s="109">
        <v>2</v>
      </c>
    </row>
    <row r="6" spans="1:31" x14ac:dyDescent="0.25">
      <c r="A6" s="836"/>
      <c r="B6" s="99" t="s">
        <v>181</v>
      </c>
      <c r="C6" s="102">
        <v>4</v>
      </c>
      <c r="D6" s="290">
        <v>29</v>
      </c>
      <c r="E6" s="290">
        <v>6</v>
      </c>
      <c r="F6" s="330">
        <v>19</v>
      </c>
      <c r="G6" s="290">
        <v>37</v>
      </c>
      <c r="H6" s="289">
        <v>61</v>
      </c>
      <c r="I6" s="101">
        <v>45</v>
      </c>
      <c r="J6" s="101">
        <v>110</v>
      </c>
      <c r="K6" s="121">
        <v>67</v>
      </c>
      <c r="L6" s="121">
        <v>46</v>
      </c>
      <c r="M6" s="123">
        <v>32</v>
      </c>
      <c r="N6" s="289">
        <v>148</v>
      </c>
      <c r="O6" s="330">
        <v>17</v>
      </c>
      <c r="P6" s="125">
        <v>10</v>
      </c>
      <c r="Q6" s="122">
        <v>6</v>
      </c>
      <c r="R6" s="480">
        <f t="shared" si="0"/>
        <v>42.466666666666669</v>
      </c>
      <c r="S6" s="559">
        <f t="shared" si="1"/>
        <v>32</v>
      </c>
      <c r="T6" s="119"/>
      <c r="U6" s="331"/>
      <c r="V6" s="19"/>
      <c r="W6" s="103"/>
      <c r="X6" s="119" t="s">
        <v>831</v>
      </c>
      <c r="Y6" s="331">
        <v>40921</v>
      </c>
      <c r="Z6" s="19" t="s">
        <v>185</v>
      </c>
      <c r="AA6" s="103"/>
      <c r="AB6" s="19" t="s">
        <v>836</v>
      </c>
      <c r="AC6" s="92" t="s">
        <v>837</v>
      </c>
      <c r="AD6" s="19" t="s">
        <v>838</v>
      </c>
      <c r="AE6" s="93">
        <v>4</v>
      </c>
    </row>
    <row r="7" spans="1:31" x14ac:dyDescent="0.25">
      <c r="A7" s="837"/>
      <c r="B7" s="99" t="s">
        <v>185</v>
      </c>
      <c r="C7" s="102">
        <v>1</v>
      </c>
      <c r="D7" s="57">
        <v>1</v>
      </c>
      <c r="E7" s="57">
        <v>27.2</v>
      </c>
      <c r="F7" s="330">
        <v>6.2</v>
      </c>
      <c r="G7" s="57">
        <v>14.6</v>
      </c>
      <c r="H7" s="120">
        <v>9.8000000000000007</v>
      </c>
      <c r="I7" s="101">
        <v>46</v>
      </c>
      <c r="J7" s="101">
        <v>25</v>
      </c>
      <c r="K7" s="124">
        <v>16.600000000000001</v>
      </c>
      <c r="L7" s="124">
        <v>13.2</v>
      </c>
      <c r="M7" s="125">
        <v>56.6</v>
      </c>
      <c r="N7" s="120">
        <v>5</v>
      </c>
      <c r="O7" s="330">
        <v>6.2</v>
      </c>
      <c r="P7" s="125">
        <v>4.4000000000000004</v>
      </c>
      <c r="Q7" s="122">
        <v>16.2</v>
      </c>
      <c r="R7" s="480">
        <f t="shared" si="0"/>
        <v>16.599999999999998</v>
      </c>
      <c r="S7" s="559">
        <f t="shared" si="1"/>
        <v>13.2</v>
      </c>
      <c r="T7" s="119"/>
      <c r="U7" s="331"/>
      <c r="V7" s="96"/>
      <c r="W7" s="95"/>
      <c r="X7" s="119" t="s">
        <v>839</v>
      </c>
      <c r="Y7" s="331">
        <v>40921</v>
      </c>
      <c r="Z7" s="96" t="s">
        <v>181</v>
      </c>
      <c r="AA7" s="95">
        <v>4</v>
      </c>
      <c r="AB7" s="94" t="s">
        <v>835</v>
      </c>
      <c r="AC7" s="554"/>
      <c r="AD7" s="19" t="s">
        <v>833</v>
      </c>
      <c r="AE7" s="109">
        <v>2</v>
      </c>
    </row>
    <row r="8" spans="1:31" x14ac:dyDescent="0.25">
      <c r="A8" s="838" t="s">
        <v>221</v>
      </c>
      <c r="B8" s="164" t="s">
        <v>204</v>
      </c>
      <c r="C8" s="159">
        <v>938</v>
      </c>
      <c r="D8" s="160">
        <v>579</v>
      </c>
      <c r="E8" s="160">
        <v>389</v>
      </c>
      <c r="F8" s="543">
        <v>323</v>
      </c>
      <c r="G8" s="160">
        <v>627</v>
      </c>
      <c r="H8" s="161">
        <v>595</v>
      </c>
      <c r="I8" s="159">
        <v>740</v>
      </c>
      <c r="J8" s="159">
        <v>484</v>
      </c>
      <c r="K8" s="162">
        <v>891</v>
      </c>
      <c r="L8" s="162">
        <v>893</v>
      </c>
      <c r="M8" s="161">
        <v>984</v>
      </c>
      <c r="N8" s="161">
        <v>489</v>
      </c>
      <c r="O8" s="460">
        <v>648</v>
      </c>
      <c r="P8" s="163">
        <v>872</v>
      </c>
      <c r="Q8" s="163">
        <v>2318</v>
      </c>
      <c r="R8" s="480">
        <f t="shared" si="0"/>
        <v>784.66666666666663</v>
      </c>
      <c r="S8" s="559">
        <f t="shared" si="1"/>
        <v>648</v>
      </c>
      <c r="T8" s="119"/>
      <c r="U8" s="331"/>
      <c r="V8" s="108"/>
      <c r="W8" s="92"/>
      <c r="X8" s="119" t="s">
        <v>839</v>
      </c>
      <c r="Y8" s="331">
        <v>40921</v>
      </c>
      <c r="Z8" s="108" t="s">
        <v>210</v>
      </c>
      <c r="AA8" s="92">
        <v>623</v>
      </c>
      <c r="AB8" s="94" t="s">
        <v>832</v>
      </c>
      <c r="AC8" s="19"/>
      <c r="AD8" s="554" t="s">
        <v>833</v>
      </c>
      <c r="AE8" s="93">
        <v>2</v>
      </c>
    </row>
    <row r="9" spans="1:31" x14ac:dyDescent="0.25">
      <c r="A9" s="839"/>
      <c r="B9" s="158" t="s">
        <v>186</v>
      </c>
      <c r="C9" s="159">
        <v>858</v>
      </c>
      <c r="D9" s="160">
        <v>438</v>
      </c>
      <c r="E9" s="160">
        <v>217</v>
      </c>
      <c r="F9" s="543">
        <v>164</v>
      </c>
      <c r="G9" s="160">
        <v>287</v>
      </c>
      <c r="H9" s="161">
        <v>233</v>
      </c>
      <c r="I9" s="159">
        <v>212</v>
      </c>
      <c r="J9" s="159">
        <v>177</v>
      </c>
      <c r="K9" s="162">
        <v>583</v>
      </c>
      <c r="L9" s="162">
        <v>725</v>
      </c>
      <c r="M9" s="161">
        <v>824</v>
      </c>
      <c r="N9" s="161">
        <v>117</v>
      </c>
      <c r="O9" s="460">
        <v>441</v>
      </c>
      <c r="P9" s="163">
        <v>679</v>
      </c>
      <c r="Q9" s="163">
        <v>1195</v>
      </c>
      <c r="R9" s="480">
        <f t="shared" si="0"/>
        <v>476.66666666666669</v>
      </c>
      <c r="S9" s="559">
        <f t="shared" si="1"/>
        <v>438</v>
      </c>
      <c r="T9" s="119"/>
      <c r="U9" s="331"/>
      <c r="V9" s="19"/>
      <c r="W9" s="92"/>
      <c r="X9" s="119" t="s">
        <v>839</v>
      </c>
      <c r="Y9" s="331">
        <v>40921</v>
      </c>
      <c r="Z9" s="19" t="s">
        <v>186</v>
      </c>
      <c r="AA9" s="92">
        <v>526</v>
      </c>
      <c r="AB9" s="19" t="s">
        <v>834</v>
      </c>
      <c r="AC9" s="92"/>
      <c r="AD9" s="19" t="s">
        <v>833</v>
      </c>
      <c r="AE9" s="93">
        <v>2</v>
      </c>
    </row>
    <row r="10" spans="1:31" x14ac:dyDescent="0.25">
      <c r="A10" s="839"/>
      <c r="B10" s="164" t="s">
        <v>180</v>
      </c>
      <c r="C10" s="159">
        <v>32</v>
      </c>
      <c r="D10" s="160">
        <v>5</v>
      </c>
      <c r="E10" s="160">
        <v>11</v>
      </c>
      <c r="F10" s="543">
        <v>9</v>
      </c>
      <c r="G10" s="160">
        <v>40</v>
      </c>
      <c r="H10" s="291">
        <v>37</v>
      </c>
      <c r="I10" s="159">
        <v>160</v>
      </c>
      <c r="J10" s="159">
        <v>43</v>
      </c>
      <c r="K10" s="162">
        <v>9</v>
      </c>
      <c r="L10" s="162">
        <v>13</v>
      </c>
      <c r="M10" s="291">
        <v>9</v>
      </c>
      <c r="N10" s="291">
        <v>95</v>
      </c>
      <c r="O10" s="460">
        <v>12</v>
      </c>
      <c r="P10" s="163">
        <v>5</v>
      </c>
      <c r="Q10" s="163">
        <v>32</v>
      </c>
      <c r="R10" s="480">
        <f t="shared" si="0"/>
        <v>34.133333333333333</v>
      </c>
      <c r="S10" s="559">
        <f t="shared" si="1"/>
        <v>13</v>
      </c>
      <c r="T10" s="119"/>
      <c r="U10" s="331"/>
      <c r="V10" s="19"/>
      <c r="W10" s="92"/>
      <c r="X10" s="119" t="s">
        <v>839</v>
      </c>
      <c r="Y10" s="331">
        <v>40921</v>
      </c>
      <c r="Z10" s="19" t="s">
        <v>180</v>
      </c>
      <c r="AA10" s="92"/>
      <c r="AB10" s="94" t="s">
        <v>835</v>
      </c>
      <c r="AC10" s="92" t="s">
        <v>837</v>
      </c>
      <c r="AD10" s="19" t="s">
        <v>833</v>
      </c>
      <c r="AE10" s="93">
        <v>2</v>
      </c>
    </row>
    <row r="11" spans="1:31" x14ac:dyDescent="0.25">
      <c r="A11" s="839"/>
      <c r="B11" s="165" t="s">
        <v>181</v>
      </c>
      <c r="C11" s="160">
        <v>26</v>
      </c>
      <c r="D11" s="160">
        <v>2</v>
      </c>
      <c r="E11" s="160">
        <v>2</v>
      </c>
      <c r="F11" s="543">
        <v>7</v>
      </c>
      <c r="G11" s="160">
        <v>19</v>
      </c>
      <c r="H11" s="161">
        <v>12</v>
      </c>
      <c r="I11" s="159">
        <v>67</v>
      </c>
      <c r="J11" s="159">
        <v>24</v>
      </c>
      <c r="K11" s="162">
        <v>5</v>
      </c>
      <c r="L11" s="162">
        <v>10</v>
      </c>
      <c r="M11" s="166">
        <v>5</v>
      </c>
      <c r="N11" s="161">
        <v>56</v>
      </c>
      <c r="O11" s="460">
        <v>8</v>
      </c>
      <c r="P11" s="163">
        <v>2</v>
      </c>
      <c r="Q11" s="163">
        <v>22</v>
      </c>
      <c r="R11" s="480">
        <f t="shared" si="0"/>
        <v>17.8</v>
      </c>
      <c r="S11" s="559">
        <f t="shared" si="1"/>
        <v>10</v>
      </c>
      <c r="T11" s="119"/>
      <c r="U11" s="331"/>
      <c r="V11" s="19"/>
      <c r="W11" s="103"/>
      <c r="X11" s="119" t="s">
        <v>839</v>
      </c>
      <c r="Y11" s="331">
        <v>40921</v>
      </c>
      <c r="Z11" s="19" t="s">
        <v>185</v>
      </c>
      <c r="AA11" s="103"/>
      <c r="AB11" s="19" t="s">
        <v>836</v>
      </c>
      <c r="AC11" s="19" t="s">
        <v>837</v>
      </c>
      <c r="AD11" s="19" t="s">
        <v>838</v>
      </c>
      <c r="AE11" s="93">
        <v>4</v>
      </c>
    </row>
    <row r="12" spans="1:31" x14ac:dyDescent="0.25">
      <c r="A12" s="840"/>
      <c r="B12" s="165" t="s">
        <v>185</v>
      </c>
      <c r="C12" s="160">
        <v>1</v>
      </c>
      <c r="D12" s="160">
        <v>4.4000000000000004</v>
      </c>
      <c r="E12" s="160">
        <v>12.6</v>
      </c>
      <c r="F12" s="543">
        <v>4.8</v>
      </c>
      <c r="G12" s="160">
        <v>26.5</v>
      </c>
      <c r="H12" s="161">
        <v>12.5</v>
      </c>
      <c r="I12" s="159">
        <v>190.5</v>
      </c>
      <c r="J12" s="159">
        <v>16.600000000000001</v>
      </c>
      <c r="K12" s="229">
        <v>51.4</v>
      </c>
      <c r="L12" s="229">
        <v>18.399999999999999</v>
      </c>
      <c r="M12" s="167">
        <v>11.1</v>
      </c>
      <c r="N12" s="161">
        <v>11</v>
      </c>
      <c r="O12" s="460">
        <v>18.100000000000001</v>
      </c>
      <c r="P12" s="163">
        <v>18.399999999999999</v>
      </c>
      <c r="Q12" s="163">
        <v>1</v>
      </c>
      <c r="R12" s="480">
        <f t="shared" si="0"/>
        <v>26.553333333333335</v>
      </c>
      <c r="S12" s="559">
        <f t="shared" si="1"/>
        <v>12.6</v>
      </c>
      <c r="T12" s="119"/>
      <c r="U12" s="331"/>
      <c r="V12" s="96"/>
      <c r="W12" s="95"/>
      <c r="X12" s="119">
        <v>45</v>
      </c>
      <c r="Y12" s="331">
        <v>40921</v>
      </c>
      <c r="Z12" s="96" t="s">
        <v>181</v>
      </c>
      <c r="AA12" s="95">
        <v>8</v>
      </c>
      <c r="AB12" s="94" t="s">
        <v>835</v>
      </c>
      <c r="AC12" s="554"/>
      <c r="AD12" s="19" t="s">
        <v>833</v>
      </c>
      <c r="AE12" s="109">
        <v>2</v>
      </c>
    </row>
    <row r="13" spans="1:31" x14ac:dyDescent="0.25">
      <c r="A13" s="832" t="s">
        <v>222</v>
      </c>
      <c r="B13" s="100" t="s">
        <v>182</v>
      </c>
      <c r="C13" s="57">
        <v>3.9</v>
      </c>
      <c r="D13" s="57">
        <v>3.3</v>
      </c>
      <c r="E13" s="57">
        <v>4.5</v>
      </c>
      <c r="F13" s="57">
        <v>5.9</v>
      </c>
      <c r="G13" s="57">
        <v>2.6</v>
      </c>
      <c r="H13" s="120">
        <v>8.5</v>
      </c>
      <c r="I13" s="101">
        <v>9.6999999999999993</v>
      </c>
      <c r="J13" s="101">
        <v>18.600000000000001</v>
      </c>
      <c r="K13" s="124">
        <v>23.9</v>
      </c>
      <c r="L13" s="124">
        <v>24.6</v>
      </c>
      <c r="M13" s="125">
        <v>20.8</v>
      </c>
      <c r="N13" s="120">
        <v>52.9</v>
      </c>
      <c r="O13" s="330">
        <v>18.3</v>
      </c>
      <c r="P13" s="122">
        <v>15.3</v>
      </c>
      <c r="Q13" s="122">
        <v>10.3</v>
      </c>
      <c r="R13" s="480">
        <f t="shared" si="0"/>
        <v>14.873333333333335</v>
      </c>
      <c r="S13" s="559">
        <f t="shared" si="1"/>
        <v>10.3</v>
      </c>
      <c r="T13" s="119"/>
      <c r="U13" s="331"/>
      <c r="V13" s="19"/>
      <c r="W13" s="92"/>
      <c r="X13" s="119">
        <v>45</v>
      </c>
      <c r="Y13" s="331">
        <v>40921</v>
      </c>
      <c r="Z13" s="19" t="s">
        <v>186</v>
      </c>
      <c r="AA13" s="92">
        <v>482</v>
      </c>
      <c r="AB13" s="19" t="s">
        <v>834</v>
      </c>
      <c r="AC13" s="92"/>
      <c r="AD13" s="19" t="s">
        <v>833</v>
      </c>
      <c r="AE13" s="93">
        <v>2</v>
      </c>
    </row>
    <row r="14" spans="1:31" x14ac:dyDescent="0.25">
      <c r="A14" s="836"/>
      <c r="B14" s="56" t="s">
        <v>186</v>
      </c>
      <c r="C14" s="101">
        <v>606</v>
      </c>
      <c r="D14" s="14">
        <v>704</v>
      </c>
      <c r="E14" s="57">
        <v>370</v>
      </c>
      <c r="F14" s="57">
        <v>224</v>
      </c>
      <c r="G14" s="57">
        <v>170</v>
      </c>
      <c r="H14" s="120">
        <v>21</v>
      </c>
      <c r="I14" s="101">
        <v>43</v>
      </c>
      <c r="J14" s="101">
        <v>7</v>
      </c>
      <c r="K14" s="121">
        <v>26</v>
      </c>
      <c r="L14" s="121">
        <v>15</v>
      </c>
      <c r="M14" s="125">
        <v>32</v>
      </c>
      <c r="N14" s="120">
        <v>47</v>
      </c>
      <c r="O14" s="330">
        <v>52</v>
      </c>
      <c r="P14" s="122">
        <v>66</v>
      </c>
      <c r="Q14" s="122">
        <v>91</v>
      </c>
      <c r="R14" s="480">
        <f t="shared" si="0"/>
        <v>164.93333333333334</v>
      </c>
      <c r="S14" s="559">
        <f t="shared" si="1"/>
        <v>52</v>
      </c>
      <c r="T14" s="119"/>
      <c r="U14" s="331"/>
      <c r="V14" s="19"/>
      <c r="W14" s="92"/>
      <c r="X14" s="119">
        <v>45</v>
      </c>
      <c r="Y14" s="331">
        <v>40921</v>
      </c>
      <c r="Z14" s="19" t="s">
        <v>180</v>
      </c>
      <c r="AA14" s="92">
        <v>14</v>
      </c>
      <c r="AB14" s="94" t="s">
        <v>835</v>
      </c>
      <c r="AC14" s="19"/>
      <c r="AD14" s="19" t="s">
        <v>833</v>
      </c>
      <c r="AE14" s="93">
        <v>2</v>
      </c>
    </row>
    <row r="15" spans="1:31" x14ac:dyDescent="0.25">
      <c r="A15" s="836"/>
      <c r="B15" s="98" t="s">
        <v>204</v>
      </c>
      <c r="C15" s="101">
        <v>908</v>
      </c>
      <c r="D15" s="14">
        <v>884</v>
      </c>
      <c r="E15" s="57">
        <v>680</v>
      </c>
      <c r="F15" s="57">
        <v>550</v>
      </c>
      <c r="G15" s="57">
        <v>600</v>
      </c>
      <c r="H15" s="120">
        <v>583</v>
      </c>
      <c r="I15" s="101">
        <v>577</v>
      </c>
      <c r="J15" s="101">
        <v>335</v>
      </c>
      <c r="K15" s="121">
        <v>729</v>
      </c>
      <c r="L15" s="121">
        <v>898</v>
      </c>
      <c r="M15" s="125">
        <v>944</v>
      </c>
      <c r="N15" s="120">
        <v>380</v>
      </c>
      <c r="O15" s="330">
        <v>943</v>
      </c>
      <c r="P15" s="122">
        <v>583</v>
      </c>
      <c r="Q15" s="122">
        <v>491</v>
      </c>
      <c r="R15" s="480">
        <f t="shared" si="0"/>
        <v>672.33333333333337</v>
      </c>
      <c r="S15" s="559">
        <f t="shared" si="1"/>
        <v>600</v>
      </c>
      <c r="T15" s="119"/>
      <c r="U15" s="331"/>
      <c r="V15" s="19"/>
      <c r="W15" s="103"/>
      <c r="X15" s="119">
        <v>45</v>
      </c>
      <c r="Y15" s="331">
        <v>40921</v>
      </c>
      <c r="Z15" s="19" t="s">
        <v>185</v>
      </c>
      <c r="AA15" s="103"/>
      <c r="AB15" s="19" t="s">
        <v>836</v>
      </c>
      <c r="AC15" s="19" t="s">
        <v>837</v>
      </c>
      <c r="AD15" s="19" t="s">
        <v>838</v>
      </c>
      <c r="AE15" s="93">
        <v>4</v>
      </c>
    </row>
    <row r="16" spans="1:31" x14ac:dyDescent="0.25">
      <c r="A16" s="836"/>
      <c r="B16" s="98" t="s">
        <v>180</v>
      </c>
      <c r="C16" s="101">
        <v>22</v>
      </c>
      <c r="D16" s="57">
        <v>14</v>
      </c>
      <c r="E16" s="57">
        <v>13</v>
      </c>
      <c r="F16" s="57">
        <v>21</v>
      </c>
      <c r="G16" s="57">
        <v>14</v>
      </c>
      <c r="H16" s="120">
        <v>24</v>
      </c>
      <c r="I16" s="101">
        <v>61</v>
      </c>
      <c r="J16" s="101">
        <v>66</v>
      </c>
      <c r="K16" s="121">
        <v>93</v>
      </c>
      <c r="L16" s="121">
        <v>74</v>
      </c>
      <c r="M16" s="125">
        <v>113</v>
      </c>
      <c r="N16" s="120">
        <v>117</v>
      </c>
      <c r="O16" s="330">
        <v>78</v>
      </c>
      <c r="P16" s="122">
        <v>37</v>
      </c>
      <c r="Q16" s="122">
        <v>28</v>
      </c>
      <c r="R16" s="480">
        <f t="shared" si="0"/>
        <v>51.666666666666664</v>
      </c>
      <c r="S16" s="559">
        <f t="shared" si="1"/>
        <v>37</v>
      </c>
      <c r="T16" s="119"/>
      <c r="U16" s="331"/>
      <c r="V16" s="108"/>
      <c r="W16" s="92"/>
      <c r="X16" s="119">
        <v>45</v>
      </c>
      <c r="Y16" s="331">
        <v>40921</v>
      </c>
      <c r="Z16" s="108" t="s">
        <v>210</v>
      </c>
      <c r="AA16" s="92">
        <v>767</v>
      </c>
      <c r="AB16" s="94" t="s">
        <v>832</v>
      </c>
      <c r="AC16" s="19"/>
      <c r="AD16" s="554" t="s">
        <v>833</v>
      </c>
      <c r="AE16" s="93">
        <v>2</v>
      </c>
    </row>
    <row r="17" spans="1:31" x14ac:dyDescent="0.25">
      <c r="A17" s="836"/>
      <c r="B17" s="99" t="s">
        <v>181</v>
      </c>
      <c r="C17" s="102">
        <v>15</v>
      </c>
      <c r="D17" s="57">
        <v>8</v>
      </c>
      <c r="E17" s="57">
        <v>4</v>
      </c>
      <c r="F17" s="57">
        <v>5</v>
      </c>
      <c r="G17" s="57">
        <v>10</v>
      </c>
      <c r="H17" s="120">
        <v>10</v>
      </c>
      <c r="I17" s="101">
        <v>26</v>
      </c>
      <c r="J17" s="101">
        <v>35</v>
      </c>
      <c r="K17" s="121">
        <v>60</v>
      </c>
      <c r="L17" s="121">
        <v>35</v>
      </c>
      <c r="M17" s="123">
        <v>72</v>
      </c>
      <c r="N17" s="120">
        <v>53</v>
      </c>
      <c r="O17" s="330">
        <v>46</v>
      </c>
      <c r="P17" s="122">
        <v>7</v>
      </c>
      <c r="Q17" s="122">
        <v>6</v>
      </c>
      <c r="R17" s="480">
        <f t="shared" si="0"/>
        <v>26.133333333333333</v>
      </c>
      <c r="S17" s="559">
        <f t="shared" si="1"/>
        <v>15</v>
      </c>
      <c r="T17" s="244"/>
      <c r="U17" s="331"/>
      <c r="V17" s="96"/>
      <c r="W17" s="95"/>
      <c r="X17" s="244" t="s">
        <v>840</v>
      </c>
      <c r="Y17" s="331">
        <v>40921</v>
      </c>
      <c r="Z17" s="96" t="s">
        <v>181</v>
      </c>
      <c r="AA17" s="95">
        <v>15</v>
      </c>
      <c r="AB17" s="94" t="s">
        <v>835</v>
      </c>
      <c r="AC17" s="554"/>
      <c r="AD17" s="19" t="s">
        <v>833</v>
      </c>
      <c r="AE17" s="109">
        <v>2</v>
      </c>
    </row>
    <row r="18" spans="1:31" x14ac:dyDescent="0.25">
      <c r="A18" s="837"/>
      <c r="B18" s="99" t="s">
        <v>185</v>
      </c>
      <c r="C18" s="245">
        <v>1</v>
      </c>
      <c r="D18" s="58">
        <v>1</v>
      </c>
      <c r="E18" s="58">
        <v>4</v>
      </c>
      <c r="F18" s="58">
        <v>5.6</v>
      </c>
      <c r="G18" s="58">
        <v>1</v>
      </c>
      <c r="H18" s="13">
        <v>4.9000000000000004</v>
      </c>
      <c r="I18" s="124">
        <v>7.8</v>
      </c>
      <c r="J18" s="124">
        <v>11.2</v>
      </c>
      <c r="K18" s="124">
        <v>10.8</v>
      </c>
      <c r="L18" s="124">
        <v>10</v>
      </c>
      <c r="M18" s="246">
        <v>7.3</v>
      </c>
      <c r="N18" s="124">
        <v>11.4</v>
      </c>
      <c r="O18" s="330">
        <v>5.8</v>
      </c>
      <c r="P18" s="128">
        <v>8</v>
      </c>
      <c r="Q18" s="128">
        <v>6</v>
      </c>
      <c r="R18" s="480">
        <f t="shared" si="0"/>
        <v>6.3866666666666667</v>
      </c>
      <c r="S18" s="559">
        <f t="shared" si="1"/>
        <v>6</v>
      </c>
      <c r="T18" s="244"/>
      <c r="U18" s="331"/>
      <c r="V18" s="19"/>
      <c r="W18" s="92"/>
      <c r="X18" s="244" t="s">
        <v>840</v>
      </c>
      <c r="Y18" s="331">
        <v>40921</v>
      </c>
      <c r="Z18" s="19" t="s">
        <v>186</v>
      </c>
      <c r="AA18" s="92">
        <v>606</v>
      </c>
      <c r="AB18" s="19" t="s">
        <v>834</v>
      </c>
      <c r="AC18" s="92"/>
      <c r="AD18" s="19" t="s">
        <v>833</v>
      </c>
      <c r="AE18" s="93">
        <v>2</v>
      </c>
    </row>
    <row r="19" spans="1:31" x14ac:dyDescent="0.25">
      <c r="A19" s="838" t="s">
        <v>223</v>
      </c>
      <c r="B19" s="158" t="s">
        <v>186</v>
      </c>
      <c r="C19" s="159">
        <v>179</v>
      </c>
      <c r="D19" s="160">
        <v>297</v>
      </c>
      <c r="E19" s="160">
        <v>339</v>
      </c>
      <c r="F19" s="160">
        <v>205</v>
      </c>
      <c r="G19" s="160">
        <v>114</v>
      </c>
      <c r="H19" s="168">
        <v>18</v>
      </c>
      <c r="I19" s="159">
        <v>70</v>
      </c>
      <c r="J19" s="159">
        <v>10</v>
      </c>
      <c r="K19" s="162">
        <v>26</v>
      </c>
      <c r="L19" s="162">
        <v>11</v>
      </c>
      <c r="M19" s="161">
        <v>30</v>
      </c>
      <c r="N19" s="161">
        <v>38</v>
      </c>
      <c r="O19" s="460">
        <v>49</v>
      </c>
      <c r="P19" s="163">
        <v>63</v>
      </c>
      <c r="Q19" s="163">
        <v>67</v>
      </c>
      <c r="R19" s="480">
        <f t="shared" si="0"/>
        <v>101.06666666666666</v>
      </c>
      <c r="S19" s="559">
        <f t="shared" si="1"/>
        <v>63</v>
      </c>
      <c r="T19" s="244"/>
      <c r="U19" s="331"/>
      <c r="V19" s="19"/>
      <c r="W19" s="92"/>
      <c r="X19" s="244" t="s">
        <v>840</v>
      </c>
      <c r="Y19" s="331">
        <v>40921</v>
      </c>
      <c r="Z19" s="19" t="s">
        <v>180</v>
      </c>
      <c r="AA19" s="92">
        <v>22</v>
      </c>
      <c r="AB19" s="94" t="s">
        <v>835</v>
      </c>
      <c r="AC19" s="19"/>
      <c r="AD19" s="19" t="s">
        <v>833</v>
      </c>
      <c r="AE19" s="93">
        <v>2</v>
      </c>
    </row>
    <row r="20" spans="1:31" x14ac:dyDescent="0.25">
      <c r="A20" s="839"/>
      <c r="B20" s="164" t="s">
        <v>204</v>
      </c>
      <c r="C20" s="159">
        <v>726</v>
      </c>
      <c r="D20" s="160">
        <v>843</v>
      </c>
      <c r="E20" s="160">
        <v>736</v>
      </c>
      <c r="F20" s="160">
        <v>527</v>
      </c>
      <c r="G20" s="160">
        <v>695</v>
      </c>
      <c r="H20" s="168">
        <v>539</v>
      </c>
      <c r="I20" s="159">
        <v>647</v>
      </c>
      <c r="J20" s="159">
        <v>427</v>
      </c>
      <c r="K20" s="162">
        <v>567</v>
      </c>
      <c r="L20" s="162">
        <v>640</v>
      </c>
      <c r="M20" s="161">
        <v>931</v>
      </c>
      <c r="N20" s="161">
        <v>347</v>
      </c>
      <c r="O20" s="460">
        <v>661</v>
      </c>
      <c r="P20" s="163">
        <v>872</v>
      </c>
      <c r="Q20" s="163">
        <v>516</v>
      </c>
      <c r="R20" s="480">
        <f t="shared" si="0"/>
        <v>644.93333333333328</v>
      </c>
      <c r="S20" s="559">
        <f t="shared" si="1"/>
        <v>647</v>
      </c>
      <c r="T20" s="244"/>
      <c r="U20" s="331"/>
      <c r="V20" s="19"/>
      <c r="W20" s="103"/>
      <c r="X20" s="244" t="s">
        <v>840</v>
      </c>
      <c r="Y20" s="331">
        <v>40921</v>
      </c>
      <c r="Z20" s="19" t="s">
        <v>185</v>
      </c>
      <c r="AA20" s="103"/>
      <c r="AB20" s="19" t="s">
        <v>836</v>
      </c>
      <c r="AC20" s="19" t="s">
        <v>837</v>
      </c>
      <c r="AD20" s="19" t="s">
        <v>838</v>
      </c>
      <c r="AE20" s="93">
        <v>4</v>
      </c>
    </row>
    <row r="21" spans="1:31" x14ac:dyDescent="0.25">
      <c r="A21" s="839"/>
      <c r="B21" s="164" t="s">
        <v>180</v>
      </c>
      <c r="C21" s="159">
        <v>23</v>
      </c>
      <c r="D21" s="160">
        <v>15</v>
      </c>
      <c r="E21" s="160">
        <v>25</v>
      </c>
      <c r="F21" s="160">
        <v>21</v>
      </c>
      <c r="G21" s="160">
        <v>41</v>
      </c>
      <c r="H21" s="168">
        <v>49</v>
      </c>
      <c r="I21" s="159">
        <v>129</v>
      </c>
      <c r="J21" s="159">
        <v>139</v>
      </c>
      <c r="K21" s="162">
        <v>104</v>
      </c>
      <c r="L21" s="162">
        <v>63</v>
      </c>
      <c r="M21" s="161">
        <v>106</v>
      </c>
      <c r="N21" s="161">
        <v>143</v>
      </c>
      <c r="O21" s="460">
        <v>105</v>
      </c>
      <c r="P21" s="163">
        <v>121</v>
      </c>
      <c r="Q21" s="163">
        <v>31</v>
      </c>
      <c r="R21" s="480">
        <f t="shared" si="0"/>
        <v>74.333333333333329</v>
      </c>
      <c r="S21" s="559">
        <f t="shared" si="1"/>
        <v>63</v>
      </c>
      <c r="T21" s="244"/>
      <c r="U21" s="331"/>
      <c r="V21" s="108"/>
      <c r="W21" s="92"/>
      <c r="X21" s="244" t="s">
        <v>840</v>
      </c>
      <c r="Y21" s="331">
        <v>40921</v>
      </c>
      <c r="Z21" s="108" t="s">
        <v>210</v>
      </c>
      <c r="AA21" s="92">
        <v>908</v>
      </c>
      <c r="AB21" s="94" t="s">
        <v>832</v>
      </c>
      <c r="AC21" s="19"/>
      <c r="AD21" s="554" t="s">
        <v>833</v>
      </c>
      <c r="AE21" s="93">
        <v>2</v>
      </c>
    </row>
    <row r="22" spans="1:31" x14ac:dyDescent="0.25">
      <c r="A22" s="839"/>
      <c r="B22" s="165" t="s">
        <v>181</v>
      </c>
      <c r="C22" s="167">
        <v>7</v>
      </c>
      <c r="D22" s="188">
        <v>6</v>
      </c>
      <c r="E22" s="160">
        <v>5</v>
      </c>
      <c r="F22" s="160">
        <v>7</v>
      </c>
      <c r="G22" s="160">
        <v>23</v>
      </c>
      <c r="H22" s="168">
        <v>13</v>
      </c>
      <c r="I22" s="159">
        <v>34</v>
      </c>
      <c r="J22" s="159">
        <v>34</v>
      </c>
      <c r="K22" s="162">
        <v>63</v>
      </c>
      <c r="L22" s="162">
        <v>34</v>
      </c>
      <c r="M22" s="166">
        <v>73</v>
      </c>
      <c r="N22" s="161">
        <v>58</v>
      </c>
      <c r="O22" s="460">
        <v>51</v>
      </c>
      <c r="P22" s="163">
        <v>30</v>
      </c>
      <c r="Q22" s="163">
        <v>5</v>
      </c>
      <c r="R22" s="480">
        <f t="shared" si="0"/>
        <v>29.533333333333335</v>
      </c>
      <c r="S22" s="559">
        <f t="shared" si="1"/>
        <v>30</v>
      </c>
      <c r="T22" s="119"/>
      <c r="U22" s="331"/>
      <c r="V22" s="108"/>
      <c r="W22" s="504"/>
      <c r="X22" s="119" t="s">
        <v>840</v>
      </c>
      <c r="Y22" s="331">
        <v>40921</v>
      </c>
      <c r="Z22" s="108" t="s">
        <v>182</v>
      </c>
      <c r="AA22" s="504">
        <v>4.0999999999999996</v>
      </c>
      <c r="AB22" s="97" t="s">
        <v>841</v>
      </c>
      <c r="AC22" s="10"/>
      <c r="AD22" s="19" t="s">
        <v>833</v>
      </c>
      <c r="AE22" s="109">
        <v>0.1</v>
      </c>
    </row>
    <row r="23" spans="1:31" x14ac:dyDescent="0.25">
      <c r="A23" s="840"/>
      <c r="B23" s="165" t="s">
        <v>185</v>
      </c>
      <c r="C23" s="167">
        <v>1</v>
      </c>
      <c r="D23" s="160">
        <v>4</v>
      </c>
      <c r="E23" s="160">
        <v>4</v>
      </c>
      <c r="F23" s="160">
        <v>5.8</v>
      </c>
      <c r="G23" s="160">
        <v>8.1999999999999993</v>
      </c>
      <c r="H23" s="161">
        <v>17.600000000000001</v>
      </c>
      <c r="I23" s="159">
        <v>41</v>
      </c>
      <c r="J23" s="159">
        <v>41.2</v>
      </c>
      <c r="K23" s="169">
        <v>10</v>
      </c>
      <c r="L23" s="169">
        <v>9.4</v>
      </c>
      <c r="M23" s="161">
        <v>7.5</v>
      </c>
      <c r="N23" s="161">
        <v>13.4</v>
      </c>
      <c r="O23" s="460">
        <v>11.5</v>
      </c>
      <c r="P23" s="161">
        <v>17.600000000000001</v>
      </c>
      <c r="Q23" s="161">
        <v>8.8000000000000007</v>
      </c>
      <c r="R23" s="480">
        <f t="shared" si="0"/>
        <v>13.400000000000002</v>
      </c>
      <c r="S23" s="559">
        <f t="shared" si="1"/>
        <v>9.4</v>
      </c>
      <c r="T23" s="119"/>
      <c r="U23" s="331"/>
      <c r="V23" s="108"/>
      <c r="W23" s="504"/>
      <c r="X23" s="119" t="s">
        <v>840</v>
      </c>
      <c r="Y23" s="331">
        <v>40921</v>
      </c>
      <c r="Z23" s="108" t="s">
        <v>182</v>
      </c>
      <c r="AA23" s="504">
        <v>3.8</v>
      </c>
      <c r="AB23" s="97" t="s">
        <v>841</v>
      </c>
      <c r="AC23" s="10"/>
      <c r="AD23" s="19" t="s">
        <v>833</v>
      </c>
      <c r="AE23" s="109">
        <v>0.1</v>
      </c>
    </row>
    <row r="24" spans="1:31" x14ac:dyDescent="0.25">
      <c r="A24" s="832" t="s">
        <v>224</v>
      </c>
      <c r="B24" s="98" t="s">
        <v>204</v>
      </c>
      <c r="C24" s="101">
        <v>767</v>
      </c>
      <c r="D24" s="57">
        <v>884</v>
      </c>
      <c r="E24" s="57">
        <v>689</v>
      </c>
      <c r="F24" s="57">
        <v>612</v>
      </c>
      <c r="G24" s="57">
        <v>504</v>
      </c>
      <c r="H24" s="120">
        <v>435</v>
      </c>
      <c r="I24" s="101">
        <v>499</v>
      </c>
      <c r="J24" s="101">
        <v>342</v>
      </c>
      <c r="K24" s="121">
        <v>704</v>
      </c>
      <c r="L24" s="121">
        <v>1029</v>
      </c>
      <c r="M24" s="125">
        <v>848</v>
      </c>
      <c r="N24" s="120">
        <v>520</v>
      </c>
      <c r="O24" s="330">
        <v>474</v>
      </c>
      <c r="P24" s="120">
        <v>593</v>
      </c>
      <c r="Q24" s="120">
        <v>435</v>
      </c>
      <c r="R24" s="480">
        <f t="shared" si="0"/>
        <v>622.33333333333337</v>
      </c>
      <c r="S24" s="559">
        <f t="shared" si="1"/>
        <v>593</v>
      </c>
      <c r="T24" s="119"/>
      <c r="U24" s="331"/>
      <c r="V24" s="96"/>
      <c r="W24" s="95"/>
      <c r="X24" s="119" t="s">
        <v>842</v>
      </c>
      <c r="Y24" s="331">
        <v>40921</v>
      </c>
      <c r="Z24" s="96" t="s">
        <v>181</v>
      </c>
      <c r="AA24" s="95">
        <v>7</v>
      </c>
      <c r="AB24" s="94" t="s">
        <v>835</v>
      </c>
      <c r="AC24" s="554"/>
      <c r="AD24" s="19" t="s">
        <v>833</v>
      </c>
      <c r="AE24" s="109">
        <v>2</v>
      </c>
    </row>
    <row r="25" spans="1:31" x14ac:dyDescent="0.25">
      <c r="A25" s="833"/>
      <c r="B25" s="56" t="s">
        <v>186</v>
      </c>
      <c r="C25" s="101">
        <v>482</v>
      </c>
      <c r="D25" s="218">
        <v>704</v>
      </c>
      <c r="E25" s="218">
        <v>356</v>
      </c>
      <c r="F25" s="218">
        <v>214</v>
      </c>
      <c r="G25" s="218">
        <v>163</v>
      </c>
      <c r="H25" s="217">
        <v>21</v>
      </c>
      <c r="I25" s="101">
        <v>51</v>
      </c>
      <c r="J25" s="101">
        <v>13</v>
      </c>
      <c r="K25" s="121">
        <v>29</v>
      </c>
      <c r="L25" s="121">
        <v>15</v>
      </c>
      <c r="M25" s="125">
        <v>112</v>
      </c>
      <c r="N25" s="217">
        <v>59</v>
      </c>
      <c r="O25" s="330">
        <v>41</v>
      </c>
      <c r="P25" s="217">
        <v>66</v>
      </c>
      <c r="Q25" s="217">
        <v>72</v>
      </c>
      <c r="R25" s="480">
        <f t="shared" si="0"/>
        <v>159.86666666666667</v>
      </c>
      <c r="S25" s="559">
        <f t="shared" si="1"/>
        <v>66</v>
      </c>
      <c r="T25" s="119"/>
      <c r="U25" s="331"/>
      <c r="V25" s="19"/>
      <c r="W25" s="92"/>
      <c r="X25" s="119" t="s">
        <v>842</v>
      </c>
      <c r="Y25" s="331">
        <v>40921</v>
      </c>
      <c r="Z25" s="19" t="s">
        <v>186</v>
      </c>
      <c r="AA25" s="92">
        <v>179</v>
      </c>
      <c r="AB25" s="19" t="s">
        <v>834</v>
      </c>
      <c r="AC25" s="92"/>
      <c r="AD25" s="19" t="s">
        <v>833</v>
      </c>
      <c r="AE25" s="93">
        <v>2</v>
      </c>
    </row>
    <row r="26" spans="1:31" x14ac:dyDescent="0.25">
      <c r="A26" s="834"/>
      <c r="B26" s="98" t="s">
        <v>180</v>
      </c>
      <c r="C26" s="101">
        <v>14</v>
      </c>
      <c r="D26" s="57">
        <v>21</v>
      </c>
      <c r="E26" s="57">
        <v>16</v>
      </c>
      <c r="F26" s="57">
        <v>21</v>
      </c>
      <c r="G26" s="57">
        <v>21</v>
      </c>
      <c r="H26" s="120">
        <v>30</v>
      </c>
      <c r="I26" s="101">
        <v>51</v>
      </c>
      <c r="J26" s="101">
        <v>67</v>
      </c>
      <c r="K26" s="121">
        <v>122</v>
      </c>
      <c r="L26" s="121">
        <v>97</v>
      </c>
      <c r="M26" s="125">
        <v>100</v>
      </c>
      <c r="N26" s="120">
        <v>138</v>
      </c>
      <c r="O26" s="330">
        <v>75</v>
      </c>
      <c r="P26" s="120">
        <v>53</v>
      </c>
      <c r="Q26" s="120">
        <v>34</v>
      </c>
      <c r="R26" s="480">
        <f t="shared" si="0"/>
        <v>57.333333333333336</v>
      </c>
      <c r="S26" s="559">
        <f t="shared" si="1"/>
        <v>51</v>
      </c>
      <c r="T26" s="119"/>
      <c r="U26" s="331"/>
      <c r="V26" s="19"/>
      <c r="W26" s="92"/>
      <c r="X26" s="119" t="s">
        <v>842</v>
      </c>
      <c r="Y26" s="331">
        <v>40921</v>
      </c>
      <c r="Z26" s="19" t="s">
        <v>180</v>
      </c>
      <c r="AA26" s="92">
        <v>23</v>
      </c>
      <c r="AB26" s="94" t="s">
        <v>835</v>
      </c>
      <c r="AC26" s="19"/>
      <c r="AD26" s="19" t="s">
        <v>833</v>
      </c>
      <c r="AE26" s="93">
        <v>2</v>
      </c>
    </row>
    <row r="27" spans="1:31" x14ac:dyDescent="0.25">
      <c r="A27" s="834"/>
      <c r="B27" s="99" t="s">
        <v>181</v>
      </c>
      <c r="C27" s="102">
        <v>8</v>
      </c>
      <c r="D27" s="57">
        <v>12</v>
      </c>
      <c r="E27" s="57">
        <v>5</v>
      </c>
      <c r="F27" s="57">
        <v>9</v>
      </c>
      <c r="G27" s="57">
        <v>9</v>
      </c>
      <c r="H27" s="120">
        <v>10</v>
      </c>
      <c r="I27" s="101">
        <v>25</v>
      </c>
      <c r="J27" s="101">
        <v>34</v>
      </c>
      <c r="K27" s="121">
        <v>55</v>
      </c>
      <c r="L27" s="121">
        <v>34</v>
      </c>
      <c r="M27" s="123">
        <v>73</v>
      </c>
      <c r="N27" s="120">
        <v>117</v>
      </c>
      <c r="O27" s="330">
        <v>46</v>
      </c>
      <c r="P27" s="120">
        <v>11</v>
      </c>
      <c r="Q27" s="120">
        <v>7</v>
      </c>
      <c r="R27" s="480">
        <f t="shared" si="0"/>
        <v>30.333333333333332</v>
      </c>
      <c r="S27" s="559">
        <f t="shared" si="1"/>
        <v>12</v>
      </c>
      <c r="T27" s="119"/>
      <c r="U27" s="331"/>
      <c r="V27" s="19"/>
      <c r="W27" s="103"/>
      <c r="X27" s="119" t="s">
        <v>842</v>
      </c>
      <c r="Y27" s="331">
        <v>40921</v>
      </c>
      <c r="Z27" s="19" t="s">
        <v>185</v>
      </c>
      <c r="AA27" s="103"/>
      <c r="AB27" s="19" t="s">
        <v>836</v>
      </c>
      <c r="AC27" s="19" t="s">
        <v>837</v>
      </c>
      <c r="AD27" s="19" t="s">
        <v>838</v>
      </c>
      <c r="AE27" s="93">
        <v>4</v>
      </c>
    </row>
    <row r="28" spans="1:31" x14ac:dyDescent="0.25">
      <c r="A28" s="834"/>
      <c r="B28" s="99" t="s">
        <v>185</v>
      </c>
      <c r="C28" s="57">
        <v>1</v>
      </c>
      <c r="D28" s="57">
        <v>1</v>
      </c>
      <c r="E28" s="57">
        <v>4</v>
      </c>
      <c r="F28" s="57">
        <v>8</v>
      </c>
      <c r="G28" s="57">
        <v>4.2</v>
      </c>
      <c r="H28" s="57">
        <v>8.3000000000000007</v>
      </c>
      <c r="I28" s="126">
        <v>8.6</v>
      </c>
      <c r="J28" s="58">
        <v>20.399999999999999</v>
      </c>
      <c r="K28" s="58">
        <v>11</v>
      </c>
      <c r="L28" s="58">
        <v>10.199999999999999</v>
      </c>
      <c r="M28" s="125">
        <v>13</v>
      </c>
      <c r="N28" s="120">
        <v>9.8000000000000007</v>
      </c>
      <c r="O28" s="330">
        <v>5</v>
      </c>
      <c r="P28" s="120">
        <v>10.8</v>
      </c>
      <c r="Q28" s="120">
        <v>7.6</v>
      </c>
      <c r="R28" s="480">
        <f t="shared" si="0"/>
        <v>8.1933333333333334</v>
      </c>
      <c r="S28" s="559">
        <f t="shared" si="1"/>
        <v>8.3000000000000007</v>
      </c>
      <c r="T28" s="119"/>
      <c r="U28" s="331"/>
      <c r="V28" s="19"/>
      <c r="W28" s="103"/>
      <c r="X28" s="119"/>
      <c r="Y28" s="331"/>
      <c r="Z28" s="19"/>
      <c r="AA28" s="103"/>
      <c r="AB28" s="19"/>
      <c r="AC28" s="19"/>
      <c r="AD28" s="19"/>
      <c r="AE28" s="93"/>
    </row>
    <row r="29" spans="1:31" x14ac:dyDescent="0.25">
      <c r="A29" s="835"/>
      <c r="B29" s="56" t="s">
        <v>1098</v>
      </c>
      <c r="C29" s="56"/>
      <c r="D29" s="56"/>
      <c r="E29" s="56"/>
      <c r="F29" s="56"/>
      <c r="G29" s="56"/>
      <c r="H29" s="56"/>
      <c r="I29" s="56"/>
      <c r="J29" s="56"/>
      <c r="K29" s="56"/>
      <c r="L29" s="56"/>
      <c r="M29" s="56"/>
      <c r="N29" s="56"/>
      <c r="O29" s="330">
        <v>0</v>
      </c>
      <c r="P29" s="330">
        <v>0</v>
      </c>
      <c r="Q29" s="330">
        <v>0</v>
      </c>
      <c r="R29" s="56"/>
      <c r="S29" s="56"/>
      <c r="T29" s="119"/>
      <c r="U29" s="331"/>
      <c r="V29" s="108"/>
      <c r="W29" s="92"/>
      <c r="X29" s="119" t="s">
        <v>842</v>
      </c>
      <c r="Y29" s="331">
        <v>40921</v>
      </c>
      <c r="Z29" s="108" t="s">
        <v>210</v>
      </c>
      <c r="AA29" s="92">
        <v>726</v>
      </c>
      <c r="AB29" s="94" t="s">
        <v>832</v>
      </c>
      <c r="AC29" s="19"/>
      <c r="AD29" s="554" t="s">
        <v>833</v>
      </c>
      <c r="AE29" s="93">
        <v>2</v>
      </c>
    </row>
    <row r="30" spans="1:31" x14ac:dyDescent="0.25">
      <c r="A30" s="112"/>
      <c r="B30" s="113"/>
      <c r="C30" s="113"/>
      <c r="D30" s="112"/>
      <c r="E30" s="112"/>
      <c r="F30" s="112"/>
      <c r="G30" s="115"/>
      <c r="H30" s="103"/>
      <c r="X30" s="119" t="s">
        <v>831</v>
      </c>
      <c r="Y30" s="331">
        <v>40949</v>
      </c>
      <c r="Z30" s="108" t="s">
        <v>210</v>
      </c>
      <c r="AA30" s="92">
        <v>579</v>
      </c>
      <c r="AB30" s="94" t="s">
        <v>832</v>
      </c>
      <c r="AC30" s="19"/>
      <c r="AD30" s="554" t="s">
        <v>833</v>
      </c>
      <c r="AE30" s="93">
        <v>2</v>
      </c>
    </row>
    <row r="31" spans="1:31" x14ac:dyDescent="0.25">
      <c r="A31" s="112"/>
      <c r="B31" s="113"/>
      <c r="C31" s="113"/>
      <c r="D31" s="116"/>
      <c r="E31" s="112"/>
      <c r="F31" s="94"/>
      <c r="G31" s="114"/>
      <c r="H31" s="95"/>
      <c r="X31" s="119" t="s">
        <v>831</v>
      </c>
      <c r="Y31" s="331">
        <v>40949</v>
      </c>
      <c r="Z31" s="19" t="s">
        <v>186</v>
      </c>
      <c r="AA31" s="92">
        <v>438</v>
      </c>
      <c r="AB31" s="19" t="s">
        <v>834</v>
      </c>
      <c r="AC31" s="92"/>
      <c r="AD31" s="19" t="s">
        <v>833</v>
      </c>
      <c r="AE31" s="93">
        <v>2</v>
      </c>
    </row>
    <row r="32" spans="1:31" x14ac:dyDescent="0.25">
      <c r="A32" s="112"/>
      <c r="B32" s="113"/>
      <c r="C32" s="113"/>
      <c r="D32" s="108"/>
      <c r="E32" s="112"/>
      <c r="F32" s="117"/>
      <c r="G32" s="109"/>
      <c r="H32" s="109"/>
      <c r="X32" s="119" t="s">
        <v>831</v>
      </c>
      <c r="Y32" s="331">
        <v>40949</v>
      </c>
      <c r="Z32" s="19" t="s">
        <v>180</v>
      </c>
      <c r="AA32" s="92">
        <v>5</v>
      </c>
      <c r="AB32" s="94" t="s">
        <v>835</v>
      </c>
      <c r="AC32" s="92"/>
      <c r="AD32" s="19" t="s">
        <v>833</v>
      </c>
      <c r="AE32" s="93">
        <v>2</v>
      </c>
    </row>
    <row r="33" spans="1:31" x14ac:dyDescent="0.25">
      <c r="A33" s="112"/>
      <c r="B33" s="113"/>
      <c r="C33" s="19"/>
      <c r="D33" s="119"/>
      <c r="E33" s="91"/>
      <c r="F33" s="91"/>
      <c r="G33" s="19"/>
      <c r="H33" s="19"/>
      <c r="I33" s="19"/>
      <c r="J33" s="19"/>
      <c r="K33" s="92"/>
      <c r="L33" s="92"/>
      <c r="X33" s="119" t="s">
        <v>831</v>
      </c>
      <c r="Y33" s="331">
        <v>40949</v>
      </c>
      <c r="Z33" s="96" t="s">
        <v>181</v>
      </c>
      <c r="AA33" s="95">
        <v>2</v>
      </c>
      <c r="AB33" s="94" t="s">
        <v>835</v>
      </c>
      <c r="AC33" s="554"/>
      <c r="AD33" s="19" t="s">
        <v>833</v>
      </c>
      <c r="AE33" s="109">
        <v>2</v>
      </c>
    </row>
    <row r="34" spans="1:31" x14ac:dyDescent="0.25">
      <c r="A34" s="112"/>
      <c r="B34" s="113"/>
      <c r="C34" s="19"/>
      <c r="D34" s="119"/>
      <c r="E34" s="91"/>
      <c r="F34" s="91"/>
      <c r="G34" s="19"/>
      <c r="H34" s="19"/>
      <c r="I34" s="19"/>
      <c r="J34" s="19"/>
      <c r="K34" s="92"/>
      <c r="L34" s="92"/>
      <c r="X34" s="119" t="s">
        <v>831</v>
      </c>
      <c r="Y34" s="331">
        <v>40949</v>
      </c>
      <c r="Z34" s="19" t="s">
        <v>185</v>
      </c>
      <c r="AA34" s="103">
        <v>4.4000000000000004</v>
      </c>
      <c r="AB34" s="19" t="s">
        <v>836</v>
      </c>
      <c r="AC34" s="92"/>
      <c r="AD34" s="19" t="s">
        <v>838</v>
      </c>
      <c r="AE34" s="93">
        <v>4</v>
      </c>
    </row>
    <row r="35" spans="1:31" x14ac:dyDescent="0.25">
      <c r="A35" s="112"/>
      <c r="B35" s="113"/>
      <c r="C35" s="19"/>
      <c r="D35" s="119"/>
      <c r="E35" s="91"/>
      <c r="F35" s="91"/>
      <c r="G35" s="19"/>
      <c r="H35" s="19"/>
      <c r="I35" s="19"/>
      <c r="J35" s="19"/>
      <c r="K35" s="103"/>
      <c r="L35" s="103"/>
      <c r="X35" s="119" t="s">
        <v>839</v>
      </c>
      <c r="Y35" s="331">
        <v>40949</v>
      </c>
      <c r="Z35" s="96" t="s">
        <v>181</v>
      </c>
      <c r="AA35" s="95">
        <v>29</v>
      </c>
      <c r="AB35" s="94" t="s">
        <v>835</v>
      </c>
      <c r="AC35" s="554"/>
      <c r="AD35" s="19" t="s">
        <v>833</v>
      </c>
      <c r="AE35" s="109">
        <v>2</v>
      </c>
    </row>
    <row r="36" spans="1:31" x14ac:dyDescent="0.25">
      <c r="A36" s="112"/>
      <c r="B36" s="113"/>
      <c r="C36" s="19"/>
      <c r="D36" s="119"/>
      <c r="E36" s="91"/>
      <c r="F36" s="91"/>
      <c r="G36" s="96"/>
      <c r="H36" s="19"/>
      <c r="I36" s="94"/>
      <c r="J36" s="94"/>
      <c r="K36" s="95"/>
      <c r="L36" s="95"/>
      <c r="X36" s="119" t="s">
        <v>839</v>
      </c>
      <c r="Y36" s="331">
        <v>40949</v>
      </c>
      <c r="Z36" s="108" t="s">
        <v>210</v>
      </c>
      <c r="AA36" s="92">
        <v>1115</v>
      </c>
      <c r="AB36" s="94" t="s">
        <v>832</v>
      </c>
      <c r="AC36" s="19"/>
      <c r="AD36" s="554" t="s">
        <v>833</v>
      </c>
      <c r="AE36" s="93">
        <v>2</v>
      </c>
    </row>
    <row r="37" spans="1:31" x14ac:dyDescent="0.25">
      <c r="A37" s="19"/>
      <c r="B37" s="113"/>
      <c r="C37" s="19"/>
      <c r="D37" s="119"/>
      <c r="E37" s="91"/>
      <c r="F37" s="91"/>
      <c r="G37" s="19"/>
      <c r="H37" s="19"/>
      <c r="I37" s="19"/>
      <c r="J37" s="19"/>
      <c r="K37" s="92"/>
      <c r="L37" s="92"/>
      <c r="X37" s="119" t="s">
        <v>839</v>
      </c>
      <c r="Y37" s="331">
        <v>40949</v>
      </c>
      <c r="Z37" s="19" t="s">
        <v>186</v>
      </c>
      <c r="AA37" s="92">
        <v>904</v>
      </c>
      <c r="AB37" s="19" t="s">
        <v>834</v>
      </c>
      <c r="AC37" s="92"/>
      <c r="AD37" s="19" t="s">
        <v>833</v>
      </c>
      <c r="AE37" s="93">
        <v>2</v>
      </c>
    </row>
    <row r="38" spans="1:31" x14ac:dyDescent="0.25">
      <c r="A38" s="19"/>
      <c r="B38" s="113"/>
      <c r="C38" s="19"/>
      <c r="D38" s="119"/>
      <c r="E38" s="91"/>
      <c r="F38" s="91"/>
      <c r="G38" s="19"/>
      <c r="H38" s="19"/>
      <c r="I38" s="19"/>
      <c r="J38" s="19"/>
      <c r="K38" s="92"/>
      <c r="L38" s="92"/>
      <c r="X38" s="119" t="s">
        <v>839</v>
      </c>
      <c r="Y38" s="331">
        <v>40949</v>
      </c>
      <c r="Z38" s="19" t="s">
        <v>180</v>
      </c>
      <c r="AA38" s="92">
        <v>31</v>
      </c>
      <c r="AB38" s="94" t="s">
        <v>835</v>
      </c>
      <c r="AC38" s="92"/>
      <c r="AD38" s="19" t="s">
        <v>833</v>
      </c>
      <c r="AE38" s="93">
        <v>2</v>
      </c>
    </row>
    <row r="39" spans="1:31" x14ac:dyDescent="0.25">
      <c r="A39" s="19"/>
      <c r="B39" s="113"/>
      <c r="C39" s="19"/>
      <c r="D39" s="119"/>
      <c r="E39" s="91"/>
      <c r="F39" s="91"/>
      <c r="G39" s="19"/>
      <c r="H39" s="19"/>
      <c r="I39" s="19"/>
      <c r="J39" s="19"/>
      <c r="K39" s="103"/>
      <c r="L39" s="103"/>
      <c r="X39" s="119" t="s">
        <v>839</v>
      </c>
      <c r="Y39" s="331">
        <v>40949</v>
      </c>
      <c r="Z39" s="19" t="s">
        <v>185</v>
      </c>
      <c r="AA39" s="103"/>
      <c r="AB39" s="19" t="s">
        <v>836</v>
      </c>
      <c r="AC39" s="19" t="s">
        <v>837</v>
      </c>
      <c r="AD39" s="19" t="s">
        <v>838</v>
      </c>
      <c r="AE39" s="93">
        <v>4</v>
      </c>
    </row>
    <row r="40" spans="1:31" x14ac:dyDescent="0.25">
      <c r="A40" s="19"/>
      <c r="B40" s="113"/>
      <c r="C40" s="19"/>
      <c r="D40" s="119"/>
      <c r="E40" s="91"/>
      <c r="F40" s="91"/>
      <c r="G40" s="96"/>
      <c r="H40" s="19"/>
      <c r="I40" s="94"/>
      <c r="J40" s="94"/>
      <c r="K40" s="95"/>
      <c r="L40" s="95"/>
      <c r="X40" s="119">
        <v>45</v>
      </c>
      <c r="Y40" s="331">
        <v>40949</v>
      </c>
      <c r="Z40" s="96" t="s">
        <v>181</v>
      </c>
      <c r="AA40" s="95">
        <v>12</v>
      </c>
      <c r="AB40" s="94" t="s">
        <v>835</v>
      </c>
      <c r="AC40" s="554"/>
      <c r="AD40" s="19" t="s">
        <v>833</v>
      </c>
      <c r="AE40" s="109">
        <v>2</v>
      </c>
    </row>
    <row r="41" spans="1:31" x14ac:dyDescent="0.25">
      <c r="A41" s="112"/>
      <c r="B41" s="113"/>
      <c r="C41" s="19"/>
      <c r="D41" s="119"/>
      <c r="E41" s="91"/>
      <c r="F41" s="91"/>
      <c r="G41" s="108"/>
      <c r="H41" s="19"/>
      <c r="I41" s="97"/>
      <c r="J41" s="97"/>
      <c r="K41" s="109"/>
      <c r="L41" s="109"/>
      <c r="X41" s="119">
        <v>45</v>
      </c>
      <c r="Y41" s="331">
        <v>40949</v>
      </c>
      <c r="Z41" s="19" t="s">
        <v>186</v>
      </c>
      <c r="AA41" s="92">
        <v>614</v>
      </c>
      <c r="AB41" s="19" t="s">
        <v>834</v>
      </c>
      <c r="AC41" s="92"/>
      <c r="AD41" s="19" t="s">
        <v>833</v>
      </c>
      <c r="AE41" s="93">
        <v>2</v>
      </c>
    </row>
    <row r="42" spans="1:31" x14ac:dyDescent="0.25">
      <c r="A42" s="112"/>
      <c r="B42" s="113"/>
      <c r="C42" s="19"/>
      <c r="D42" s="119"/>
      <c r="E42" s="91"/>
      <c r="F42" s="91"/>
      <c r="G42" s="19"/>
      <c r="H42" s="19"/>
      <c r="I42" s="19"/>
      <c r="J42" s="19"/>
      <c r="K42" s="92"/>
      <c r="L42" s="92"/>
      <c r="X42" s="119">
        <v>45</v>
      </c>
      <c r="Y42" s="331">
        <v>40949</v>
      </c>
      <c r="Z42" s="19" t="s">
        <v>180</v>
      </c>
      <c r="AA42" s="92">
        <v>21</v>
      </c>
      <c r="AB42" s="94" t="s">
        <v>835</v>
      </c>
      <c r="AC42" s="19"/>
      <c r="AD42" s="19" t="s">
        <v>833</v>
      </c>
      <c r="AE42" s="93">
        <v>2</v>
      </c>
    </row>
    <row r="43" spans="1:31" x14ac:dyDescent="0.25">
      <c r="A43" s="112"/>
      <c r="B43" s="113"/>
      <c r="C43" s="19"/>
      <c r="D43" s="119"/>
      <c r="E43" s="91"/>
      <c r="F43" s="91"/>
      <c r="G43" s="19"/>
      <c r="H43" s="19"/>
      <c r="I43" s="19"/>
      <c r="J43" s="19"/>
      <c r="K43" s="92"/>
      <c r="L43" s="92"/>
      <c r="X43" s="119">
        <v>45</v>
      </c>
      <c r="Y43" s="331">
        <v>40949</v>
      </c>
      <c r="Z43" s="19" t="s">
        <v>185</v>
      </c>
      <c r="AA43" s="103"/>
      <c r="AB43" s="19" t="s">
        <v>836</v>
      </c>
      <c r="AC43" s="19" t="s">
        <v>837</v>
      </c>
      <c r="AD43" s="19" t="s">
        <v>838</v>
      </c>
      <c r="AE43" s="93">
        <v>4</v>
      </c>
    </row>
    <row r="44" spans="1:31" x14ac:dyDescent="0.25">
      <c r="A44" s="112"/>
      <c r="B44" s="113"/>
      <c r="C44" s="19"/>
      <c r="D44" s="119"/>
      <c r="E44" s="91"/>
      <c r="F44" s="91"/>
      <c r="G44" s="19"/>
      <c r="H44" s="19"/>
      <c r="I44" s="19"/>
      <c r="J44" s="19"/>
      <c r="K44" s="103"/>
      <c r="L44" s="103"/>
      <c r="X44" s="119">
        <v>45</v>
      </c>
      <c r="Y44" s="331">
        <v>40949</v>
      </c>
      <c r="Z44" s="108" t="s">
        <v>210</v>
      </c>
      <c r="AA44" s="92">
        <v>884</v>
      </c>
      <c r="AB44" s="94" t="s">
        <v>832</v>
      </c>
      <c r="AC44" s="19"/>
      <c r="AD44" s="554" t="s">
        <v>833</v>
      </c>
      <c r="AE44" s="93">
        <v>2</v>
      </c>
    </row>
    <row r="45" spans="1:31" x14ac:dyDescent="0.25">
      <c r="A45" s="112"/>
      <c r="B45" s="113"/>
      <c r="C45" s="19"/>
      <c r="D45" s="119"/>
      <c r="E45" s="91"/>
      <c r="F45" s="91"/>
      <c r="G45" s="96"/>
      <c r="H45" s="19"/>
      <c r="I45" s="94"/>
      <c r="J45" s="94"/>
      <c r="K45" s="95"/>
      <c r="L45" s="95"/>
      <c r="X45" s="244" t="s">
        <v>840</v>
      </c>
      <c r="Y45" s="331">
        <v>40949</v>
      </c>
      <c r="Z45" s="96" t="s">
        <v>181</v>
      </c>
      <c r="AA45" s="95">
        <v>8</v>
      </c>
      <c r="AB45" s="94" t="s">
        <v>835</v>
      </c>
      <c r="AC45" s="554"/>
      <c r="AD45" s="19" t="s">
        <v>833</v>
      </c>
      <c r="AE45" s="109">
        <v>2</v>
      </c>
    </row>
    <row r="46" spans="1:31" x14ac:dyDescent="0.25">
      <c r="C46" s="19"/>
      <c r="D46" s="119"/>
      <c r="E46" s="91"/>
      <c r="F46" s="91"/>
      <c r="G46" s="19"/>
      <c r="H46" s="19"/>
      <c r="I46" s="19"/>
      <c r="J46" s="19"/>
      <c r="K46" s="92"/>
      <c r="L46" s="92"/>
      <c r="X46" s="244" t="s">
        <v>840</v>
      </c>
      <c r="Y46" s="331">
        <v>40949</v>
      </c>
      <c r="Z46" s="19" t="s">
        <v>186</v>
      </c>
      <c r="AA46" s="92">
        <v>704</v>
      </c>
      <c r="AB46" s="19" t="s">
        <v>834</v>
      </c>
      <c r="AC46" s="92"/>
      <c r="AD46" s="19" t="s">
        <v>833</v>
      </c>
      <c r="AE46" s="93">
        <v>2</v>
      </c>
    </row>
    <row r="47" spans="1:31" x14ac:dyDescent="0.25">
      <c r="C47" s="19"/>
      <c r="D47" s="119"/>
      <c r="E47" s="91"/>
      <c r="F47" s="91"/>
      <c r="G47" s="19"/>
      <c r="H47" s="19"/>
      <c r="I47" s="19"/>
      <c r="J47" s="19"/>
      <c r="K47" s="92"/>
      <c r="L47" s="92"/>
      <c r="X47" s="244" t="s">
        <v>840</v>
      </c>
      <c r="Y47" s="331">
        <v>40949</v>
      </c>
      <c r="Z47" s="19" t="s">
        <v>180</v>
      </c>
      <c r="AA47" s="92">
        <v>14</v>
      </c>
      <c r="AB47" s="94" t="s">
        <v>835</v>
      </c>
      <c r="AC47" s="19"/>
      <c r="AD47" s="19" t="s">
        <v>833</v>
      </c>
      <c r="AE47" s="93">
        <v>2</v>
      </c>
    </row>
    <row r="48" spans="1:31" x14ac:dyDescent="0.25">
      <c r="C48" s="19"/>
      <c r="D48" s="119"/>
      <c r="E48" s="91"/>
      <c r="F48" s="91"/>
      <c r="G48" s="19"/>
      <c r="H48" s="19"/>
      <c r="I48" s="19"/>
      <c r="J48" s="19"/>
      <c r="K48" s="103"/>
      <c r="L48" s="103"/>
      <c r="X48" s="244" t="s">
        <v>840</v>
      </c>
      <c r="Y48" s="331">
        <v>40949</v>
      </c>
      <c r="Z48" s="19" t="s">
        <v>185</v>
      </c>
      <c r="AA48" s="103"/>
      <c r="AB48" s="19" t="s">
        <v>836</v>
      </c>
      <c r="AC48" s="19" t="s">
        <v>837</v>
      </c>
      <c r="AD48" s="19" t="s">
        <v>838</v>
      </c>
      <c r="AE48" s="93">
        <v>4</v>
      </c>
    </row>
    <row r="49" spans="3:31" x14ac:dyDescent="0.25">
      <c r="C49" s="19"/>
      <c r="D49" s="119"/>
      <c r="E49" s="91"/>
      <c r="F49" s="91"/>
      <c r="G49" s="96"/>
      <c r="H49" s="19"/>
      <c r="I49" s="94"/>
      <c r="J49" s="94"/>
      <c r="K49" s="95"/>
      <c r="L49" s="95"/>
      <c r="X49" s="244" t="s">
        <v>840</v>
      </c>
      <c r="Y49" s="331">
        <v>40949</v>
      </c>
      <c r="Z49" s="108" t="s">
        <v>210</v>
      </c>
      <c r="AA49" s="92">
        <v>988</v>
      </c>
      <c r="AB49" s="94" t="s">
        <v>832</v>
      </c>
      <c r="AC49" s="19"/>
      <c r="AD49" s="554" t="s">
        <v>833</v>
      </c>
      <c r="AE49" s="93">
        <v>2</v>
      </c>
    </row>
    <row r="50" spans="3:31" x14ac:dyDescent="0.25">
      <c r="C50" s="19"/>
      <c r="D50" s="119"/>
      <c r="E50" s="91"/>
      <c r="F50" s="91"/>
      <c r="G50" s="19"/>
      <c r="H50" s="19"/>
      <c r="I50" s="19"/>
      <c r="J50" s="19"/>
      <c r="K50" s="92"/>
      <c r="L50" s="92"/>
      <c r="X50" s="119" t="s">
        <v>840</v>
      </c>
      <c r="Y50" s="331">
        <v>40949</v>
      </c>
      <c r="Z50" s="108" t="s">
        <v>182</v>
      </c>
      <c r="AA50" s="504">
        <v>3.2</v>
      </c>
      <c r="AB50" s="97" t="s">
        <v>841</v>
      </c>
      <c r="AC50" s="10"/>
      <c r="AD50" s="19" t="s">
        <v>833</v>
      </c>
      <c r="AE50" s="109">
        <v>0.1</v>
      </c>
    </row>
    <row r="51" spans="3:31" x14ac:dyDescent="0.25">
      <c r="C51" s="19"/>
      <c r="D51" s="119"/>
      <c r="E51" s="91"/>
      <c r="F51" s="91"/>
      <c r="G51" s="19"/>
      <c r="H51" s="19"/>
      <c r="I51" s="19"/>
      <c r="J51" s="19"/>
      <c r="K51" s="92"/>
      <c r="L51" s="92"/>
      <c r="X51" s="119" t="s">
        <v>840</v>
      </c>
      <c r="Y51" s="331">
        <v>40949</v>
      </c>
      <c r="Z51" s="108" t="s">
        <v>182</v>
      </c>
      <c r="AA51" s="504">
        <v>3.5</v>
      </c>
      <c r="AB51" s="97" t="s">
        <v>841</v>
      </c>
      <c r="AC51" s="10"/>
      <c r="AD51" s="19" t="s">
        <v>833</v>
      </c>
      <c r="AE51" s="109">
        <v>0.1</v>
      </c>
    </row>
    <row r="52" spans="3:31" x14ac:dyDescent="0.25">
      <c r="C52" s="19"/>
      <c r="D52" s="119"/>
      <c r="E52" s="91"/>
      <c r="F52" s="91"/>
      <c r="G52" s="19"/>
      <c r="H52" s="19"/>
      <c r="I52" s="19"/>
      <c r="J52" s="19"/>
      <c r="K52" s="103"/>
      <c r="L52" s="103"/>
      <c r="X52" s="119" t="s">
        <v>842</v>
      </c>
      <c r="Y52" s="331">
        <v>40949</v>
      </c>
      <c r="Z52" s="96" t="s">
        <v>181</v>
      </c>
      <c r="AA52" s="95">
        <v>6</v>
      </c>
      <c r="AB52" s="94" t="s">
        <v>835</v>
      </c>
      <c r="AC52" s="554"/>
      <c r="AD52" s="19" t="s">
        <v>833</v>
      </c>
      <c r="AE52" s="109">
        <v>2</v>
      </c>
    </row>
    <row r="53" spans="3:31" x14ac:dyDescent="0.25">
      <c r="C53" s="19"/>
      <c r="D53" s="119"/>
      <c r="E53" s="91"/>
      <c r="F53" s="91"/>
      <c r="G53" s="96"/>
      <c r="H53" s="19"/>
      <c r="I53" s="94"/>
      <c r="J53" s="94"/>
      <c r="K53" s="95"/>
      <c r="L53" s="95"/>
      <c r="X53" s="119" t="s">
        <v>842</v>
      </c>
      <c r="Y53" s="331">
        <v>40949</v>
      </c>
      <c r="Z53" s="19" t="s">
        <v>186</v>
      </c>
      <c r="AA53" s="92">
        <v>297</v>
      </c>
      <c r="AB53" s="19" t="s">
        <v>834</v>
      </c>
      <c r="AC53" s="92"/>
      <c r="AD53" s="19" t="s">
        <v>833</v>
      </c>
      <c r="AE53" s="93">
        <v>2</v>
      </c>
    </row>
    <row r="54" spans="3:31" x14ac:dyDescent="0.25">
      <c r="X54" s="119" t="s">
        <v>842</v>
      </c>
      <c r="Y54" s="331">
        <v>40949</v>
      </c>
      <c r="Z54" s="19" t="s">
        <v>180</v>
      </c>
      <c r="AA54" s="92">
        <v>15</v>
      </c>
      <c r="AB54" s="94" t="s">
        <v>835</v>
      </c>
      <c r="AC54" s="19"/>
      <c r="AD54" s="19" t="s">
        <v>833</v>
      </c>
      <c r="AE54" s="93">
        <v>2</v>
      </c>
    </row>
    <row r="55" spans="3:31" x14ac:dyDescent="0.25">
      <c r="X55" s="119" t="s">
        <v>842</v>
      </c>
      <c r="Y55" s="331">
        <v>40949</v>
      </c>
      <c r="Z55" s="19" t="s">
        <v>185</v>
      </c>
      <c r="AA55" s="103">
        <v>4</v>
      </c>
      <c r="AB55" s="19" t="s">
        <v>836</v>
      </c>
      <c r="AC55" s="19"/>
      <c r="AD55" s="19" t="s">
        <v>838</v>
      </c>
      <c r="AE55" s="93">
        <v>4</v>
      </c>
    </row>
    <row r="56" spans="3:31" x14ac:dyDescent="0.25">
      <c r="X56" s="119" t="s">
        <v>842</v>
      </c>
      <c r="Y56" s="331">
        <v>40949</v>
      </c>
      <c r="Z56" s="108" t="s">
        <v>210</v>
      </c>
      <c r="AA56" s="92">
        <v>843</v>
      </c>
      <c r="AB56" s="94" t="s">
        <v>832</v>
      </c>
      <c r="AC56" s="19"/>
      <c r="AD56" s="554" t="s">
        <v>833</v>
      </c>
      <c r="AE56" s="93">
        <v>2</v>
      </c>
    </row>
    <row r="57" spans="3:31" x14ac:dyDescent="0.25">
      <c r="X57" s="119" t="s">
        <v>831</v>
      </c>
      <c r="Y57" s="331">
        <v>40994</v>
      </c>
      <c r="Z57" s="108" t="s">
        <v>210</v>
      </c>
      <c r="AA57" s="92">
        <v>389</v>
      </c>
      <c r="AB57" s="94" t="s">
        <v>832</v>
      </c>
      <c r="AC57" s="19"/>
      <c r="AD57" s="554" t="s">
        <v>833</v>
      </c>
      <c r="AE57" s="93">
        <v>2</v>
      </c>
    </row>
    <row r="58" spans="3:31" x14ac:dyDescent="0.25">
      <c r="X58" s="119" t="s">
        <v>831</v>
      </c>
      <c r="Y58" s="331">
        <v>40994</v>
      </c>
      <c r="Z58" s="19" t="s">
        <v>186</v>
      </c>
      <c r="AA58" s="92">
        <v>217</v>
      </c>
      <c r="AB58" s="19" t="s">
        <v>834</v>
      </c>
      <c r="AC58" s="92"/>
      <c r="AD58" s="19" t="s">
        <v>833</v>
      </c>
      <c r="AE58" s="93">
        <v>2</v>
      </c>
    </row>
    <row r="59" spans="3:31" x14ac:dyDescent="0.25">
      <c r="X59" s="119" t="s">
        <v>831</v>
      </c>
      <c r="Y59" s="331">
        <v>40994</v>
      </c>
      <c r="Z59" s="19" t="s">
        <v>180</v>
      </c>
      <c r="AA59" s="92">
        <v>11</v>
      </c>
      <c r="AB59" s="94" t="s">
        <v>835</v>
      </c>
      <c r="AC59" s="92"/>
      <c r="AD59" s="19" t="s">
        <v>833</v>
      </c>
      <c r="AE59" s="93">
        <v>2</v>
      </c>
    </row>
    <row r="60" spans="3:31" x14ac:dyDescent="0.25">
      <c r="X60" s="119" t="s">
        <v>831</v>
      </c>
      <c r="Y60" s="331">
        <v>40994</v>
      </c>
      <c r="Z60" s="96" t="s">
        <v>181</v>
      </c>
      <c r="AA60" s="95"/>
      <c r="AB60" s="94" t="s">
        <v>835</v>
      </c>
      <c r="AC60" s="554" t="s">
        <v>837</v>
      </c>
      <c r="AD60" s="19" t="s">
        <v>833</v>
      </c>
      <c r="AE60" s="109">
        <v>2</v>
      </c>
    </row>
    <row r="61" spans="3:31" x14ac:dyDescent="0.25">
      <c r="X61" s="119" t="s">
        <v>831</v>
      </c>
      <c r="Y61" s="331">
        <v>40994</v>
      </c>
      <c r="Z61" s="19" t="s">
        <v>185</v>
      </c>
      <c r="AA61" s="103">
        <v>12.6</v>
      </c>
      <c r="AB61" s="19" t="s">
        <v>836</v>
      </c>
      <c r="AC61" s="92"/>
      <c r="AD61" s="19" t="s">
        <v>838</v>
      </c>
      <c r="AE61" s="93">
        <v>4</v>
      </c>
    </row>
    <row r="62" spans="3:31" x14ac:dyDescent="0.25">
      <c r="X62" s="119" t="s">
        <v>839</v>
      </c>
      <c r="Y62" s="331">
        <v>40994</v>
      </c>
      <c r="Z62" s="96" t="s">
        <v>181</v>
      </c>
      <c r="AA62" s="95">
        <v>6</v>
      </c>
      <c r="AB62" s="94" t="s">
        <v>835</v>
      </c>
      <c r="AC62" s="554"/>
      <c r="AD62" s="19" t="s">
        <v>833</v>
      </c>
      <c r="AE62" s="109">
        <v>2</v>
      </c>
    </row>
    <row r="63" spans="3:31" x14ac:dyDescent="0.25">
      <c r="X63" s="119" t="s">
        <v>839</v>
      </c>
      <c r="Y63" s="331">
        <v>40994</v>
      </c>
      <c r="Z63" s="108" t="s">
        <v>210</v>
      </c>
      <c r="AA63" s="92">
        <v>1015</v>
      </c>
      <c r="AB63" s="94" t="s">
        <v>832</v>
      </c>
      <c r="AC63" s="19"/>
      <c r="AD63" s="554" t="s">
        <v>833</v>
      </c>
      <c r="AE63" s="93">
        <v>2</v>
      </c>
    </row>
    <row r="64" spans="3:31" x14ac:dyDescent="0.25">
      <c r="X64" s="119" t="s">
        <v>839</v>
      </c>
      <c r="Y64" s="331">
        <v>40994</v>
      </c>
      <c r="Z64" s="19" t="s">
        <v>186</v>
      </c>
      <c r="AA64" s="92">
        <v>726</v>
      </c>
      <c r="AB64" s="19" t="s">
        <v>834</v>
      </c>
      <c r="AC64" s="92"/>
      <c r="AD64" s="19" t="s">
        <v>833</v>
      </c>
      <c r="AE64" s="93">
        <v>2</v>
      </c>
    </row>
    <row r="65" spans="24:31" x14ac:dyDescent="0.25">
      <c r="X65" s="119" t="s">
        <v>839</v>
      </c>
      <c r="Y65" s="331">
        <v>40994</v>
      </c>
      <c r="Z65" s="19" t="s">
        <v>180</v>
      </c>
      <c r="AA65" s="92">
        <v>19</v>
      </c>
      <c r="AB65" s="94" t="s">
        <v>835</v>
      </c>
      <c r="AC65" s="92"/>
      <c r="AD65" s="19" t="s">
        <v>833</v>
      </c>
      <c r="AE65" s="93">
        <v>2</v>
      </c>
    </row>
    <row r="66" spans="24:31" x14ac:dyDescent="0.25">
      <c r="X66" s="119" t="s">
        <v>839</v>
      </c>
      <c r="Y66" s="331">
        <v>40994</v>
      </c>
      <c r="Z66" s="19" t="s">
        <v>185</v>
      </c>
      <c r="AA66" s="103">
        <v>27.2</v>
      </c>
      <c r="AB66" s="19" t="s">
        <v>836</v>
      </c>
      <c r="AC66" s="19"/>
      <c r="AD66" s="19" t="s">
        <v>838</v>
      </c>
      <c r="AE66" s="93">
        <v>4</v>
      </c>
    </row>
    <row r="67" spans="24:31" x14ac:dyDescent="0.25">
      <c r="X67" s="119">
        <v>45</v>
      </c>
      <c r="Y67" s="331">
        <v>40994</v>
      </c>
      <c r="Z67" s="96" t="s">
        <v>181</v>
      </c>
      <c r="AA67" s="95">
        <v>5</v>
      </c>
      <c r="AB67" s="94" t="s">
        <v>835</v>
      </c>
      <c r="AC67" s="554"/>
      <c r="AD67" s="19" t="s">
        <v>833</v>
      </c>
      <c r="AE67" s="109">
        <v>2</v>
      </c>
    </row>
    <row r="68" spans="24:31" x14ac:dyDescent="0.25">
      <c r="X68" s="119">
        <v>45</v>
      </c>
      <c r="Y68" s="331">
        <v>40994</v>
      </c>
      <c r="Z68" s="19" t="s">
        <v>186</v>
      </c>
      <c r="AA68" s="92">
        <v>356</v>
      </c>
      <c r="AB68" s="19" t="s">
        <v>834</v>
      </c>
      <c r="AC68" s="92"/>
      <c r="AD68" s="19" t="s">
        <v>833</v>
      </c>
      <c r="AE68" s="93">
        <v>2</v>
      </c>
    </row>
    <row r="69" spans="24:31" x14ac:dyDescent="0.25">
      <c r="X69" s="119">
        <v>45</v>
      </c>
      <c r="Y69" s="331">
        <v>40994</v>
      </c>
      <c r="Z69" s="19" t="s">
        <v>180</v>
      </c>
      <c r="AA69" s="92">
        <v>16</v>
      </c>
      <c r="AB69" s="94" t="s">
        <v>835</v>
      </c>
      <c r="AC69" s="19"/>
      <c r="AD69" s="19" t="s">
        <v>833</v>
      </c>
      <c r="AE69" s="93">
        <v>2</v>
      </c>
    </row>
    <row r="70" spans="24:31" x14ac:dyDescent="0.25">
      <c r="X70" s="119">
        <v>45</v>
      </c>
      <c r="Y70" s="331">
        <v>40994</v>
      </c>
      <c r="Z70" s="19" t="s">
        <v>185</v>
      </c>
      <c r="AA70" s="103"/>
      <c r="AB70" s="19" t="s">
        <v>836</v>
      </c>
      <c r="AC70" s="19" t="s">
        <v>837</v>
      </c>
      <c r="AD70" s="19" t="s">
        <v>838</v>
      </c>
      <c r="AE70" s="93">
        <v>4</v>
      </c>
    </row>
    <row r="71" spans="24:31" x14ac:dyDescent="0.25">
      <c r="X71" s="119">
        <v>45</v>
      </c>
      <c r="Y71" s="331">
        <v>40994</v>
      </c>
      <c r="Z71" s="108" t="s">
        <v>210</v>
      </c>
      <c r="AA71" s="92">
        <v>689</v>
      </c>
      <c r="AB71" s="94" t="s">
        <v>832</v>
      </c>
      <c r="AC71" s="19"/>
      <c r="AD71" s="554" t="s">
        <v>833</v>
      </c>
      <c r="AE71" s="93">
        <v>2</v>
      </c>
    </row>
    <row r="72" spans="24:31" x14ac:dyDescent="0.25">
      <c r="X72" s="244" t="s">
        <v>840</v>
      </c>
      <c r="Y72" s="331">
        <v>40994</v>
      </c>
      <c r="Z72" s="96" t="s">
        <v>181</v>
      </c>
      <c r="AA72" s="95">
        <v>4</v>
      </c>
      <c r="AB72" s="94" t="s">
        <v>835</v>
      </c>
      <c r="AC72" s="554"/>
      <c r="AD72" s="19" t="s">
        <v>833</v>
      </c>
      <c r="AE72" s="109">
        <v>2</v>
      </c>
    </row>
    <row r="73" spans="24:31" x14ac:dyDescent="0.25">
      <c r="X73" s="244" t="s">
        <v>840</v>
      </c>
      <c r="Y73" s="331">
        <v>40994</v>
      </c>
      <c r="Z73" s="19" t="s">
        <v>186</v>
      </c>
      <c r="AA73" s="92">
        <v>370</v>
      </c>
      <c r="AB73" s="19" t="s">
        <v>834</v>
      </c>
      <c r="AC73" s="92"/>
      <c r="AD73" s="19" t="s">
        <v>833</v>
      </c>
      <c r="AE73" s="93">
        <v>2</v>
      </c>
    </row>
    <row r="74" spans="24:31" x14ac:dyDescent="0.25">
      <c r="X74" s="244" t="s">
        <v>840</v>
      </c>
      <c r="Y74" s="331">
        <v>40994</v>
      </c>
      <c r="Z74" s="19" t="s">
        <v>180</v>
      </c>
      <c r="AA74" s="92">
        <v>13</v>
      </c>
      <c r="AB74" s="94" t="s">
        <v>835</v>
      </c>
      <c r="AC74" s="19"/>
      <c r="AD74" s="19" t="s">
        <v>833</v>
      </c>
      <c r="AE74" s="93">
        <v>2</v>
      </c>
    </row>
    <row r="75" spans="24:31" x14ac:dyDescent="0.25">
      <c r="X75" s="244" t="s">
        <v>840</v>
      </c>
      <c r="Y75" s="331">
        <v>40994</v>
      </c>
      <c r="Z75" s="19" t="s">
        <v>185</v>
      </c>
      <c r="AA75" s="103"/>
      <c r="AB75" s="19" t="s">
        <v>836</v>
      </c>
      <c r="AC75" s="19" t="s">
        <v>837</v>
      </c>
      <c r="AD75" s="19" t="s">
        <v>838</v>
      </c>
      <c r="AE75" s="93">
        <v>4</v>
      </c>
    </row>
    <row r="76" spans="24:31" x14ac:dyDescent="0.25">
      <c r="X76" s="244" t="s">
        <v>840</v>
      </c>
      <c r="Y76" s="331">
        <v>40994</v>
      </c>
      <c r="Z76" s="108" t="s">
        <v>210</v>
      </c>
      <c r="AA76" s="92">
        <v>680</v>
      </c>
      <c r="AB76" s="94" t="s">
        <v>832</v>
      </c>
      <c r="AC76" s="19"/>
      <c r="AD76" s="554" t="s">
        <v>833</v>
      </c>
      <c r="AE76" s="93">
        <v>2</v>
      </c>
    </row>
    <row r="77" spans="24:31" x14ac:dyDescent="0.25">
      <c r="X77" s="119" t="s">
        <v>840</v>
      </c>
      <c r="Y77" s="331">
        <v>40994</v>
      </c>
      <c r="Z77" s="108" t="s">
        <v>182</v>
      </c>
      <c r="AA77" s="504">
        <v>4.4000000000000004</v>
      </c>
      <c r="AB77" s="97" t="s">
        <v>841</v>
      </c>
      <c r="AC77" s="10"/>
      <c r="AD77" s="19" t="s">
        <v>833</v>
      </c>
      <c r="AE77" s="109">
        <v>0.1</v>
      </c>
    </row>
    <row r="78" spans="24:31" x14ac:dyDescent="0.25">
      <c r="X78" s="119" t="s">
        <v>840</v>
      </c>
      <c r="Y78" s="331">
        <v>40994</v>
      </c>
      <c r="Z78" s="108" t="s">
        <v>182</v>
      </c>
      <c r="AA78" s="504">
        <v>4.7</v>
      </c>
      <c r="AB78" s="97" t="s">
        <v>841</v>
      </c>
      <c r="AC78" s="10"/>
      <c r="AD78" s="19" t="s">
        <v>833</v>
      </c>
      <c r="AE78" s="109">
        <v>0.1</v>
      </c>
    </row>
    <row r="79" spans="24:31" x14ac:dyDescent="0.25">
      <c r="X79" s="119" t="s">
        <v>842</v>
      </c>
      <c r="Y79" s="331">
        <v>40994</v>
      </c>
      <c r="Z79" s="96" t="s">
        <v>181</v>
      </c>
      <c r="AA79" s="95">
        <v>5</v>
      </c>
      <c r="AB79" s="94" t="s">
        <v>835</v>
      </c>
      <c r="AC79" s="554"/>
      <c r="AD79" s="19" t="s">
        <v>833</v>
      </c>
      <c r="AE79" s="109">
        <v>2</v>
      </c>
    </row>
    <row r="80" spans="24:31" x14ac:dyDescent="0.25">
      <c r="X80" s="119" t="s">
        <v>842</v>
      </c>
      <c r="Y80" s="331">
        <v>40994</v>
      </c>
      <c r="Z80" s="19" t="s">
        <v>186</v>
      </c>
      <c r="AA80" s="92">
        <v>339</v>
      </c>
      <c r="AB80" s="19" t="s">
        <v>834</v>
      </c>
      <c r="AC80" s="92"/>
      <c r="AD80" s="19" t="s">
        <v>833</v>
      </c>
      <c r="AE80" s="93">
        <v>2</v>
      </c>
    </row>
    <row r="81" spans="24:31" x14ac:dyDescent="0.25">
      <c r="X81" s="119" t="s">
        <v>842</v>
      </c>
      <c r="Y81" s="331">
        <v>40994</v>
      </c>
      <c r="Z81" s="19" t="s">
        <v>180</v>
      </c>
      <c r="AA81" s="92">
        <v>25</v>
      </c>
      <c r="AB81" s="94" t="s">
        <v>835</v>
      </c>
      <c r="AC81" s="19"/>
      <c r="AD81" s="19" t="s">
        <v>833</v>
      </c>
      <c r="AE81" s="93">
        <v>2</v>
      </c>
    </row>
    <row r="82" spans="24:31" x14ac:dyDescent="0.25">
      <c r="X82" s="119" t="s">
        <v>842</v>
      </c>
      <c r="Y82" s="331">
        <v>40994</v>
      </c>
      <c r="Z82" s="19" t="s">
        <v>185</v>
      </c>
      <c r="AA82" s="103"/>
      <c r="AB82" s="19" t="s">
        <v>836</v>
      </c>
      <c r="AC82" s="19" t="s">
        <v>837</v>
      </c>
      <c r="AD82" s="19" t="s">
        <v>838</v>
      </c>
      <c r="AE82" s="93">
        <v>4</v>
      </c>
    </row>
    <row r="83" spans="24:31" x14ac:dyDescent="0.25">
      <c r="X83" s="119" t="s">
        <v>842</v>
      </c>
      <c r="Y83" s="331">
        <v>40994</v>
      </c>
      <c r="Z83" s="108" t="s">
        <v>210</v>
      </c>
      <c r="AA83" s="92">
        <v>736</v>
      </c>
      <c r="AB83" s="94" t="s">
        <v>832</v>
      </c>
      <c r="AC83" s="19"/>
      <c r="AD83" s="554" t="s">
        <v>833</v>
      </c>
      <c r="AE83" s="93">
        <v>2</v>
      </c>
    </row>
    <row r="84" spans="24:31" x14ac:dyDescent="0.25">
      <c r="X84" s="119" t="s">
        <v>831</v>
      </c>
      <c r="Y84" s="331">
        <v>41022</v>
      </c>
      <c r="Z84" s="108" t="s">
        <v>210</v>
      </c>
      <c r="AA84" s="92">
        <v>323</v>
      </c>
      <c r="AB84" s="94" t="s">
        <v>832</v>
      </c>
      <c r="AC84" s="19"/>
      <c r="AD84" s="554" t="s">
        <v>833</v>
      </c>
      <c r="AE84" s="93">
        <v>2</v>
      </c>
    </row>
    <row r="85" spans="24:31" x14ac:dyDescent="0.25">
      <c r="X85" s="119" t="s">
        <v>831</v>
      </c>
      <c r="Y85" s="331">
        <v>41022</v>
      </c>
      <c r="Z85" s="19" t="s">
        <v>186</v>
      </c>
      <c r="AA85" s="92">
        <v>164</v>
      </c>
      <c r="AB85" s="19" t="s">
        <v>834</v>
      </c>
      <c r="AC85" s="92"/>
      <c r="AD85" s="19" t="s">
        <v>833</v>
      </c>
      <c r="AE85" s="93">
        <v>2</v>
      </c>
    </row>
    <row r="86" spans="24:31" x14ac:dyDescent="0.25">
      <c r="X86" s="119" t="s">
        <v>831</v>
      </c>
      <c r="Y86" s="331">
        <v>41022</v>
      </c>
      <c r="Z86" s="19" t="s">
        <v>180</v>
      </c>
      <c r="AA86" s="92">
        <v>9</v>
      </c>
      <c r="AB86" s="94" t="s">
        <v>835</v>
      </c>
      <c r="AC86" s="92"/>
      <c r="AD86" s="19" t="s">
        <v>833</v>
      </c>
      <c r="AE86" s="93">
        <v>2</v>
      </c>
    </row>
    <row r="87" spans="24:31" x14ac:dyDescent="0.25">
      <c r="X87" s="119" t="s">
        <v>831</v>
      </c>
      <c r="Y87" s="331">
        <v>41022</v>
      </c>
      <c r="Z87" s="96" t="s">
        <v>181</v>
      </c>
      <c r="AA87" s="95">
        <v>7</v>
      </c>
      <c r="AB87" s="94" t="s">
        <v>835</v>
      </c>
      <c r="AC87" s="554"/>
      <c r="AD87" s="19" t="s">
        <v>833</v>
      </c>
      <c r="AE87" s="109">
        <v>2</v>
      </c>
    </row>
    <row r="88" spans="24:31" x14ac:dyDescent="0.25">
      <c r="X88" s="119" t="s">
        <v>831</v>
      </c>
      <c r="Y88" s="331">
        <v>41022</v>
      </c>
      <c r="Z88" s="19" t="s">
        <v>185</v>
      </c>
      <c r="AA88" s="103">
        <v>4.8</v>
      </c>
      <c r="AB88" s="19" t="s">
        <v>836</v>
      </c>
      <c r="AC88" s="92"/>
      <c r="AD88" s="19" t="s">
        <v>838</v>
      </c>
      <c r="AE88" s="93">
        <v>4</v>
      </c>
    </row>
    <row r="89" spans="24:31" x14ac:dyDescent="0.25">
      <c r="X89" s="119" t="s">
        <v>839</v>
      </c>
      <c r="Y89" s="331">
        <v>41022</v>
      </c>
      <c r="Z89" s="96" t="s">
        <v>181</v>
      </c>
      <c r="AA89" s="95">
        <v>19</v>
      </c>
      <c r="AB89" s="94" t="s">
        <v>835</v>
      </c>
      <c r="AC89" s="554"/>
      <c r="AD89" s="19" t="s">
        <v>833</v>
      </c>
      <c r="AE89" s="109">
        <v>2</v>
      </c>
    </row>
    <row r="90" spans="24:31" x14ac:dyDescent="0.25">
      <c r="X90" s="119" t="s">
        <v>839</v>
      </c>
      <c r="Y90" s="331">
        <v>41022</v>
      </c>
      <c r="Z90" s="108" t="s">
        <v>210</v>
      </c>
      <c r="AA90" s="92">
        <v>1494</v>
      </c>
      <c r="AB90" s="94" t="s">
        <v>832</v>
      </c>
      <c r="AC90" s="19"/>
      <c r="AD90" s="554" t="s">
        <v>833</v>
      </c>
      <c r="AE90" s="93">
        <v>2</v>
      </c>
    </row>
    <row r="91" spans="24:31" x14ac:dyDescent="0.25">
      <c r="X91" s="119" t="s">
        <v>839</v>
      </c>
      <c r="Y91" s="331">
        <v>41022</v>
      </c>
      <c r="Z91" s="19" t="s">
        <v>186</v>
      </c>
      <c r="AA91" s="92">
        <v>1219</v>
      </c>
      <c r="AB91" s="19" t="s">
        <v>834</v>
      </c>
      <c r="AC91" s="92"/>
      <c r="AD91" s="19" t="s">
        <v>833</v>
      </c>
      <c r="AE91" s="93">
        <v>2</v>
      </c>
    </row>
    <row r="92" spans="24:31" x14ac:dyDescent="0.25">
      <c r="X92" s="119" t="s">
        <v>839</v>
      </c>
      <c r="Y92" s="331">
        <v>41022</v>
      </c>
      <c r="Z92" s="19" t="s">
        <v>180</v>
      </c>
      <c r="AA92" s="92">
        <v>34</v>
      </c>
      <c r="AB92" s="94" t="s">
        <v>835</v>
      </c>
      <c r="AC92" s="92"/>
      <c r="AD92" s="19" t="s">
        <v>833</v>
      </c>
      <c r="AE92" s="93">
        <v>2</v>
      </c>
    </row>
    <row r="93" spans="24:31" x14ac:dyDescent="0.25">
      <c r="X93" s="119" t="s">
        <v>839</v>
      </c>
      <c r="Y93" s="331">
        <v>41022</v>
      </c>
      <c r="Z93" s="19" t="s">
        <v>185</v>
      </c>
      <c r="AA93" s="103">
        <v>6.2</v>
      </c>
      <c r="AB93" s="19" t="s">
        <v>836</v>
      </c>
      <c r="AC93" s="19"/>
      <c r="AD93" s="19" t="s">
        <v>838</v>
      </c>
      <c r="AE93" s="93">
        <v>4</v>
      </c>
    </row>
    <row r="94" spans="24:31" x14ac:dyDescent="0.25">
      <c r="X94" s="119">
        <v>45</v>
      </c>
      <c r="Y94" s="331">
        <v>41022</v>
      </c>
      <c r="Z94" s="96" t="s">
        <v>181</v>
      </c>
      <c r="AA94" s="95">
        <v>7</v>
      </c>
      <c r="AB94" s="94" t="s">
        <v>835</v>
      </c>
      <c r="AC94" s="554"/>
      <c r="AD94" s="19" t="s">
        <v>833</v>
      </c>
      <c r="AE94" s="109">
        <v>2</v>
      </c>
    </row>
    <row r="95" spans="24:31" x14ac:dyDescent="0.25">
      <c r="X95" s="119">
        <v>45</v>
      </c>
      <c r="Y95" s="331">
        <v>41022</v>
      </c>
      <c r="Z95" s="19" t="s">
        <v>186</v>
      </c>
      <c r="AA95" s="92">
        <v>205</v>
      </c>
      <c r="AB95" s="19" t="s">
        <v>834</v>
      </c>
      <c r="AC95" s="92"/>
      <c r="AD95" s="19" t="s">
        <v>833</v>
      </c>
      <c r="AE95" s="93">
        <v>2</v>
      </c>
    </row>
    <row r="96" spans="24:31" x14ac:dyDescent="0.25">
      <c r="X96" s="119">
        <v>45</v>
      </c>
      <c r="Y96" s="331">
        <v>41022</v>
      </c>
      <c r="Z96" s="19" t="s">
        <v>180</v>
      </c>
      <c r="AA96" s="92">
        <v>21</v>
      </c>
      <c r="AB96" s="94" t="s">
        <v>835</v>
      </c>
      <c r="AC96" s="19"/>
      <c r="AD96" s="19" t="s">
        <v>833</v>
      </c>
      <c r="AE96" s="93">
        <v>2</v>
      </c>
    </row>
    <row r="97" spans="24:31" x14ac:dyDescent="0.25">
      <c r="X97" s="119">
        <v>45</v>
      </c>
      <c r="Y97" s="331">
        <v>41022</v>
      </c>
      <c r="Z97" s="19" t="s">
        <v>185</v>
      </c>
      <c r="AA97" s="103">
        <v>5.8</v>
      </c>
      <c r="AB97" s="19" t="s">
        <v>836</v>
      </c>
      <c r="AC97" s="19"/>
      <c r="AD97" s="19" t="s">
        <v>838</v>
      </c>
      <c r="AE97" s="93">
        <v>4</v>
      </c>
    </row>
    <row r="98" spans="24:31" x14ac:dyDescent="0.25">
      <c r="X98" s="119">
        <v>45</v>
      </c>
      <c r="Y98" s="331">
        <v>41022</v>
      </c>
      <c r="Z98" s="108" t="s">
        <v>210</v>
      </c>
      <c r="AA98" s="92">
        <v>527</v>
      </c>
      <c r="AB98" s="94" t="s">
        <v>832</v>
      </c>
      <c r="AC98" s="19"/>
      <c r="AD98" s="554" t="s">
        <v>833</v>
      </c>
      <c r="AE98" s="93">
        <v>2</v>
      </c>
    </row>
    <row r="99" spans="24:31" x14ac:dyDescent="0.25">
      <c r="X99" s="244" t="s">
        <v>840</v>
      </c>
      <c r="Y99" s="331">
        <v>41022</v>
      </c>
      <c r="Z99" s="96" t="s">
        <v>181</v>
      </c>
      <c r="AA99" s="95">
        <v>5</v>
      </c>
      <c r="AB99" s="94" t="s">
        <v>835</v>
      </c>
      <c r="AC99" s="554"/>
      <c r="AD99" s="19" t="s">
        <v>833</v>
      </c>
      <c r="AE99" s="109">
        <v>2</v>
      </c>
    </row>
    <row r="100" spans="24:31" x14ac:dyDescent="0.25">
      <c r="X100" s="244" t="s">
        <v>840</v>
      </c>
      <c r="Y100" s="331">
        <v>41022</v>
      </c>
      <c r="Z100" s="19" t="s">
        <v>186</v>
      </c>
      <c r="AA100" s="92">
        <v>224</v>
      </c>
      <c r="AB100" s="19" t="s">
        <v>834</v>
      </c>
      <c r="AC100" s="92"/>
      <c r="AD100" s="19" t="s">
        <v>833</v>
      </c>
      <c r="AE100" s="93">
        <v>2</v>
      </c>
    </row>
    <row r="101" spans="24:31" x14ac:dyDescent="0.25">
      <c r="X101" s="244" t="s">
        <v>840</v>
      </c>
      <c r="Y101" s="331">
        <v>41022</v>
      </c>
      <c r="Z101" s="19" t="s">
        <v>180</v>
      </c>
      <c r="AA101" s="92">
        <v>21</v>
      </c>
      <c r="AB101" s="94" t="s">
        <v>835</v>
      </c>
      <c r="AC101" s="19"/>
      <c r="AD101" s="19" t="s">
        <v>833</v>
      </c>
      <c r="AE101" s="93">
        <v>2</v>
      </c>
    </row>
    <row r="102" spans="24:31" x14ac:dyDescent="0.25">
      <c r="X102" s="244" t="s">
        <v>840</v>
      </c>
      <c r="Y102" s="331">
        <v>41022</v>
      </c>
      <c r="Z102" s="19" t="s">
        <v>185</v>
      </c>
      <c r="AA102" s="103">
        <v>5.6</v>
      </c>
      <c r="AB102" s="19" t="s">
        <v>836</v>
      </c>
      <c r="AC102" s="19"/>
      <c r="AD102" s="19" t="s">
        <v>838</v>
      </c>
      <c r="AE102" s="93">
        <v>4</v>
      </c>
    </row>
    <row r="103" spans="24:31" x14ac:dyDescent="0.25">
      <c r="X103" s="244" t="s">
        <v>840</v>
      </c>
      <c r="Y103" s="331">
        <v>41022</v>
      </c>
      <c r="Z103" s="108" t="s">
        <v>210</v>
      </c>
      <c r="AA103" s="92">
        <v>550</v>
      </c>
      <c r="AB103" s="94" t="s">
        <v>832</v>
      </c>
      <c r="AC103" s="19"/>
      <c r="AD103" s="554" t="s">
        <v>833</v>
      </c>
      <c r="AE103" s="93">
        <v>2</v>
      </c>
    </row>
    <row r="104" spans="24:31" x14ac:dyDescent="0.25">
      <c r="X104" s="119" t="s">
        <v>840</v>
      </c>
      <c r="Y104" s="331">
        <v>41022</v>
      </c>
      <c r="Z104" s="108" t="s">
        <v>182</v>
      </c>
      <c r="AA104" s="504">
        <v>5.3</v>
      </c>
      <c r="AB104" s="97" t="s">
        <v>841</v>
      </c>
      <c r="AC104" s="10"/>
      <c r="AD104" s="19" t="s">
        <v>833</v>
      </c>
      <c r="AE104" s="109">
        <v>0.1</v>
      </c>
    </row>
    <row r="105" spans="24:31" x14ac:dyDescent="0.25">
      <c r="X105" s="119" t="s">
        <v>840</v>
      </c>
      <c r="Y105" s="331">
        <v>41022</v>
      </c>
      <c r="Z105" s="108" t="s">
        <v>182</v>
      </c>
      <c r="AA105" s="504">
        <v>6.5</v>
      </c>
      <c r="AB105" s="97" t="s">
        <v>841</v>
      </c>
      <c r="AC105" s="10"/>
      <c r="AD105" s="19" t="s">
        <v>833</v>
      </c>
      <c r="AE105" s="109">
        <v>0.1</v>
      </c>
    </row>
    <row r="106" spans="24:31" x14ac:dyDescent="0.25">
      <c r="X106" s="119" t="s">
        <v>842</v>
      </c>
      <c r="Y106" s="331">
        <v>41022</v>
      </c>
      <c r="Z106" s="96" t="s">
        <v>181</v>
      </c>
      <c r="AA106" s="95">
        <v>9</v>
      </c>
      <c r="AB106" s="94" t="s">
        <v>835</v>
      </c>
      <c r="AC106" s="554"/>
      <c r="AD106" s="19" t="s">
        <v>833</v>
      </c>
      <c r="AE106" s="109">
        <v>2</v>
      </c>
    </row>
    <row r="107" spans="24:31" x14ac:dyDescent="0.25">
      <c r="X107" s="119" t="s">
        <v>842</v>
      </c>
      <c r="Y107" s="331">
        <v>41022</v>
      </c>
      <c r="Z107" s="19" t="s">
        <v>186</v>
      </c>
      <c r="AA107" s="92">
        <v>214</v>
      </c>
      <c r="AB107" s="19" t="s">
        <v>834</v>
      </c>
      <c r="AC107" s="92"/>
      <c r="AD107" s="19" t="s">
        <v>833</v>
      </c>
      <c r="AE107" s="93">
        <v>2</v>
      </c>
    </row>
    <row r="108" spans="24:31" x14ac:dyDescent="0.25">
      <c r="X108" s="119" t="s">
        <v>842</v>
      </c>
      <c r="Y108" s="331">
        <v>41022</v>
      </c>
      <c r="Z108" s="19" t="s">
        <v>180</v>
      </c>
      <c r="AA108" s="92">
        <v>21</v>
      </c>
      <c r="AB108" s="94" t="s">
        <v>835</v>
      </c>
      <c r="AC108" s="19"/>
      <c r="AD108" s="19" t="s">
        <v>833</v>
      </c>
      <c r="AE108" s="93">
        <v>2</v>
      </c>
    </row>
    <row r="109" spans="24:31" x14ac:dyDescent="0.25">
      <c r="X109" s="119" t="s">
        <v>842</v>
      </c>
      <c r="Y109" s="331">
        <v>41022</v>
      </c>
      <c r="Z109" s="19" t="s">
        <v>185</v>
      </c>
      <c r="AA109" s="103">
        <v>8</v>
      </c>
      <c r="AB109" s="19" t="s">
        <v>836</v>
      </c>
      <c r="AC109" s="19"/>
      <c r="AD109" s="19" t="s">
        <v>838</v>
      </c>
      <c r="AE109" s="93">
        <v>4</v>
      </c>
    </row>
    <row r="110" spans="24:31" x14ac:dyDescent="0.25">
      <c r="X110" s="119" t="s">
        <v>842</v>
      </c>
      <c r="Y110" s="331">
        <v>41022</v>
      </c>
      <c r="Z110" s="108" t="s">
        <v>210</v>
      </c>
      <c r="AA110" s="92">
        <v>612</v>
      </c>
      <c r="AB110" s="94" t="s">
        <v>832</v>
      </c>
      <c r="AC110" s="19"/>
      <c r="AD110" s="554" t="s">
        <v>833</v>
      </c>
      <c r="AE110" s="93">
        <v>2</v>
      </c>
    </row>
    <row r="111" spans="24:31" x14ac:dyDescent="0.25">
      <c r="X111" s="119">
        <v>52</v>
      </c>
      <c r="Y111" s="331">
        <v>41022</v>
      </c>
      <c r="Z111" s="19" t="s">
        <v>186</v>
      </c>
      <c r="AA111" s="93">
        <v>195</v>
      </c>
      <c r="AB111" s="19" t="s">
        <v>834</v>
      </c>
      <c r="AC111" s="92"/>
      <c r="AD111" s="19" t="s">
        <v>833</v>
      </c>
      <c r="AE111" s="93">
        <v>2</v>
      </c>
    </row>
    <row r="112" spans="24:31" x14ac:dyDescent="0.25">
      <c r="X112" s="119">
        <v>52</v>
      </c>
      <c r="Y112" s="331">
        <v>41022</v>
      </c>
      <c r="Z112" s="19" t="s">
        <v>180</v>
      </c>
      <c r="AA112" s="92">
        <v>12</v>
      </c>
      <c r="AB112" s="94" t="s">
        <v>835</v>
      </c>
      <c r="AD112" s="19" t="s">
        <v>833</v>
      </c>
      <c r="AE112" s="93">
        <v>2</v>
      </c>
    </row>
    <row r="113" spans="24:31" x14ac:dyDescent="0.25">
      <c r="X113" s="119">
        <v>52</v>
      </c>
      <c r="Y113" s="331">
        <v>41022</v>
      </c>
      <c r="Z113" s="108" t="s">
        <v>210</v>
      </c>
      <c r="AA113" s="92">
        <v>318</v>
      </c>
      <c r="AB113" s="94" t="s">
        <v>832</v>
      </c>
      <c r="AD113" s="554" t="s">
        <v>833</v>
      </c>
      <c r="AE113" s="93">
        <v>2</v>
      </c>
    </row>
    <row r="114" spans="24:31" x14ac:dyDescent="0.25">
      <c r="X114" s="119">
        <v>52</v>
      </c>
      <c r="Y114" s="331">
        <v>41022</v>
      </c>
      <c r="Z114" s="19" t="s">
        <v>251</v>
      </c>
      <c r="AA114" s="92">
        <v>15</v>
      </c>
      <c r="AB114" s="19" t="s">
        <v>843</v>
      </c>
      <c r="AD114" s="554" t="s">
        <v>833</v>
      </c>
      <c r="AE114" s="5">
        <v>3</v>
      </c>
    </row>
    <row r="115" spans="24:31" x14ac:dyDescent="0.25">
      <c r="X115" s="119">
        <v>53</v>
      </c>
      <c r="Y115" s="331">
        <v>41022</v>
      </c>
      <c r="Z115" s="19" t="s">
        <v>186</v>
      </c>
      <c r="AA115" s="92">
        <v>96</v>
      </c>
      <c r="AB115" s="19" t="s">
        <v>834</v>
      </c>
      <c r="AD115" s="19" t="s">
        <v>833</v>
      </c>
      <c r="AE115" s="93">
        <v>2</v>
      </c>
    </row>
    <row r="116" spans="24:31" x14ac:dyDescent="0.25">
      <c r="X116" s="119">
        <v>53</v>
      </c>
      <c r="Y116" s="331">
        <v>41022</v>
      </c>
      <c r="Z116" s="19" t="s">
        <v>180</v>
      </c>
      <c r="AA116" s="92">
        <v>24</v>
      </c>
      <c r="AB116" s="94" t="s">
        <v>835</v>
      </c>
      <c r="AC116" s="19"/>
      <c r="AD116" s="19" t="s">
        <v>833</v>
      </c>
      <c r="AE116" s="93">
        <v>2</v>
      </c>
    </row>
    <row r="117" spans="24:31" x14ac:dyDescent="0.25">
      <c r="X117" s="119">
        <v>53</v>
      </c>
      <c r="Y117" s="331">
        <v>41022</v>
      </c>
      <c r="Z117" s="108" t="s">
        <v>210</v>
      </c>
      <c r="AA117" s="92">
        <v>223</v>
      </c>
      <c r="AB117" s="94" t="s">
        <v>832</v>
      </c>
      <c r="AD117" s="554" t="s">
        <v>833</v>
      </c>
      <c r="AE117" s="93">
        <v>2</v>
      </c>
    </row>
    <row r="118" spans="24:31" x14ac:dyDescent="0.25">
      <c r="X118" s="119">
        <v>53</v>
      </c>
      <c r="Y118" s="331">
        <v>41022</v>
      </c>
      <c r="Z118" s="19" t="s">
        <v>251</v>
      </c>
      <c r="AA118" s="92">
        <v>15</v>
      </c>
      <c r="AB118" s="19" t="s">
        <v>843</v>
      </c>
      <c r="AD118" s="554" t="s">
        <v>833</v>
      </c>
      <c r="AE118" s="5">
        <v>3</v>
      </c>
    </row>
    <row r="119" spans="24:31" x14ac:dyDescent="0.25">
      <c r="X119" s="119">
        <v>54</v>
      </c>
      <c r="Y119" s="331">
        <v>41022</v>
      </c>
      <c r="Z119" s="19" t="s">
        <v>186</v>
      </c>
      <c r="AA119" s="92">
        <v>265</v>
      </c>
      <c r="AB119" s="19" t="s">
        <v>834</v>
      </c>
      <c r="AC119" s="19"/>
      <c r="AD119" s="19" t="s">
        <v>833</v>
      </c>
      <c r="AE119" s="93">
        <v>2</v>
      </c>
    </row>
    <row r="120" spans="24:31" x14ac:dyDescent="0.25">
      <c r="X120" s="119">
        <v>54</v>
      </c>
      <c r="Y120" s="331">
        <v>41022</v>
      </c>
      <c r="Z120" s="19" t="s">
        <v>180</v>
      </c>
      <c r="AA120" s="92">
        <v>40</v>
      </c>
      <c r="AB120" s="94" t="s">
        <v>835</v>
      </c>
      <c r="AD120" s="19" t="s">
        <v>833</v>
      </c>
      <c r="AE120" s="93">
        <v>2</v>
      </c>
    </row>
    <row r="121" spans="24:31" x14ac:dyDescent="0.25">
      <c r="X121" s="119">
        <v>54</v>
      </c>
      <c r="Y121" s="331">
        <v>41022</v>
      </c>
      <c r="Z121" s="108" t="s">
        <v>210</v>
      </c>
      <c r="AA121" s="92">
        <v>448</v>
      </c>
      <c r="AB121" s="94" t="s">
        <v>832</v>
      </c>
      <c r="AD121" s="554" t="s">
        <v>833</v>
      </c>
      <c r="AE121" s="93">
        <v>2</v>
      </c>
    </row>
    <row r="122" spans="24:31" x14ac:dyDescent="0.25">
      <c r="X122" s="119">
        <v>54</v>
      </c>
      <c r="Y122" s="331">
        <v>41022</v>
      </c>
      <c r="Z122" s="19" t="s">
        <v>251</v>
      </c>
      <c r="AA122" s="92">
        <v>18</v>
      </c>
      <c r="AB122" s="19" t="s">
        <v>843</v>
      </c>
      <c r="AD122" s="554" t="s">
        <v>833</v>
      </c>
      <c r="AE122" s="5">
        <v>3</v>
      </c>
    </row>
    <row r="123" spans="24:31" x14ac:dyDescent="0.25">
      <c r="X123" s="119">
        <v>55</v>
      </c>
      <c r="Y123" s="331">
        <v>41022</v>
      </c>
      <c r="Z123" s="19" t="s">
        <v>186</v>
      </c>
      <c r="AA123" s="92">
        <v>12</v>
      </c>
      <c r="AB123" s="19" t="s">
        <v>834</v>
      </c>
      <c r="AC123" s="92"/>
      <c r="AD123" s="19" t="s">
        <v>833</v>
      </c>
      <c r="AE123" s="93">
        <v>2</v>
      </c>
    </row>
    <row r="124" spans="24:31" x14ac:dyDescent="0.25">
      <c r="X124" s="119">
        <v>55</v>
      </c>
      <c r="Y124" s="331">
        <v>41022</v>
      </c>
      <c r="Z124" s="19" t="s">
        <v>180</v>
      </c>
      <c r="AA124" s="92">
        <v>57</v>
      </c>
      <c r="AB124" s="94" t="s">
        <v>835</v>
      </c>
      <c r="AD124" s="19" t="s">
        <v>833</v>
      </c>
      <c r="AE124" s="93">
        <v>2</v>
      </c>
    </row>
    <row r="125" spans="24:31" x14ac:dyDescent="0.25">
      <c r="X125" s="119">
        <v>55</v>
      </c>
      <c r="Y125" s="331">
        <v>41022</v>
      </c>
      <c r="Z125" s="108" t="s">
        <v>210</v>
      </c>
      <c r="AA125" s="92">
        <v>257</v>
      </c>
      <c r="AB125" s="94" t="s">
        <v>832</v>
      </c>
      <c r="AD125" s="554" t="s">
        <v>833</v>
      </c>
      <c r="AE125" s="93">
        <v>2</v>
      </c>
    </row>
    <row r="126" spans="24:31" x14ac:dyDescent="0.25">
      <c r="X126" s="119">
        <v>55</v>
      </c>
      <c r="Y126" s="331">
        <v>41022</v>
      </c>
      <c r="Z126" s="19" t="s">
        <v>251</v>
      </c>
      <c r="AA126" s="92">
        <v>20</v>
      </c>
      <c r="AB126" s="19" t="s">
        <v>843</v>
      </c>
      <c r="AD126" s="554" t="s">
        <v>833</v>
      </c>
      <c r="AE126" s="5">
        <v>3</v>
      </c>
    </row>
    <row r="127" spans="24:31" x14ac:dyDescent="0.25">
      <c r="X127" s="119">
        <v>52</v>
      </c>
      <c r="Y127" s="331">
        <v>41052</v>
      </c>
      <c r="Z127" s="19" t="s">
        <v>186</v>
      </c>
      <c r="AA127" s="93">
        <v>151</v>
      </c>
      <c r="AB127" s="19" t="s">
        <v>834</v>
      </c>
      <c r="AC127" s="92"/>
      <c r="AD127" s="19" t="s">
        <v>833</v>
      </c>
      <c r="AE127" s="93">
        <v>2</v>
      </c>
    </row>
    <row r="128" spans="24:31" x14ac:dyDescent="0.25">
      <c r="X128" s="119">
        <v>52</v>
      </c>
      <c r="Y128" s="331">
        <v>41052</v>
      </c>
      <c r="Z128" s="19" t="s">
        <v>180</v>
      </c>
      <c r="AA128" s="92">
        <v>19</v>
      </c>
      <c r="AB128" s="94" t="s">
        <v>835</v>
      </c>
      <c r="AD128" s="19" t="s">
        <v>833</v>
      </c>
      <c r="AE128" s="93">
        <v>2</v>
      </c>
    </row>
    <row r="129" spans="24:31" x14ac:dyDescent="0.25">
      <c r="X129" s="119">
        <v>52</v>
      </c>
      <c r="Y129" s="331">
        <v>41052</v>
      </c>
      <c r="Z129" s="108" t="s">
        <v>210</v>
      </c>
      <c r="AA129" s="92">
        <v>308</v>
      </c>
      <c r="AB129" s="94" t="s">
        <v>832</v>
      </c>
      <c r="AD129" s="554" t="s">
        <v>833</v>
      </c>
      <c r="AE129" s="93">
        <v>2</v>
      </c>
    </row>
    <row r="130" spans="24:31" x14ac:dyDescent="0.25">
      <c r="X130" s="119">
        <v>52</v>
      </c>
      <c r="Y130" s="331">
        <v>41052</v>
      </c>
      <c r="Z130" s="19" t="s">
        <v>251</v>
      </c>
      <c r="AA130" s="92">
        <v>19</v>
      </c>
      <c r="AB130" s="19" t="s">
        <v>843</v>
      </c>
      <c r="AD130" s="554" t="s">
        <v>833</v>
      </c>
      <c r="AE130" s="5">
        <v>3</v>
      </c>
    </row>
    <row r="131" spans="24:31" x14ac:dyDescent="0.25">
      <c r="X131" s="119">
        <v>53</v>
      </c>
      <c r="Y131" s="331">
        <v>41052</v>
      </c>
      <c r="Z131" s="19" t="s">
        <v>186</v>
      </c>
      <c r="AA131" s="92">
        <v>60</v>
      </c>
      <c r="AB131" s="19" t="s">
        <v>834</v>
      </c>
      <c r="AD131" s="19" t="s">
        <v>833</v>
      </c>
      <c r="AE131" s="93">
        <v>2</v>
      </c>
    </row>
    <row r="132" spans="24:31" x14ac:dyDescent="0.25">
      <c r="X132" s="119">
        <v>53</v>
      </c>
      <c r="Y132" s="331">
        <v>41052</v>
      </c>
      <c r="Z132" s="19" t="s">
        <v>180</v>
      </c>
      <c r="AA132" s="92">
        <v>86</v>
      </c>
      <c r="AB132" s="94" t="s">
        <v>835</v>
      </c>
      <c r="AC132" s="19"/>
      <c r="AD132" s="19" t="s">
        <v>833</v>
      </c>
      <c r="AE132" s="93">
        <v>2</v>
      </c>
    </row>
    <row r="133" spans="24:31" x14ac:dyDescent="0.25">
      <c r="X133" s="119">
        <v>53</v>
      </c>
      <c r="Y133" s="331">
        <v>41052</v>
      </c>
      <c r="Z133" s="108" t="s">
        <v>210</v>
      </c>
      <c r="AA133" s="92">
        <v>305</v>
      </c>
      <c r="AB133" s="94" t="s">
        <v>832</v>
      </c>
      <c r="AD133" s="554" t="s">
        <v>833</v>
      </c>
      <c r="AE133" s="93">
        <v>2</v>
      </c>
    </row>
    <row r="134" spans="24:31" x14ac:dyDescent="0.25">
      <c r="X134" s="119">
        <v>53</v>
      </c>
      <c r="Y134" s="331">
        <v>41052</v>
      </c>
      <c r="Z134" s="19" t="s">
        <v>251</v>
      </c>
      <c r="AA134" s="92">
        <v>14</v>
      </c>
      <c r="AB134" s="19" t="s">
        <v>843</v>
      </c>
      <c r="AD134" s="554" t="s">
        <v>833</v>
      </c>
      <c r="AE134" s="5">
        <v>3</v>
      </c>
    </row>
    <row r="135" spans="24:31" x14ac:dyDescent="0.25">
      <c r="X135" s="119">
        <v>54</v>
      </c>
      <c r="Y135" s="331">
        <v>41052</v>
      </c>
      <c r="Z135" s="19" t="s">
        <v>186</v>
      </c>
      <c r="AA135" s="92">
        <v>145</v>
      </c>
      <c r="AB135" s="19" t="s">
        <v>834</v>
      </c>
      <c r="AC135" s="19"/>
      <c r="AD135" s="19" t="s">
        <v>833</v>
      </c>
      <c r="AE135" s="93">
        <v>2</v>
      </c>
    </row>
    <row r="136" spans="24:31" x14ac:dyDescent="0.25">
      <c r="X136" s="119">
        <v>54</v>
      </c>
      <c r="Y136" s="331">
        <v>41052</v>
      </c>
      <c r="Z136" s="19" t="s">
        <v>180</v>
      </c>
      <c r="AA136" s="92">
        <v>152</v>
      </c>
      <c r="AB136" s="94" t="s">
        <v>835</v>
      </c>
      <c r="AD136" s="19" t="s">
        <v>833</v>
      </c>
      <c r="AE136" s="93">
        <v>2</v>
      </c>
    </row>
    <row r="137" spans="24:31" x14ac:dyDescent="0.25">
      <c r="X137" s="119">
        <v>54</v>
      </c>
      <c r="Y137" s="331">
        <v>41052</v>
      </c>
      <c r="Z137" s="108" t="s">
        <v>210</v>
      </c>
      <c r="AA137" s="92">
        <v>668</v>
      </c>
      <c r="AB137" s="94" t="s">
        <v>832</v>
      </c>
      <c r="AD137" s="554" t="s">
        <v>833</v>
      </c>
      <c r="AE137" s="93">
        <v>2</v>
      </c>
    </row>
    <row r="138" spans="24:31" x14ac:dyDescent="0.25">
      <c r="X138" s="119">
        <v>54</v>
      </c>
      <c r="Y138" s="331">
        <v>41052</v>
      </c>
      <c r="Z138" s="19" t="s">
        <v>251</v>
      </c>
      <c r="AA138" s="92">
        <v>16</v>
      </c>
      <c r="AB138" s="19" t="s">
        <v>843</v>
      </c>
      <c r="AD138" s="554" t="s">
        <v>833</v>
      </c>
      <c r="AE138" s="5">
        <v>3</v>
      </c>
    </row>
    <row r="139" spans="24:31" x14ac:dyDescent="0.25">
      <c r="X139" s="119">
        <v>55</v>
      </c>
      <c r="Y139" s="331">
        <v>41052</v>
      </c>
      <c r="Z139" s="19" t="s">
        <v>186</v>
      </c>
      <c r="AA139" s="92">
        <v>93</v>
      </c>
      <c r="AB139" s="19" t="s">
        <v>834</v>
      </c>
      <c r="AC139" s="92"/>
      <c r="AD139" s="19" t="s">
        <v>833</v>
      </c>
      <c r="AE139" s="93">
        <v>2</v>
      </c>
    </row>
    <row r="140" spans="24:31" x14ac:dyDescent="0.25">
      <c r="X140" s="119">
        <v>55</v>
      </c>
      <c r="Y140" s="331">
        <v>41052</v>
      </c>
      <c r="Z140" s="19" t="s">
        <v>180</v>
      </c>
      <c r="AA140" s="92">
        <v>74</v>
      </c>
      <c r="AB140" s="94" t="s">
        <v>835</v>
      </c>
      <c r="AD140" s="19" t="s">
        <v>833</v>
      </c>
      <c r="AE140" s="93">
        <v>2</v>
      </c>
    </row>
    <row r="141" spans="24:31" x14ac:dyDescent="0.25">
      <c r="X141" s="119">
        <v>55</v>
      </c>
      <c r="Y141" s="331">
        <v>41052</v>
      </c>
      <c r="Z141" s="108" t="s">
        <v>210</v>
      </c>
      <c r="AA141" s="92">
        <v>394</v>
      </c>
      <c r="AB141" s="94" t="s">
        <v>832</v>
      </c>
      <c r="AD141" s="554" t="s">
        <v>833</v>
      </c>
      <c r="AE141" s="93">
        <v>2</v>
      </c>
    </row>
    <row r="142" spans="24:31" x14ac:dyDescent="0.25">
      <c r="X142" s="119">
        <v>55</v>
      </c>
      <c r="Y142" s="331">
        <v>41052</v>
      </c>
      <c r="Z142" s="19" t="s">
        <v>251</v>
      </c>
      <c r="AA142" s="92">
        <v>18</v>
      </c>
      <c r="AB142" s="19" t="s">
        <v>843</v>
      </c>
      <c r="AD142" s="554" t="s">
        <v>833</v>
      </c>
      <c r="AE142" s="5">
        <v>3</v>
      </c>
    </row>
    <row r="143" spans="24:31" x14ac:dyDescent="0.25">
      <c r="X143" s="119">
        <v>36</v>
      </c>
      <c r="Y143" s="331">
        <v>41054</v>
      </c>
      <c r="Z143" s="19" t="s">
        <v>186</v>
      </c>
      <c r="AA143" s="93">
        <v>33</v>
      </c>
      <c r="AB143" s="19" t="s">
        <v>834</v>
      </c>
      <c r="AC143" s="92"/>
      <c r="AD143" s="19" t="s">
        <v>833</v>
      </c>
      <c r="AE143" s="93">
        <v>2</v>
      </c>
    </row>
    <row r="144" spans="24:31" x14ac:dyDescent="0.25">
      <c r="X144" s="119">
        <v>36</v>
      </c>
      <c r="Y144" s="331">
        <v>41054</v>
      </c>
      <c r="Z144" s="19" t="s">
        <v>180</v>
      </c>
      <c r="AA144" s="92">
        <v>15</v>
      </c>
      <c r="AB144" s="94" t="s">
        <v>835</v>
      </c>
      <c r="AD144" s="19" t="s">
        <v>833</v>
      </c>
      <c r="AE144" s="93">
        <v>2</v>
      </c>
    </row>
    <row r="145" spans="24:31" x14ac:dyDescent="0.25">
      <c r="X145" s="119">
        <v>36</v>
      </c>
      <c r="Y145" s="331">
        <v>41054</v>
      </c>
      <c r="Z145" s="108" t="s">
        <v>210</v>
      </c>
      <c r="AA145" s="92">
        <v>461</v>
      </c>
      <c r="AB145" s="94" t="s">
        <v>832</v>
      </c>
      <c r="AD145" s="554" t="s">
        <v>833</v>
      </c>
      <c r="AE145" s="93">
        <v>2</v>
      </c>
    </row>
    <row r="146" spans="24:31" x14ac:dyDescent="0.25">
      <c r="X146" s="119">
        <v>36</v>
      </c>
      <c r="Y146" s="331">
        <v>41054</v>
      </c>
      <c r="Z146" s="19" t="s">
        <v>251</v>
      </c>
      <c r="AA146" s="92">
        <v>23</v>
      </c>
      <c r="AB146" s="19" t="s">
        <v>843</v>
      </c>
      <c r="AD146" s="554" t="s">
        <v>833</v>
      </c>
      <c r="AE146" s="5">
        <v>3</v>
      </c>
    </row>
    <row r="147" spans="24:31" x14ac:dyDescent="0.25">
      <c r="X147" s="119">
        <v>61</v>
      </c>
      <c r="Y147" s="331">
        <v>41054</v>
      </c>
      <c r="Z147" s="19" t="s">
        <v>186</v>
      </c>
      <c r="AA147" s="92">
        <v>32</v>
      </c>
      <c r="AB147" s="19" t="s">
        <v>834</v>
      </c>
      <c r="AD147" s="19" t="s">
        <v>833</v>
      </c>
      <c r="AE147" s="93">
        <v>2</v>
      </c>
    </row>
    <row r="148" spans="24:31" x14ac:dyDescent="0.25">
      <c r="X148" s="119">
        <v>61</v>
      </c>
      <c r="Y148" s="331">
        <v>41054</v>
      </c>
      <c r="Z148" s="19" t="s">
        <v>180</v>
      </c>
      <c r="AA148" s="92">
        <v>45</v>
      </c>
      <c r="AB148" s="94" t="s">
        <v>835</v>
      </c>
      <c r="AC148" s="19"/>
      <c r="AD148" s="19" t="s">
        <v>833</v>
      </c>
      <c r="AE148" s="93">
        <v>2</v>
      </c>
    </row>
    <row r="149" spans="24:31" x14ac:dyDescent="0.25">
      <c r="X149" s="119">
        <v>61</v>
      </c>
      <c r="Y149" s="331">
        <v>41054</v>
      </c>
      <c r="Z149" s="108" t="s">
        <v>210</v>
      </c>
      <c r="AA149" s="92">
        <v>474</v>
      </c>
      <c r="AB149" s="94" t="s">
        <v>832</v>
      </c>
      <c r="AD149" s="554" t="s">
        <v>833</v>
      </c>
      <c r="AE149" s="93">
        <v>2</v>
      </c>
    </row>
    <row r="150" spans="24:31" x14ac:dyDescent="0.25">
      <c r="X150" s="119">
        <v>61</v>
      </c>
      <c r="Y150" s="331">
        <v>41054</v>
      </c>
      <c r="Z150" s="19" t="s">
        <v>251</v>
      </c>
      <c r="AA150" s="92">
        <v>29</v>
      </c>
      <c r="AB150" s="19" t="s">
        <v>843</v>
      </c>
      <c r="AD150" s="554" t="s">
        <v>833</v>
      </c>
      <c r="AE150" s="5">
        <v>3</v>
      </c>
    </row>
    <row r="151" spans="24:31" x14ac:dyDescent="0.25">
      <c r="X151" s="119">
        <v>62</v>
      </c>
      <c r="Y151" s="331">
        <v>41054</v>
      </c>
      <c r="Z151" s="19" t="s">
        <v>186</v>
      </c>
      <c r="AA151" s="92">
        <v>19</v>
      </c>
      <c r="AB151" s="19" t="s">
        <v>834</v>
      </c>
      <c r="AC151" s="19"/>
      <c r="AD151" s="19" t="s">
        <v>833</v>
      </c>
      <c r="AE151" s="93">
        <v>2</v>
      </c>
    </row>
    <row r="152" spans="24:31" x14ac:dyDescent="0.25">
      <c r="X152" s="119">
        <v>62</v>
      </c>
      <c r="Y152" s="331">
        <v>41054</v>
      </c>
      <c r="Z152" s="19" t="s">
        <v>180</v>
      </c>
      <c r="AA152" s="92">
        <v>73</v>
      </c>
      <c r="AB152" s="94" t="s">
        <v>835</v>
      </c>
      <c r="AD152" s="19" t="s">
        <v>833</v>
      </c>
      <c r="AE152" s="93">
        <v>2</v>
      </c>
    </row>
    <row r="153" spans="24:31" x14ac:dyDescent="0.25">
      <c r="X153" s="119">
        <v>62</v>
      </c>
      <c r="Y153" s="331">
        <v>41054</v>
      </c>
      <c r="Z153" s="108" t="s">
        <v>210</v>
      </c>
      <c r="AA153" s="92">
        <v>887</v>
      </c>
      <c r="AB153" s="94" t="s">
        <v>832</v>
      </c>
      <c r="AD153" s="554" t="s">
        <v>833</v>
      </c>
      <c r="AE153" s="93">
        <v>2</v>
      </c>
    </row>
    <row r="154" spans="24:31" x14ac:dyDescent="0.25">
      <c r="X154" s="119">
        <v>62</v>
      </c>
      <c r="Y154" s="331">
        <v>41054</v>
      </c>
      <c r="Z154" s="19" t="s">
        <v>251</v>
      </c>
      <c r="AA154" s="92">
        <v>28</v>
      </c>
      <c r="AB154" s="19" t="s">
        <v>843</v>
      </c>
      <c r="AD154" s="554" t="s">
        <v>833</v>
      </c>
      <c r="AE154" s="5">
        <v>3</v>
      </c>
    </row>
    <row r="155" spans="24:31" x14ac:dyDescent="0.25">
      <c r="X155" s="119">
        <v>63</v>
      </c>
      <c r="Y155" s="331">
        <v>41054</v>
      </c>
      <c r="Z155" s="19" t="s">
        <v>186</v>
      </c>
      <c r="AA155" s="92">
        <v>10</v>
      </c>
      <c r="AB155" s="19" t="s">
        <v>834</v>
      </c>
      <c r="AC155" s="92"/>
      <c r="AD155" s="19" t="s">
        <v>833</v>
      </c>
      <c r="AE155" s="93">
        <v>2</v>
      </c>
    </row>
    <row r="156" spans="24:31" x14ac:dyDescent="0.25">
      <c r="X156" s="119">
        <v>63</v>
      </c>
      <c r="Y156" s="331">
        <v>41054</v>
      </c>
      <c r="Z156" s="19" t="s">
        <v>180</v>
      </c>
      <c r="AA156" s="92">
        <v>156</v>
      </c>
      <c r="AB156" s="94" t="s">
        <v>835</v>
      </c>
      <c r="AD156" s="19" t="s">
        <v>833</v>
      </c>
      <c r="AE156" s="93">
        <v>2</v>
      </c>
    </row>
    <row r="157" spans="24:31" x14ac:dyDescent="0.25">
      <c r="X157" s="119">
        <v>63</v>
      </c>
      <c r="Y157" s="331">
        <v>41054</v>
      </c>
      <c r="Z157" s="108" t="s">
        <v>210</v>
      </c>
      <c r="AA157" s="92">
        <v>830</v>
      </c>
      <c r="AB157" s="94" t="s">
        <v>832</v>
      </c>
      <c r="AD157" s="554" t="s">
        <v>833</v>
      </c>
      <c r="AE157" s="93">
        <v>2</v>
      </c>
    </row>
    <row r="158" spans="24:31" x14ac:dyDescent="0.25">
      <c r="X158" s="119">
        <v>63</v>
      </c>
      <c r="Y158" s="331">
        <v>41054</v>
      </c>
      <c r="Z158" s="19" t="s">
        <v>251</v>
      </c>
      <c r="AA158" s="92">
        <v>27</v>
      </c>
      <c r="AB158" s="19" t="s">
        <v>843</v>
      </c>
      <c r="AD158" s="554" t="s">
        <v>833</v>
      </c>
      <c r="AE158" s="5">
        <v>3</v>
      </c>
    </row>
    <row r="159" spans="24:31" x14ac:dyDescent="0.25">
      <c r="X159" s="119" t="s">
        <v>831</v>
      </c>
      <c r="Y159" s="331">
        <v>41050</v>
      </c>
      <c r="Z159" s="108" t="s">
        <v>210</v>
      </c>
      <c r="AA159" s="92">
        <v>627</v>
      </c>
      <c r="AB159" s="94" t="s">
        <v>832</v>
      </c>
      <c r="AC159" s="19"/>
      <c r="AD159" s="554" t="s">
        <v>833</v>
      </c>
      <c r="AE159" s="93">
        <v>2</v>
      </c>
    </row>
    <row r="160" spans="24:31" x14ac:dyDescent="0.25">
      <c r="X160" s="119" t="s">
        <v>831</v>
      </c>
      <c r="Y160" s="331">
        <v>41050</v>
      </c>
      <c r="Z160" s="19" t="s">
        <v>186</v>
      </c>
      <c r="AA160" s="92">
        <v>287</v>
      </c>
      <c r="AB160" s="19" t="s">
        <v>834</v>
      </c>
      <c r="AC160" s="92"/>
      <c r="AD160" s="19" t="s">
        <v>833</v>
      </c>
      <c r="AE160" s="93">
        <v>2</v>
      </c>
    </row>
    <row r="161" spans="24:31" x14ac:dyDescent="0.25">
      <c r="X161" s="119" t="s">
        <v>831</v>
      </c>
      <c r="Y161" s="331">
        <v>41050</v>
      </c>
      <c r="Z161" s="19" t="s">
        <v>180</v>
      </c>
      <c r="AA161" s="92">
        <v>40</v>
      </c>
      <c r="AB161" s="94" t="s">
        <v>835</v>
      </c>
      <c r="AC161" s="92"/>
      <c r="AD161" s="19" t="s">
        <v>833</v>
      </c>
      <c r="AE161" s="93">
        <v>2</v>
      </c>
    </row>
    <row r="162" spans="24:31" x14ac:dyDescent="0.25">
      <c r="X162" s="119" t="s">
        <v>831</v>
      </c>
      <c r="Y162" s="331">
        <v>41050</v>
      </c>
      <c r="Z162" s="96" t="s">
        <v>181</v>
      </c>
      <c r="AA162" s="95">
        <v>19</v>
      </c>
      <c r="AB162" s="94" t="s">
        <v>835</v>
      </c>
      <c r="AC162" s="554"/>
      <c r="AD162" s="19" t="s">
        <v>833</v>
      </c>
      <c r="AE162" s="109">
        <v>2</v>
      </c>
    </row>
    <row r="163" spans="24:31" x14ac:dyDescent="0.25">
      <c r="X163" s="119" t="s">
        <v>831</v>
      </c>
      <c r="Y163" s="331">
        <v>41050</v>
      </c>
      <c r="Z163" s="19" t="s">
        <v>185</v>
      </c>
      <c r="AA163" s="103">
        <v>26.5</v>
      </c>
      <c r="AB163" s="19" t="s">
        <v>836</v>
      </c>
      <c r="AC163" s="92"/>
      <c r="AD163" s="19" t="s">
        <v>838</v>
      </c>
      <c r="AE163" s="93">
        <v>4</v>
      </c>
    </row>
    <row r="164" spans="24:31" x14ac:dyDescent="0.25">
      <c r="X164" s="119" t="s">
        <v>839</v>
      </c>
      <c r="Y164" s="331">
        <v>41050</v>
      </c>
      <c r="Z164" s="96" t="s">
        <v>181</v>
      </c>
      <c r="AA164" s="95">
        <v>37</v>
      </c>
      <c r="AB164" s="94" t="s">
        <v>835</v>
      </c>
      <c r="AC164" s="554"/>
      <c r="AD164" s="19" t="s">
        <v>833</v>
      </c>
      <c r="AE164" s="109">
        <v>2</v>
      </c>
    </row>
    <row r="165" spans="24:31" x14ac:dyDescent="0.25">
      <c r="X165" s="119" t="s">
        <v>839</v>
      </c>
      <c r="Y165" s="331">
        <v>41050</v>
      </c>
      <c r="Z165" s="108" t="s">
        <v>210</v>
      </c>
      <c r="AA165" s="92">
        <v>1487</v>
      </c>
      <c r="AB165" s="94" t="s">
        <v>832</v>
      </c>
      <c r="AC165" s="19"/>
      <c r="AD165" s="554" t="s">
        <v>833</v>
      </c>
      <c r="AE165" s="93">
        <v>2</v>
      </c>
    </row>
    <row r="166" spans="24:31" x14ac:dyDescent="0.25">
      <c r="X166" s="119" t="s">
        <v>839</v>
      </c>
      <c r="Y166" s="331">
        <v>41050</v>
      </c>
      <c r="Z166" s="19" t="s">
        <v>186</v>
      </c>
      <c r="AA166" s="92">
        <v>1133</v>
      </c>
      <c r="AB166" s="19" t="s">
        <v>834</v>
      </c>
      <c r="AC166" s="92"/>
      <c r="AD166" s="19" t="s">
        <v>833</v>
      </c>
      <c r="AE166" s="93">
        <v>2</v>
      </c>
    </row>
    <row r="167" spans="24:31" x14ac:dyDescent="0.25">
      <c r="X167" s="119" t="s">
        <v>839</v>
      </c>
      <c r="Y167" s="331">
        <v>41050</v>
      </c>
      <c r="Z167" s="19" t="s">
        <v>180</v>
      </c>
      <c r="AA167" s="92">
        <v>73</v>
      </c>
      <c r="AB167" s="94" t="s">
        <v>835</v>
      </c>
      <c r="AC167" s="92"/>
      <c r="AD167" s="19" t="s">
        <v>833</v>
      </c>
      <c r="AE167" s="93">
        <v>2</v>
      </c>
    </row>
    <row r="168" spans="24:31" x14ac:dyDescent="0.25">
      <c r="X168" s="119" t="s">
        <v>839</v>
      </c>
      <c r="Y168" s="331">
        <v>41050</v>
      </c>
      <c r="Z168" s="19" t="s">
        <v>185</v>
      </c>
      <c r="AA168" s="103">
        <v>14.6</v>
      </c>
      <c r="AB168" s="19" t="s">
        <v>836</v>
      </c>
      <c r="AC168" s="19"/>
      <c r="AD168" s="19" t="s">
        <v>838</v>
      </c>
      <c r="AE168" s="93">
        <v>4</v>
      </c>
    </row>
    <row r="169" spans="24:31" x14ac:dyDescent="0.25">
      <c r="X169" s="119">
        <v>45</v>
      </c>
      <c r="Y169" s="331">
        <v>41050</v>
      </c>
      <c r="Z169" s="96" t="s">
        <v>181</v>
      </c>
      <c r="AA169" s="95">
        <v>9</v>
      </c>
      <c r="AB169" s="94" t="s">
        <v>835</v>
      </c>
      <c r="AC169" s="554"/>
      <c r="AD169" s="19" t="s">
        <v>833</v>
      </c>
      <c r="AE169" s="109">
        <v>2</v>
      </c>
    </row>
    <row r="170" spans="24:31" x14ac:dyDescent="0.25">
      <c r="X170" s="119">
        <v>45</v>
      </c>
      <c r="Y170" s="331">
        <v>41050</v>
      </c>
      <c r="Z170" s="19" t="s">
        <v>186</v>
      </c>
      <c r="AA170" s="92">
        <v>163</v>
      </c>
      <c r="AB170" s="19" t="s">
        <v>834</v>
      </c>
      <c r="AC170" s="92"/>
      <c r="AD170" s="19" t="s">
        <v>833</v>
      </c>
      <c r="AE170" s="93">
        <v>2</v>
      </c>
    </row>
    <row r="171" spans="24:31" x14ac:dyDescent="0.25">
      <c r="X171" s="119">
        <v>45</v>
      </c>
      <c r="Y171" s="331">
        <v>41050</v>
      </c>
      <c r="Z171" s="19" t="s">
        <v>180</v>
      </c>
      <c r="AA171" s="92">
        <v>21</v>
      </c>
      <c r="AB171" s="94" t="s">
        <v>835</v>
      </c>
      <c r="AC171" s="19"/>
      <c r="AD171" s="19" t="s">
        <v>833</v>
      </c>
      <c r="AE171" s="93">
        <v>2</v>
      </c>
    </row>
    <row r="172" spans="24:31" x14ac:dyDescent="0.25">
      <c r="X172" s="119">
        <v>45</v>
      </c>
      <c r="Y172" s="331">
        <v>41050</v>
      </c>
      <c r="Z172" s="19" t="s">
        <v>185</v>
      </c>
      <c r="AA172" s="103">
        <v>4.2</v>
      </c>
      <c r="AB172" s="19" t="s">
        <v>836</v>
      </c>
      <c r="AC172" s="19"/>
      <c r="AD172" s="19" t="s">
        <v>838</v>
      </c>
      <c r="AE172" s="93">
        <v>4</v>
      </c>
    </row>
    <row r="173" spans="24:31" x14ac:dyDescent="0.25">
      <c r="X173" s="119">
        <v>45</v>
      </c>
      <c r="Y173" s="331">
        <v>41050</v>
      </c>
      <c r="Z173" s="108" t="s">
        <v>210</v>
      </c>
      <c r="AA173" s="92">
        <v>504</v>
      </c>
      <c r="AB173" s="94" t="s">
        <v>832</v>
      </c>
      <c r="AC173" s="19"/>
      <c r="AD173" s="554" t="s">
        <v>833</v>
      </c>
      <c r="AE173" s="93">
        <v>2</v>
      </c>
    </row>
    <row r="174" spans="24:31" x14ac:dyDescent="0.25">
      <c r="X174" s="244" t="s">
        <v>840</v>
      </c>
      <c r="Y174" s="331">
        <v>41050</v>
      </c>
      <c r="Z174" s="96" t="s">
        <v>181</v>
      </c>
      <c r="AA174" s="95">
        <v>10</v>
      </c>
      <c r="AB174" s="94" t="s">
        <v>835</v>
      </c>
      <c r="AC174" s="554"/>
      <c r="AD174" s="19" t="s">
        <v>833</v>
      </c>
      <c r="AE174" s="109">
        <v>2</v>
      </c>
    </row>
    <row r="175" spans="24:31" x14ac:dyDescent="0.25">
      <c r="X175" s="244" t="s">
        <v>840</v>
      </c>
      <c r="Y175" s="331">
        <v>41050</v>
      </c>
      <c r="Z175" s="19" t="s">
        <v>186</v>
      </c>
      <c r="AA175" s="92">
        <v>170</v>
      </c>
      <c r="AB175" s="19" t="s">
        <v>834</v>
      </c>
      <c r="AC175" s="92"/>
      <c r="AD175" s="19" t="s">
        <v>833</v>
      </c>
      <c r="AE175" s="93">
        <v>2</v>
      </c>
    </row>
    <row r="176" spans="24:31" x14ac:dyDescent="0.25">
      <c r="X176" s="244" t="s">
        <v>840</v>
      </c>
      <c r="Y176" s="331">
        <v>41050</v>
      </c>
      <c r="Z176" s="19" t="s">
        <v>180</v>
      </c>
      <c r="AA176" s="92">
        <v>14</v>
      </c>
      <c r="AB176" s="94" t="s">
        <v>835</v>
      </c>
      <c r="AC176" s="19"/>
      <c r="AD176" s="19" t="s">
        <v>833</v>
      </c>
      <c r="AE176" s="93">
        <v>2</v>
      </c>
    </row>
    <row r="177" spans="24:31" x14ac:dyDescent="0.25">
      <c r="X177" s="244" t="s">
        <v>840</v>
      </c>
      <c r="Y177" s="331">
        <v>41050</v>
      </c>
      <c r="Z177" s="19" t="s">
        <v>185</v>
      </c>
      <c r="AA177" s="103"/>
      <c r="AB177" s="19" t="s">
        <v>836</v>
      </c>
      <c r="AC177" s="19" t="s">
        <v>837</v>
      </c>
      <c r="AD177" s="19" t="s">
        <v>838</v>
      </c>
      <c r="AE177" s="93">
        <v>4</v>
      </c>
    </row>
    <row r="178" spans="24:31" x14ac:dyDescent="0.25">
      <c r="X178" s="244" t="s">
        <v>840</v>
      </c>
      <c r="Y178" s="331">
        <v>41050</v>
      </c>
      <c r="Z178" s="108" t="s">
        <v>210</v>
      </c>
      <c r="AA178" s="92">
        <v>600</v>
      </c>
      <c r="AB178" s="94" t="s">
        <v>832</v>
      </c>
      <c r="AC178" s="19"/>
      <c r="AD178" s="554" t="s">
        <v>833</v>
      </c>
      <c r="AE178" s="93">
        <v>2</v>
      </c>
    </row>
    <row r="179" spans="24:31" x14ac:dyDescent="0.25">
      <c r="X179" s="119" t="s">
        <v>840</v>
      </c>
      <c r="Y179" s="331">
        <v>41050</v>
      </c>
      <c r="Z179" s="108" t="s">
        <v>182</v>
      </c>
      <c r="AA179" s="504">
        <v>2.5</v>
      </c>
      <c r="AB179" s="97" t="s">
        <v>841</v>
      </c>
      <c r="AC179" s="10"/>
      <c r="AD179" s="19" t="s">
        <v>833</v>
      </c>
      <c r="AE179" s="109">
        <v>0.1</v>
      </c>
    </row>
    <row r="180" spans="24:31" x14ac:dyDescent="0.25">
      <c r="X180" s="119" t="s">
        <v>840</v>
      </c>
      <c r="Y180" s="331">
        <v>41050</v>
      </c>
      <c r="Z180" s="108" t="s">
        <v>182</v>
      </c>
      <c r="AA180" s="504">
        <v>2.7</v>
      </c>
      <c r="AB180" s="97" t="s">
        <v>841</v>
      </c>
      <c r="AC180" s="10"/>
      <c r="AD180" s="19" t="s">
        <v>833</v>
      </c>
      <c r="AE180" s="109">
        <v>0.1</v>
      </c>
    </row>
    <row r="181" spans="24:31" x14ac:dyDescent="0.25">
      <c r="X181" s="119" t="s">
        <v>842</v>
      </c>
      <c r="Y181" s="331">
        <v>41050</v>
      </c>
      <c r="Z181" s="96" t="s">
        <v>181</v>
      </c>
      <c r="AA181" s="95">
        <v>23</v>
      </c>
      <c r="AB181" s="94" t="s">
        <v>835</v>
      </c>
      <c r="AC181" s="554"/>
      <c r="AD181" s="19" t="s">
        <v>833</v>
      </c>
      <c r="AE181" s="109">
        <v>2</v>
      </c>
    </row>
    <row r="182" spans="24:31" x14ac:dyDescent="0.25">
      <c r="X182" s="119" t="s">
        <v>842</v>
      </c>
      <c r="Y182" s="331">
        <v>41050</v>
      </c>
      <c r="Z182" s="19" t="s">
        <v>186</v>
      </c>
      <c r="AA182" s="92">
        <v>114</v>
      </c>
      <c r="AB182" s="19" t="s">
        <v>834</v>
      </c>
      <c r="AC182" s="92"/>
      <c r="AD182" s="19" t="s">
        <v>833</v>
      </c>
      <c r="AE182" s="93">
        <v>2</v>
      </c>
    </row>
    <row r="183" spans="24:31" x14ac:dyDescent="0.25">
      <c r="X183" s="119" t="s">
        <v>842</v>
      </c>
      <c r="Y183" s="331">
        <v>41050</v>
      </c>
      <c r="Z183" s="19" t="s">
        <v>180</v>
      </c>
      <c r="AA183" s="92">
        <v>41</v>
      </c>
      <c r="AB183" s="94" t="s">
        <v>835</v>
      </c>
      <c r="AC183" s="19"/>
      <c r="AD183" s="19" t="s">
        <v>833</v>
      </c>
      <c r="AE183" s="93">
        <v>2</v>
      </c>
    </row>
    <row r="184" spans="24:31" x14ac:dyDescent="0.25">
      <c r="X184" s="119" t="s">
        <v>842</v>
      </c>
      <c r="Y184" s="331">
        <v>41050</v>
      </c>
      <c r="Z184" s="19" t="s">
        <v>185</v>
      </c>
      <c r="AA184" s="103">
        <v>8.1999999999999993</v>
      </c>
      <c r="AB184" s="19" t="s">
        <v>836</v>
      </c>
      <c r="AC184" s="19"/>
      <c r="AD184" s="19" t="s">
        <v>838</v>
      </c>
      <c r="AE184" s="93">
        <v>4</v>
      </c>
    </row>
    <row r="185" spans="24:31" x14ac:dyDescent="0.25">
      <c r="X185" s="119" t="s">
        <v>842</v>
      </c>
      <c r="Y185" s="331">
        <v>41050</v>
      </c>
      <c r="Z185" s="108" t="s">
        <v>210</v>
      </c>
      <c r="AA185" s="92">
        <v>695</v>
      </c>
      <c r="AB185" s="94" t="s">
        <v>832</v>
      </c>
      <c r="AC185" s="19"/>
      <c r="AD185" s="554" t="s">
        <v>833</v>
      </c>
      <c r="AE185" s="93">
        <v>2</v>
      </c>
    </row>
    <row r="186" spans="24:31" x14ac:dyDescent="0.25">
      <c r="X186" s="119">
        <v>52</v>
      </c>
      <c r="Y186" s="331">
        <v>41086</v>
      </c>
      <c r="Z186" s="19" t="s">
        <v>186</v>
      </c>
      <c r="AA186" s="93">
        <v>396</v>
      </c>
      <c r="AB186" s="19" t="s">
        <v>834</v>
      </c>
      <c r="AC186" s="92"/>
      <c r="AD186" s="19" t="s">
        <v>833</v>
      </c>
      <c r="AE186" s="93">
        <v>2</v>
      </c>
    </row>
    <row r="187" spans="24:31" x14ac:dyDescent="0.25">
      <c r="X187" s="119">
        <v>52</v>
      </c>
      <c r="Y187" s="331">
        <v>41086</v>
      </c>
      <c r="Z187" s="19" t="s">
        <v>180</v>
      </c>
      <c r="AA187" s="92">
        <v>70</v>
      </c>
      <c r="AB187" s="94" t="s">
        <v>835</v>
      </c>
      <c r="AD187" s="19" t="s">
        <v>833</v>
      </c>
      <c r="AE187" s="93">
        <v>2</v>
      </c>
    </row>
    <row r="188" spans="24:31" x14ac:dyDescent="0.25">
      <c r="X188" s="119">
        <v>52</v>
      </c>
      <c r="Y188" s="331">
        <v>41086</v>
      </c>
      <c r="Z188" s="108" t="s">
        <v>210</v>
      </c>
      <c r="AA188" s="92">
        <v>730</v>
      </c>
      <c r="AB188" s="94" t="s">
        <v>832</v>
      </c>
      <c r="AD188" s="554" t="s">
        <v>833</v>
      </c>
      <c r="AE188" s="93">
        <v>2</v>
      </c>
    </row>
    <row r="189" spans="24:31" x14ac:dyDescent="0.25">
      <c r="X189" s="119">
        <v>52</v>
      </c>
      <c r="Y189" s="331">
        <v>41086</v>
      </c>
      <c r="Z189" s="19" t="s">
        <v>251</v>
      </c>
      <c r="AA189" s="92">
        <v>32</v>
      </c>
      <c r="AB189" s="19" t="s">
        <v>843</v>
      </c>
      <c r="AD189" s="554" t="s">
        <v>833</v>
      </c>
      <c r="AE189" s="5">
        <v>3</v>
      </c>
    </row>
    <row r="190" spans="24:31" x14ac:dyDescent="0.25">
      <c r="X190" s="119">
        <v>53</v>
      </c>
      <c r="Y190" s="331">
        <v>41086</v>
      </c>
      <c r="Z190" s="19" t="s">
        <v>186</v>
      </c>
      <c r="AA190" s="92">
        <v>121</v>
      </c>
      <c r="AB190" s="19" t="s">
        <v>834</v>
      </c>
      <c r="AD190" s="19" t="s">
        <v>833</v>
      </c>
      <c r="AE190" s="93">
        <v>2</v>
      </c>
    </row>
    <row r="191" spans="24:31" x14ac:dyDescent="0.25">
      <c r="X191" s="119">
        <v>53</v>
      </c>
      <c r="Y191" s="331">
        <v>41086</v>
      </c>
      <c r="Z191" s="19" t="s">
        <v>180</v>
      </c>
      <c r="AA191" s="92">
        <v>50</v>
      </c>
      <c r="AB191" s="94" t="s">
        <v>835</v>
      </c>
      <c r="AC191" s="19"/>
      <c r="AD191" s="19" t="s">
        <v>833</v>
      </c>
      <c r="AE191" s="93">
        <v>2</v>
      </c>
    </row>
    <row r="192" spans="24:31" x14ac:dyDescent="0.25">
      <c r="X192" s="119">
        <v>53</v>
      </c>
      <c r="Y192" s="331">
        <v>41086</v>
      </c>
      <c r="Z192" s="108" t="s">
        <v>210</v>
      </c>
      <c r="AA192" s="92">
        <v>367</v>
      </c>
      <c r="AB192" s="94" t="s">
        <v>832</v>
      </c>
      <c r="AD192" s="554" t="s">
        <v>833</v>
      </c>
      <c r="AE192" s="93">
        <v>2</v>
      </c>
    </row>
    <row r="193" spans="24:31" x14ac:dyDescent="0.25">
      <c r="X193" s="119">
        <v>53</v>
      </c>
      <c r="Y193" s="331">
        <v>41086</v>
      </c>
      <c r="Z193" s="19" t="s">
        <v>251</v>
      </c>
      <c r="AA193" s="92">
        <v>27</v>
      </c>
      <c r="AB193" s="19" t="s">
        <v>843</v>
      </c>
      <c r="AD193" s="554" t="s">
        <v>833</v>
      </c>
      <c r="AE193" s="5">
        <v>3</v>
      </c>
    </row>
    <row r="194" spans="24:31" x14ac:dyDescent="0.25">
      <c r="X194" s="119">
        <v>54</v>
      </c>
      <c r="Y194" s="331">
        <v>41086</v>
      </c>
      <c r="Z194" s="19" t="s">
        <v>186</v>
      </c>
      <c r="AA194" s="92">
        <v>127</v>
      </c>
      <c r="AB194" s="19" t="s">
        <v>834</v>
      </c>
      <c r="AC194" s="19"/>
      <c r="AD194" s="19" t="s">
        <v>833</v>
      </c>
      <c r="AE194" s="93">
        <v>2</v>
      </c>
    </row>
    <row r="195" spans="24:31" x14ac:dyDescent="0.25">
      <c r="X195" s="119">
        <v>54</v>
      </c>
      <c r="Y195" s="331">
        <v>41086</v>
      </c>
      <c r="Z195" s="19" t="s">
        <v>180</v>
      </c>
      <c r="AA195" s="92">
        <v>446</v>
      </c>
      <c r="AB195" s="94" t="s">
        <v>835</v>
      </c>
      <c r="AD195" s="19" t="s">
        <v>833</v>
      </c>
      <c r="AE195" s="93">
        <v>2</v>
      </c>
    </row>
    <row r="196" spans="24:31" x14ac:dyDescent="0.25">
      <c r="X196" s="119">
        <v>54</v>
      </c>
      <c r="Y196" s="331">
        <v>41086</v>
      </c>
      <c r="Z196" s="108" t="s">
        <v>210</v>
      </c>
      <c r="AA196" s="92">
        <v>1007</v>
      </c>
      <c r="AB196" s="94" t="s">
        <v>832</v>
      </c>
      <c r="AD196" s="554" t="s">
        <v>833</v>
      </c>
      <c r="AE196" s="93">
        <v>2</v>
      </c>
    </row>
    <row r="197" spans="24:31" x14ac:dyDescent="0.25">
      <c r="X197" s="119">
        <v>54</v>
      </c>
      <c r="Y197" s="331">
        <v>41086</v>
      </c>
      <c r="Z197" s="19" t="s">
        <v>251</v>
      </c>
      <c r="AA197" s="92">
        <v>32</v>
      </c>
      <c r="AB197" s="19" t="s">
        <v>843</v>
      </c>
      <c r="AD197" s="554" t="s">
        <v>833</v>
      </c>
      <c r="AE197" s="5">
        <v>3</v>
      </c>
    </row>
    <row r="198" spans="24:31" x14ac:dyDescent="0.25">
      <c r="X198" s="119">
        <v>36</v>
      </c>
      <c r="Y198" s="331">
        <v>41086</v>
      </c>
      <c r="Z198" s="19" t="s">
        <v>186</v>
      </c>
      <c r="AA198" s="92">
        <v>6</v>
      </c>
      <c r="AB198" s="19" t="s">
        <v>834</v>
      </c>
      <c r="AC198" s="92"/>
      <c r="AD198" s="19" t="s">
        <v>833</v>
      </c>
      <c r="AE198" s="93">
        <v>2</v>
      </c>
    </row>
    <row r="199" spans="24:31" x14ac:dyDescent="0.25">
      <c r="X199" s="119">
        <v>36</v>
      </c>
      <c r="Y199" s="331">
        <v>41086</v>
      </c>
      <c r="Z199" s="19" t="s">
        <v>180</v>
      </c>
      <c r="AA199" s="92">
        <v>12</v>
      </c>
      <c r="AB199" s="94" t="s">
        <v>835</v>
      </c>
      <c r="AD199" s="19" t="s">
        <v>833</v>
      </c>
      <c r="AE199" s="93">
        <v>2</v>
      </c>
    </row>
    <row r="200" spans="24:31" x14ac:dyDescent="0.25">
      <c r="X200" s="119">
        <v>36</v>
      </c>
      <c r="Y200" s="331">
        <v>41086</v>
      </c>
      <c r="Z200" s="108" t="s">
        <v>210</v>
      </c>
      <c r="AA200" s="92">
        <v>209</v>
      </c>
      <c r="AB200" s="94" t="s">
        <v>832</v>
      </c>
      <c r="AD200" s="554" t="s">
        <v>833</v>
      </c>
      <c r="AE200" s="93">
        <v>2</v>
      </c>
    </row>
    <row r="201" spans="24:31" x14ac:dyDescent="0.25">
      <c r="X201" s="119">
        <v>36</v>
      </c>
      <c r="Y201" s="331">
        <v>41086</v>
      </c>
      <c r="Z201" s="19" t="s">
        <v>251</v>
      </c>
      <c r="AA201" s="92">
        <v>14</v>
      </c>
      <c r="AB201" s="19" t="s">
        <v>843</v>
      </c>
      <c r="AD201" s="554" t="s">
        <v>833</v>
      </c>
      <c r="AE201" s="5">
        <v>3</v>
      </c>
    </row>
    <row r="202" spans="24:31" x14ac:dyDescent="0.25">
      <c r="X202" s="119">
        <v>60</v>
      </c>
      <c r="Y202" s="331">
        <v>41086</v>
      </c>
      <c r="Z202" s="19" t="s">
        <v>186</v>
      </c>
      <c r="AA202" s="93">
        <v>6</v>
      </c>
      <c r="AB202" s="19" t="s">
        <v>834</v>
      </c>
      <c r="AC202" s="92"/>
      <c r="AD202" s="19" t="s">
        <v>833</v>
      </c>
      <c r="AE202" s="93">
        <v>2</v>
      </c>
    </row>
    <row r="203" spans="24:31" x14ac:dyDescent="0.25">
      <c r="X203" s="119">
        <v>60</v>
      </c>
      <c r="Y203" s="331">
        <v>41086</v>
      </c>
      <c r="Z203" s="19" t="s">
        <v>180</v>
      </c>
      <c r="AA203" s="92">
        <v>11</v>
      </c>
      <c r="AB203" s="94" t="s">
        <v>835</v>
      </c>
      <c r="AD203" s="19" t="s">
        <v>833</v>
      </c>
      <c r="AE203" s="93">
        <v>2</v>
      </c>
    </row>
    <row r="204" spans="24:31" x14ac:dyDescent="0.25">
      <c r="X204" s="119">
        <v>60</v>
      </c>
      <c r="Y204" s="331">
        <v>41086</v>
      </c>
      <c r="Z204" s="108" t="s">
        <v>210</v>
      </c>
      <c r="AA204" s="92">
        <v>190</v>
      </c>
      <c r="AB204" s="94" t="s">
        <v>832</v>
      </c>
      <c r="AD204" s="554" t="s">
        <v>833</v>
      </c>
      <c r="AE204" s="93">
        <v>2</v>
      </c>
    </row>
    <row r="205" spans="24:31" x14ac:dyDescent="0.25">
      <c r="X205" s="119">
        <v>60</v>
      </c>
      <c r="Y205" s="331">
        <v>41086</v>
      </c>
      <c r="Z205" s="19" t="s">
        <v>251</v>
      </c>
      <c r="AA205" s="92">
        <v>7</v>
      </c>
      <c r="AB205" s="19" t="s">
        <v>843</v>
      </c>
      <c r="AD205" s="554" t="s">
        <v>833</v>
      </c>
      <c r="AE205" s="5">
        <v>3</v>
      </c>
    </row>
    <row r="206" spans="24:31" x14ac:dyDescent="0.25">
      <c r="X206" s="119">
        <v>61</v>
      </c>
      <c r="Y206" s="331">
        <v>41086</v>
      </c>
      <c r="Z206" s="19" t="s">
        <v>186</v>
      </c>
      <c r="AA206" s="92">
        <v>5</v>
      </c>
      <c r="AB206" s="19" t="s">
        <v>834</v>
      </c>
      <c r="AD206" s="19" t="s">
        <v>833</v>
      </c>
      <c r="AE206" s="93">
        <v>2</v>
      </c>
    </row>
    <row r="207" spans="24:31" x14ac:dyDescent="0.25">
      <c r="X207" s="119">
        <v>61</v>
      </c>
      <c r="Y207" s="331">
        <v>41086</v>
      </c>
      <c r="Z207" s="19" t="s">
        <v>180</v>
      </c>
      <c r="AA207" s="92">
        <v>70</v>
      </c>
      <c r="AB207" s="286" t="s">
        <v>835</v>
      </c>
      <c r="AC207" s="19"/>
      <c r="AD207" s="19" t="s">
        <v>833</v>
      </c>
      <c r="AE207" s="93">
        <v>2</v>
      </c>
    </row>
    <row r="208" spans="24:31" x14ac:dyDescent="0.25">
      <c r="X208" s="119">
        <v>61</v>
      </c>
      <c r="Y208" s="331">
        <v>41086</v>
      </c>
      <c r="Z208" s="108" t="s">
        <v>210</v>
      </c>
      <c r="AA208" s="92">
        <v>813</v>
      </c>
      <c r="AB208" s="94" t="s">
        <v>832</v>
      </c>
      <c r="AD208" s="554" t="s">
        <v>833</v>
      </c>
      <c r="AE208" s="93">
        <v>2</v>
      </c>
    </row>
    <row r="209" spans="24:31" x14ac:dyDescent="0.25">
      <c r="X209" s="119">
        <v>61</v>
      </c>
      <c r="Y209" s="331">
        <v>41086</v>
      </c>
      <c r="Z209" s="19" t="s">
        <v>251</v>
      </c>
      <c r="AA209" s="92">
        <v>14</v>
      </c>
      <c r="AB209" s="19" t="s">
        <v>843</v>
      </c>
      <c r="AD209" s="554" t="s">
        <v>833</v>
      </c>
      <c r="AE209" s="5">
        <v>3</v>
      </c>
    </row>
    <row r="210" spans="24:31" x14ac:dyDescent="0.25">
      <c r="X210" s="119">
        <v>62</v>
      </c>
      <c r="Y210" s="331">
        <v>41086</v>
      </c>
      <c r="Z210" s="19" t="s">
        <v>186</v>
      </c>
      <c r="AA210" s="92">
        <v>6</v>
      </c>
      <c r="AB210" s="19" t="s">
        <v>834</v>
      </c>
      <c r="AC210" s="19"/>
      <c r="AD210" s="19" t="s">
        <v>833</v>
      </c>
      <c r="AE210" s="93">
        <v>2</v>
      </c>
    </row>
    <row r="211" spans="24:31" x14ac:dyDescent="0.25">
      <c r="X211" s="119">
        <v>62</v>
      </c>
      <c r="Y211" s="331">
        <v>41086</v>
      </c>
      <c r="Z211" s="19" t="s">
        <v>180</v>
      </c>
      <c r="AA211" s="92">
        <v>67</v>
      </c>
      <c r="AB211" s="94" t="s">
        <v>835</v>
      </c>
      <c r="AD211" s="19" t="s">
        <v>833</v>
      </c>
      <c r="AE211" s="93">
        <v>2</v>
      </c>
    </row>
    <row r="212" spans="24:31" x14ac:dyDescent="0.25">
      <c r="X212" s="119">
        <v>62</v>
      </c>
      <c r="Y212" s="331">
        <v>41086</v>
      </c>
      <c r="Z212" s="108" t="s">
        <v>210</v>
      </c>
      <c r="AA212" s="92">
        <v>1117</v>
      </c>
      <c r="AB212" s="94" t="s">
        <v>832</v>
      </c>
      <c r="AD212" s="554" t="s">
        <v>833</v>
      </c>
      <c r="AE212" s="93">
        <v>2</v>
      </c>
    </row>
    <row r="213" spans="24:31" x14ac:dyDescent="0.25">
      <c r="X213" s="119">
        <v>62</v>
      </c>
      <c r="Y213" s="331">
        <v>41086</v>
      </c>
      <c r="Z213" s="19" t="s">
        <v>251</v>
      </c>
      <c r="AA213" s="92">
        <v>13</v>
      </c>
      <c r="AB213" s="19" t="s">
        <v>843</v>
      </c>
      <c r="AD213" s="554" t="s">
        <v>833</v>
      </c>
      <c r="AE213" s="5">
        <v>3</v>
      </c>
    </row>
    <row r="214" spans="24:31" x14ac:dyDescent="0.25">
      <c r="X214" s="119">
        <v>63</v>
      </c>
      <c r="Y214" s="331">
        <v>41086</v>
      </c>
      <c r="Z214" s="19" t="s">
        <v>186</v>
      </c>
      <c r="AA214" s="92">
        <v>6</v>
      </c>
      <c r="AB214" s="19" t="s">
        <v>834</v>
      </c>
      <c r="AC214" s="19"/>
      <c r="AD214" s="19" t="s">
        <v>833</v>
      </c>
      <c r="AE214" s="93">
        <v>2</v>
      </c>
    </row>
    <row r="215" spans="24:31" x14ac:dyDescent="0.25">
      <c r="X215" s="119">
        <v>63</v>
      </c>
      <c r="Y215" s="331">
        <v>41086</v>
      </c>
      <c r="Z215" s="19" t="s">
        <v>180</v>
      </c>
      <c r="AA215" s="92">
        <v>532</v>
      </c>
      <c r="AB215" s="94" t="s">
        <v>835</v>
      </c>
      <c r="AD215" s="19" t="s">
        <v>833</v>
      </c>
      <c r="AE215" s="93">
        <v>2</v>
      </c>
    </row>
    <row r="216" spans="24:31" x14ac:dyDescent="0.25">
      <c r="X216" s="119">
        <v>63</v>
      </c>
      <c r="Y216" s="331">
        <v>41086</v>
      </c>
      <c r="Z216" s="108" t="s">
        <v>210</v>
      </c>
      <c r="AA216" s="92">
        <v>1979</v>
      </c>
      <c r="AB216" s="94" t="s">
        <v>832</v>
      </c>
      <c r="AD216" s="554" t="s">
        <v>833</v>
      </c>
      <c r="AE216" s="93">
        <v>2</v>
      </c>
    </row>
    <row r="217" spans="24:31" x14ac:dyDescent="0.25">
      <c r="X217" s="119">
        <v>63</v>
      </c>
      <c r="Y217" s="331">
        <v>41086</v>
      </c>
      <c r="Z217" s="19" t="s">
        <v>251</v>
      </c>
      <c r="AA217" s="92">
        <v>18</v>
      </c>
      <c r="AB217" s="19" t="s">
        <v>843</v>
      </c>
      <c r="AD217" s="554" t="s">
        <v>833</v>
      </c>
      <c r="AE217" s="5">
        <v>3</v>
      </c>
    </row>
    <row r="218" spans="24:31" x14ac:dyDescent="0.25">
      <c r="X218" s="119" t="s">
        <v>831</v>
      </c>
      <c r="Y218" s="331">
        <v>41085</v>
      </c>
      <c r="Z218" s="108" t="s">
        <v>210</v>
      </c>
      <c r="AA218" s="92">
        <v>595</v>
      </c>
      <c r="AB218" s="94" t="s">
        <v>832</v>
      </c>
      <c r="AC218" s="19"/>
      <c r="AD218" s="554" t="s">
        <v>833</v>
      </c>
      <c r="AE218" s="93">
        <v>2</v>
      </c>
    </row>
    <row r="219" spans="24:31" x14ac:dyDescent="0.25">
      <c r="X219" s="119" t="s">
        <v>831</v>
      </c>
      <c r="Y219" s="331">
        <v>41085</v>
      </c>
      <c r="Z219" s="19" t="s">
        <v>186</v>
      </c>
      <c r="AA219" s="92">
        <v>233</v>
      </c>
      <c r="AB219" s="19" t="s">
        <v>834</v>
      </c>
      <c r="AC219" s="92"/>
      <c r="AD219" s="19" t="s">
        <v>833</v>
      </c>
      <c r="AE219" s="93">
        <v>2</v>
      </c>
    </row>
    <row r="220" spans="24:31" x14ac:dyDescent="0.25">
      <c r="X220" s="119" t="s">
        <v>831</v>
      </c>
      <c r="Y220" s="331">
        <v>41085</v>
      </c>
      <c r="Z220" s="19" t="s">
        <v>180</v>
      </c>
      <c r="AA220" s="92">
        <v>37</v>
      </c>
      <c r="AB220" s="94" t="s">
        <v>835</v>
      </c>
      <c r="AC220" s="92"/>
      <c r="AD220" s="19" t="s">
        <v>833</v>
      </c>
      <c r="AE220" s="93">
        <v>2</v>
      </c>
    </row>
    <row r="221" spans="24:31" x14ac:dyDescent="0.25">
      <c r="X221" s="119" t="s">
        <v>831</v>
      </c>
      <c r="Y221" s="331">
        <v>41085</v>
      </c>
      <c r="Z221" s="96" t="s">
        <v>181</v>
      </c>
      <c r="AA221" s="95">
        <v>12</v>
      </c>
      <c r="AB221" s="94" t="s">
        <v>835</v>
      </c>
      <c r="AC221" s="554"/>
      <c r="AD221" s="19" t="s">
        <v>833</v>
      </c>
      <c r="AE221" s="109">
        <v>2</v>
      </c>
    </row>
    <row r="222" spans="24:31" x14ac:dyDescent="0.25">
      <c r="X222" s="119" t="s">
        <v>831</v>
      </c>
      <c r="Y222" s="331">
        <v>41085</v>
      </c>
      <c r="Z222" s="19" t="s">
        <v>185</v>
      </c>
      <c r="AA222" s="103">
        <v>12.5</v>
      </c>
      <c r="AB222" s="19" t="s">
        <v>836</v>
      </c>
      <c r="AC222" s="92"/>
      <c r="AD222" s="19" t="s">
        <v>838</v>
      </c>
      <c r="AE222" s="93">
        <v>4</v>
      </c>
    </row>
    <row r="223" spans="24:31" x14ac:dyDescent="0.25">
      <c r="X223" s="119" t="s">
        <v>839</v>
      </c>
      <c r="Y223" s="331">
        <v>41085</v>
      </c>
      <c r="Z223" s="96" t="s">
        <v>181</v>
      </c>
      <c r="AA223" s="95">
        <v>61</v>
      </c>
      <c r="AB223" s="94" t="s">
        <v>835</v>
      </c>
      <c r="AC223" s="554"/>
      <c r="AD223" s="19" t="s">
        <v>833</v>
      </c>
      <c r="AE223" s="109">
        <v>2</v>
      </c>
    </row>
    <row r="224" spans="24:31" x14ac:dyDescent="0.25">
      <c r="X224" s="119" t="s">
        <v>839</v>
      </c>
      <c r="Y224" s="331">
        <v>41085</v>
      </c>
      <c r="Z224" s="108" t="s">
        <v>210</v>
      </c>
      <c r="AA224" s="92">
        <v>1888</v>
      </c>
      <c r="AB224" s="94" t="s">
        <v>832</v>
      </c>
      <c r="AC224" s="19"/>
      <c r="AD224" s="554" t="s">
        <v>833</v>
      </c>
      <c r="AE224" s="93">
        <v>2</v>
      </c>
    </row>
    <row r="225" spans="24:31" x14ac:dyDescent="0.25">
      <c r="X225" s="119" t="s">
        <v>839</v>
      </c>
      <c r="Y225" s="331">
        <v>41085</v>
      </c>
      <c r="Z225" s="19" t="s">
        <v>186</v>
      </c>
      <c r="AA225" s="92">
        <v>1469</v>
      </c>
      <c r="AB225" s="19" t="s">
        <v>834</v>
      </c>
      <c r="AC225" s="92"/>
      <c r="AD225" s="19" t="s">
        <v>833</v>
      </c>
      <c r="AE225" s="93">
        <v>2</v>
      </c>
    </row>
    <row r="226" spans="24:31" x14ac:dyDescent="0.25">
      <c r="X226" s="119" t="s">
        <v>839</v>
      </c>
      <c r="Y226" s="331">
        <v>41085</v>
      </c>
      <c r="Z226" s="19" t="s">
        <v>180</v>
      </c>
      <c r="AA226" s="92">
        <v>90</v>
      </c>
      <c r="AB226" s="94" t="s">
        <v>835</v>
      </c>
      <c r="AC226" s="92"/>
      <c r="AD226" s="19" t="s">
        <v>833</v>
      </c>
      <c r="AE226" s="93">
        <v>2</v>
      </c>
    </row>
    <row r="227" spans="24:31" x14ac:dyDescent="0.25">
      <c r="X227" s="119" t="s">
        <v>839</v>
      </c>
      <c r="Y227" s="331">
        <v>41085</v>
      </c>
      <c r="Z227" s="19" t="s">
        <v>185</v>
      </c>
      <c r="AA227" s="103">
        <v>9.8000000000000007</v>
      </c>
      <c r="AB227" s="19" t="s">
        <v>836</v>
      </c>
      <c r="AC227" s="19"/>
      <c r="AD227" s="19" t="s">
        <v>838</v>
      </c>
      <c r="AE227" s="93">
        <v>4</v>
      </c>
    </row>
    <row r="228" spans="24:31" x14ac:dyDescent="0.25">
      <c r="X228" s="119">
        <v>45</v>
      </c>
      <c r="Y228" s="331">
        <v>41085</v>
      </c>
      <c r="Z228" s="96" t="s">
        <v>181</v>
      </c>
      <c r="AA228" s="95">
        <v>10</v>
      </c>
      <c r="AB228" s="94" t="s">
        <v>835</v>
      </c>
      <c r="AC228" s="554"/>
      <c r="AD228" s="19" t="s">
        <v>833</v>
      </c>
      <c r="AE228" s="109">
        <v>2</v>
      </c>
    </row>
    <row r="229" spans="24:31" x14ac:dyDescent="0.25">
      <c r="X229" s="119">
        <v>45</v>
      </c>
      <c r="Y229" s="331">
        <v>41085</v>
      </c>
      <c r="Z229" s="19" t="s">
        <v>186</v>
      </c>
      <c r="AA229" s="92">
        <v>21</v>
      </c>
      <c r="AB229" s="19" t="s">
        <v>834</v>
      </c>
      <c r="AC229" s="92"/>
      <c r="AD229" s="19" t="s">
        <v>833</v>
      </c>
      <c r="AE229" s="93">
        <v>2</v>
      </c>
    </row>
    <row r="230" spans="24:31" x14ac:dyDescent="0.25">
      <c r="X230" s="119">
        <v>45</v>
      </c>
      <c r="Y230" s="331">
        <v>41085</v>
      </c>
      <c r="Z230" s="19" t="s">
        <v>180</v>
      </c>
      <c r="AA230" s="92">
        <v>30</v>
      </c>
      <c r="AB230" s="94" t="s">
        <v>835</v>
      </c>
      <c r="AC230" s="19"/>
      <c r="AD230" s="19" t="s">
        <v>833</v>
      </c>
      <c r="AE230" s="93">
        <v>2</v>
      </c>
    </row>
    <row r="231" spans="24:31" x14ac:dyDescent="0.25">
      <c r="X231" s="119">
        <v>45</v>
      </c>
      <c r="Y231" s="331">
        <v>41085</v>
      </c>
      <c r="Z231" s="19" t="s">
        <v>185</v>
      </c>
      <c r="AA231" s="103">
        <v>8.3000000000000007</v>
      </c>
      <c r="AB231" s="19" t="s">
        <v>836</v>
      </c>
      <c r="AC231" s="19"/>
      <c r="AD231" s="19" t="s">
        <v>838</v>
      </c>
      <c r="AE231" s="93">
        <v>4</v>
      </c>
    </row>
    <row r="232" spans="24:31" x14ac:dyDescent="0.25">
      <c r="X232" s="119">
        <v>45</v>
      </c>
      <c r="Y232" s="331">
        <v>41085</v>
      </c>
      <c r="Z232" s="108" t="s">
        <v>210</v>
      </c>
      <c r="AA232" s="92">
        <v>435</v>
      </c>
      <c r="AB232" s="94" t="s">
        <v>832</v>
      </c>
      <c r="AC232" s="19"/>
      <c r="AD232" s="554" t="s">
        <v>833</v>
      </c>
      <c r="AE232" s="93">
        <v>2</v>
      </c>
    </row>
    <row r="233" spans="24:31" x14ac:dyDescent="0.25">
      <c r="X233" s="244" t="s">
        <v>840</v>
      </c>
      <c r="Y233" s="331">
        <v>41085</v>
      </c>
      <c r="Z233" s="96" t="s">
        <v>181</v>
      </c>
      <c r="AA233" s="95">
        <v>10</v>
      </c>
      <c r="AB233" s="94" t="s">
        <v>835</v>
      </c>
      <c r="AC233" s="554"/>
      <c r="AD233" s="19" t="s">
        <v>833</v>
      </c>
      <c r="AE233" s="109">
        <v>2</v>
      </c>
    </row>
    <row r="234" spans="24:31" x14ac:dyDescent="0.25">
      <c r="X234" s="244" t="s">
        <v>840</v>
      </c>
      <c r="Y234" s="331">
        <v>41085</v>
      </c>
      <c r="Z234" s="19" t="s">
        <v>186</v>
      </c>
      <c r="AA234" s="92">
        <v>21</v>
      </c>
      <c r="AB234" s="19" t="s">
        <v>834</v>
      </c>
      <c r="AC234" s="92"/>
      <c r="AD234" s="19" t="s">
        <v>833</v>
      </c>
      <c r="AE234" s="93">
        <v>2</v>
      </c>
    </row>
    <row r="235" spans="24:31" x14ac:dyDescent="0.25">
      <c r="X235" s="244" t="s">
        <v>840</v>
      </c>
      <c r="Y235" s="331">
        <v>41085</v>
      </c>
      <c r="Z235" s="19" t="s">
        <v>180</v>
      </c>
      <c r="AA235" s="92">
        <v>24</v>
      </c>
      <c r="AB235" s="94" t="s">
        <v>835</v>
      </c>
      <c r="AC235" s="19"/>
      <c r="AD235" s="19" t="s">
        <v>833</v>
      </c>
      <c r="AE235" s="93">
        <v>2</v>
      </c>
    </row>
    <row r="236" spans="24:31" x14ac:dyDescent="0.25">
      <c r="X236" s="244" t="s">
        <v>840</v>
      </c>
      <c r="Y236" s="331">
        <v>41085</v>
      </c>
      <c r="Z236" s="19" t="s">
        <v>185</v>
      </c>
      <c r="AA236" s="103">
        <v>4.9000000000000004</v>
      </c>
      <c r="AB236" s="19" t="s">
        <v>836</v>
      </c>
      <c r="AC236" s="19"/>
      <c r="AD236" s="19" t="s">
        <v>838</v>
      </c>
      <c r="AE236" s="93">
        <v>4</v>
      </c>
    </row>
    <row r="237" spans="24:31" x14ac:dyDescent="0.25">
      <c r="X237" s="244" t="s">
        <v>840</v>
      </c>
      <c r="Y237" s="331">
        <v>41085</v>
      </c>
      <c r="Z237" s="108" t="s">
        <v>210</v>
      </c>
      <c r="AA237" s="92">
        <v>583</v>
      </c>
      <c r="AB237" s="94" t="s">
        <v>832</v>
      </c>
      <c r="AC237" s="19"/>
      <c r="AD237" s="554" t="s">
        <v>833</v>
      </c>
      <c r="AE237" s="93">
        <v>2</v>
      </c>
    </row>
    <row r="238" spans="24:31" x14ac:dyDescent="0.25">
      <c r="X238" s="119" t="s">
        <v>840</v>
      </c>
      <c r="Y238" s="331">
        <v>41085</v>
      </c>
      <c r="Z238" s="108" t="s">
        <v>182</v>
      </c>
      <c r="AA238" s="504">
        <v>8</v>
      </c>
      <c r="AB238" s="97" t="s">
        <v>841</v>
      </c>
      <c r="AC238" s="10"/>
      <c r="AD238" s="19" t="s">
        <v>833</v>
      </c>
      <c r="AE238" s="109">
        <v>0.1</v>
      </c>
    </row>
    <row r="239" spans="24:31" x14ac:dyDescent="0.25">
      <c r="X239" s="119" t="s">
        <v>840</v>
      </c>
      <c r="Y239" s="331">
        <v>41085</v>
      </c>
      <c r="Z239" s="108" t="s">
        <v>182</v>
      </c>
      <c r="AA239" s="504">
        <v>9.1</v>
      </c>
      <c r="AB239" s="97" t="s">
        <v>841</v>
      </c>
      <c r="AC239" s="10"/>
      <c r="AD239" s="19" t="s">
        <v>833</v>
      </c>
      <c r="AE239" s="109">
        <v>0.1</v>
      </c>
    </row>
    <row r="240" spans="24:31" x14ac:dyDescent="0.25">
      <c r="X240" s="119" t="s">
        <v>842</v>
      </c>
      <c r="Y240" s="331">
        <v>41085</v>
      </c>
      <c r="Z240" s="96" t="s">
        <v>181</v>
      </c>
      <c r="AA240" s="95">
        <v>13</v>
      </c>
      <c r="AB240" s="94" t="s">
        <v>835</v>
      </c>
      <c r="AC240" s="554"/>
      <c r="AD240" s="19" t="s">
        <v>833</v>
      </c>
      <c r="AE240" s="109">
        <v>2</v>
      </c>
    </row>
    <row r="241" spans="24:31" x14ac:dyDescent="0.25">
      <c r="X241" s="119" t="s">
        <v>842</v>
      </c>
      <c r="Y241" s="331">
        <v>41085</v>
      </c>
      <c r="Z241" s="19" t="s">
        <v>186</v>
      </c>
      <c r="AA241" s="92">
        <v>18</v>
      </c>
      <c r="AB241" s="19" t="s">
        <v>834</v>
      </c>
      <c r="AC241" s="92"/>
      <c r="AD241" s="19" t="s">
        <v>833</v>
      </c>
      <c r="AE241" s="93">
        <v>2</v>
      </c>
    </row>
    <row r="242" spans="24:31" x14ac:dyDescent="0.25">
      <c r="X242" s="119" t="s">
        <v>842</v>
      </c>
      <c r="Y242" s="331">
        <v>41085</v>
      </c>
      <c r="Z242" s="19" t="s">
        <v>180</v>
      </c>
      <c r="AA242" s="92">
        <v>49</v>
      </c>
      <c r="AB242" s="94" t="s">
        <v>835</v>
      </c>
      <c r="AC242" s="19"/>
      <c r="AD242" s="19" t="s">
        <v>833</v>
      </c>
      <c r="AE242" s="93">
        <v>2</v>
      </c>
    </row>
    <row r="243" spans="24:31" x14ac:dyDescent="0.25">
      <c r="X243" s="119" t="s">
        <v>842</v>
      </c>
      <c r="Y243" s="331">
        <v>41085</v>
      </c>
      <c r="Z243" s="19" t="s">
        <v>185</v>
      </c>
      <c r="AA243" s="103">
        <v>17.600000000000001</v>
      </c>
      <c r="AB243" s="19" t="s">
        <v>836</v>
      </c>
      <c r="AC243" s="19"/>
      <c r="AD243" s="19" t="s">
        <v>838</v>
      </c>
      <c r="AE243" s="93">
        <v>4</v>
      </c>
    </row>
    <row r="244" spans="24:31" x14ac:dyDescent="0.25">
      <c r="X244" s="119" t="s">
        <v>842</v>
      </c>
      <c r="Y244" s="331">
        <v>41085</v>
      </c>
      <c r="Z244" s="108" t="s">
        <v>210</v>
      </c>
      <c r="AA244" s="92">
        <v>539</v>
      </c>
      <c r="AB244" s="94" t="s">
        <v>832</v>
      </c>
      <c r="AC244" s="19"/>
      <c r="AD244" s="554" t="s">
        <v>833</v>
      </c>
      <c r="AE244" s="93">
        <v>2</v>
      </c>
    </row>
    <row r="245" spans="24:31" x14ac:dyDescent="0.25">
      <c r="X245" s="119">
        <v>58</v>
      </c>
      <c r="Y245" s="331">
        <v>41102</v>
      </c>
      <c r="Z245" s="19" t="s">
        <v>186</v>
      </c>
      <c r="AA245" s="92">
        <v>36</v>
      </c>
      <c r="AB245" s="19" t="s">
        <v>844</v>
      </c>
      <c r="AC245" s="92"/>
      <c r="AD245" s="19" t="s">
        <v>833</v>
      </c>
      <c r="AE245" s="93">
        <v>2</v>
      </c>
    </row>
    <row r="246" spans="24:31" x14ac:dyDescent="0.25">
      <c r="X246" s="119">
        <v>58</v>
      </c>
      <c r="Y246" s="331">
        <v>41102</v>
      </c>
      <c r="Z246" s="19" t="s">
        <v>180</v>
      </c>
      <c r="AA246" s="92">
        <v>19</v>
      </c>
      <c r="AB246" s="94" t="s">
        <v>835</v>
      </c>
      <c r="AC246" s="19"/>
      <c r="AD246" s="19" t="s">
        <v>833</v>
      </c>
      <c r="AE246" s="93">
        <v>2</v>
      </c>
    </row>
    <row r="247" spans="24:31" x14ac:dyDescent="0.25">
      <c r="X247" s="119">
        <v>58</v>
      </c>
      <c r="Y247" s="331">
        <v>41102</v>
      </c>
      <c r="Z247" s="19" t="s">
        <v>251</v>
      </c>
      <c r="AA247" s="92">
        <v>40</v>
      </c>
      <c r="AB247" s="19" t="s">
        <v>843</v>
      </c>
      <c r="AD247" s="554" t="s">
        <v>833</v>
      </c>
      <c r="AE247" s="5">
        <v>3</v>
      </c>
    </row>
    <row r="248" spans="24:31" x14ac:dyDescent="0.25">
      <c r="X248" s="119">
        <v>58</v>
      </c>
      <c r="Y248" s="331">
        <v>41102</v>
      </c>
      <c r="Z248" s="108" t="s">
        <v>210</v>
      </c>
      <c r="AA248" s="92">
        <v>182</v>
      </c>
      <c r="AB248" s="94" t="s">
        <v>832</v>
      </c>
      <c r="AC248" s="19"/>
      <c r="AD248" s="554" t="s">
        <v>833</v>
      </c>
      <c r="AE248" s="93">
        <v>2</v>
      </c>
    </row>
    <row r="249" spans="24:31" x14ac:dyDescent="0.25">
      <c r="X249" s="119">
        <v>25</v>
      </c>
      <c r="Y249" s="331">
        <v>41102</v>
      </c>
      <c r="Z249" s="19" t="s">
        <v>186</v>
      </c>
      <c r="AA249" s="92">
        <v>5</v>
      </c>
      <c r="AB249" s="19" t="s">
        <v>844</v>
      </c>
      <c r="AC249" s="92"/>
      <c r="AD249" s="19" t="s">
        <v>833</v>
      </c>
      <c r="AE249" s="93">
        <v>2</v>
      </c>
    </row>
    <row r="250" spans="24:31" x14ac:dyDescent="0.25">
      <c r="X250" s="119">
        <v>25</v>
      </c>
      <c r="Y250" s="331">
        <v>41102</v>
      </c>
      <c r="Z250" s="19" t="s">
        <v>180</v>
      </c>
      <c r="AA250" s="92">
        <v>12</v>
      </c>
      <c r="AB250" s="94" t="s">
        <v>835</v>
      </c>
      <c r="AC250" s="92"/>
      <c r="AD250" s="19" t="s">
        <v>833</v>
      </c>
      <c r="AE250" s="93">
        <v>2</v>
      </c>
    </row>
    <row r="251" spans="24:31" x14ac:dyDescent="0.25">
      <c r="X251" s="119">
        <v>25</v>
      </c>
      <c r="Y251" s="331">
        <v>41102</v>
      </c>
      <c r="Z251" s="19" t="s">
        <v>251</v>
      </c>
      <c r="AA251" s="92">
        <v>22</v>
      </c>
      <c r="AB251" s="19" t="s">
        <v>843</v>
      </c>
      <c r="AD251" s="554" t="s">
        <v>833</v>
      </c>
      <c r="AE251" s="5">
        <v>3</v>
      </c>
    </row>
    <row r="252" spans="24:31" x14ac:dyDescent="0.25">
      <c r="X252" s="119">
        <v>25</v>
      </c>
      <c r="Y252" s="331">
        <v>41102</v>
      </c>
      <c r="Z252" s="108" t="s">
        <v>210</v>
      </c>
      <c r="AA252" s="92">
        <v>92</v>
      </c>
      <c r="AB252" s="94" t="s">
        <v>832</v>
      </c>
      <c r="AC252" s="19"/>
      <c r="AD252" s="554" t="s">
        <v>833</v>
      </c>
      <c r="AE252" s="93">
        <v>2</v>
      </c>
    </row>
    <row r="253" spans="24:31" x14ac:dyDescent="0.25">
      <c r="X253" s="119" t="s">
        <v>845</v>
      </c>
      <c r="Y253" s="331">
        <v>41102</v>
      </c>
      <c r="Z253" s="19" t="s">
        <v>186</v>
      </c>
      <c r="AA253" s="92">
        <v>17</v>
      </c>
      <c r="AB253" s="19" t="s">
        <v>844</v>
      </c>
      <c r="AC253" s="92"/>
      <c r="AD253" s="19" t="s">
        <v>833</v>
      </c>
      <c r="AE253" s="93">
        <v>2</v>
      </c>
    </row>
    <row r="254" spans="24:31" x14ac:dyDescent="0.25">
      <c r="X254" s="119" t="s">
        <v>845</v>
      </c>
      <c r="Y254" s="331">
        <v>41102</v>
      </c>
      <c r="Z254" s="19" t="s">
        <v>180</v>
      </c>
      <c r="AA254" s="92">
        <v>22</v>
      </c>
      <c r="AB254" s="94" t="s">
        <v>835</v>
      </c>
      <c r="AC254" s="19"/>
      <c r="AD254" s="19" t="s">
        <v>833</v>
      </c>
      <c r="AE254" s="93">
        <v>2</v>
      </c>
    </row>
    <row r="255" spans="24:31" x14ac:dyDescent="0.25">
      <c r="X255" s="119" t="s">
        <v>845</v>
      </c>
      <c r="Y255" s="331">
        <v>41102</v>
      </c>
      <c r="Z255" s="19" t="s">
        <v>251</v>
      </c>
      <c r="AA255" s="92">
        <v>29</v>
      </c>
      <c r="AB255" s="19" t="s">
        <v>843</v>
      </c>
      <c r="AD255" s="554" t="s">
        <v>833</v>
      </c>
      <c r="AE255" s="5">
        <v>3</v>
      </c>
    </row>
    <row r="256" spans="24:31" x14ac:dyDescent="0.25">
      <c r="X256" s="119" t="s">
        <v>845</v>
      </c>
      <c r="Y256" s="331">
        <v>41102</v>
      </c>
      <c r="Z256" s="108" t="s">
        <v>210</v>
      </c>
      <c r="AA256" s="92">
        <v>132</v>
      </c>
      <c r="AB256" s="94" t="s">
        <v>832</v>
      </c>
      <c r="AC256" s="19"/>
      <c r="AD256" s="554" t="s">
        <v>833</v>
      </c>
      <c r="AE256" s="93">
        <v>2</v>
      </c>
    </row>
    <row r="257" spans="24:31" x14ac:dyDescent="0.25">
      <c r="X257" s="119" t="s">
        <v>846</v>
      </c>
      <c r="Y257" s="331">
        <v>41102</v>
      </c>
      <c r="Z257" s="19" t="s">
        <v>186</v>
      </c>
      <c r="AA257" s="92">
        <v>22</v>
      </c>
      <c r="AB257" s="19" t="s">
        <v>844</v>
      </c>
      <c r="AC257" s="92"/>
      <c r="AD257" s="19" t="s">
        <v>833</v>
      </c>
      <c r="AE257" s="93">
        <v>2</v>
      </c>
    </row>
    <row r="258" spans="24:31" x14ac:dyDescent="0.25">
      <c r="X258" s="119" t="s">
        <v>846</v>
      </c>
      <c r="Y258" s="331">
        <v>41102</v>
      </c>
      <c r="Z258" s="19" t="s">
        <v>180</v>
      </c>
      <c r="AA258" s="92">
        <v>32</v>
      </c>
      <c r="AB258" s="94" t="s">
        <v>835</v>
      </c>
      <c r="AC258" s="19"/>
      <c r="AD258" s="19" t="s">
        <v>833</v>
      </c>
      <c r="AE258" s="93">
        <v>2</v>
      </c>
    </row>
    <row r="259" spans="24:31" x14ac:dyDescent="0.25">
      <c r="X259" s="119" t="s">
        <v>846</v>
      </c>
      <c r="Y259" s="331">
        <v>41102</v>
      </c>
      <c r="Z259" s="19" t="s">
        <v>251</v>
      </c>
      <c r="AA259" s="92">
        <v>28</v>
      </c>
      <c r="AB259" s="19" t="s">
        <v>843</v>
      </c>
      <c r="AD259" s="554" t="s">
        <v>833</v>
      </c>
      <c r="AE259" s="5">
        <v>3</v>
      </c>
    </row>
    <row r="260" spans="24:31" x14ac:dyDescent="0.25">
      <c r="X260" s="119" t="s">
        <v>846</v>
      </c>
      <c r="Y260" s="331">
        <v>41102</v>
      </c>
      <c r="Z260" s="108" t="s">
        <v>210</v>
      </c>
      <c r="AA260" s="92">
        <v>208</v>
      </c>
      <c r="AB260" s="94" t="s">
        <v>832</v>
      </c>
      <c r="AC260" s="19"/>
      <c r="AD260" s="554" t="s">
        <v>833</v>
      </c>
      <c r="AE260" s="93">
        <v>2</v>
      </c>
    </row>
    <row r="261" spans="24:31" x14ac:dyDescent="0.25">
      <c r="X261" s="119">
        <v>5</v>
      </c>
      <c r="Y261" s="331">
        <v>41102</v>
      </c>
      <c r="Z261" s="19" t="s">
        <v>186</v>
      </c>
      <c r="AA261" s="92">
        <v>3</v>
      </c>
      <c r="AB261" s="19" t="s">
        <v>844</v>
      </c>
      <c r="AC261" s="92"/>
      <c r="AD261" s="19" t="s">
        <v>833</v>
      </c>
      <c r="AE261" s="93">
        <v>2</v>
      </c>
    </row>
    <row r="262" spans="24:31" x14ac:dyDescent="0.25">
      <c r="X262" s="119">
        <v>5</v>
      </c>
      <c r="Y262" s="331">
        <v>41102</v>
      </c>
      <c r="Z262" s="19" t="s">
        <v>180</v>
      </c>
      <c r="AA262" s="92">
        <v>48</v>
      </c>
      <c r="AB262" s="94" t="s">
        <v>835</v>
      </c>
      <c r="AC262" s="19"/>
      <c r="AD262" s="19" t="s">
        <v>833</v>
      </c>
      <c r="AE262" s="93">
        <v>2</v>
      </c>
    </row>
    <row r="263" spans="24:31" x14ac:dyDescent="0.25">
      <c r="X263" s="119">
        <v>5</v>
      </c>
      <c r="Y263" s="331">
        <v>41102</v>
      </c>
      <c r="Z263" s="19" t="s">
        <v>251</v>
      </c>
      <c r="AA263" s="92">
        <v>25</v>
      </c>
      <c r="AB263" s="19" t="s">
        <v>843</v>
      </c>
      <c r="AD263" s="554" t="s">
        <v>833</v>
      </c>
      <c r="AE263" s="5">
        <v>3</v>
      </c>
    </row>
    <row r="264" spans="24:31" x14ac:dyDescent="0.25">
      <c r="X264" s="119">
        <v>5</v>
      </c>
      <c r="Y264" s="331">
        <v>41102</v>
      </c>
      <c r="Z264" s="108" t="s">
        <v>210</v>
      </c>
      <c r="AA264" s="92">
        <v>410</v>
      </c>
      <c r="AB264" s="94" t="s">
        <v>832</v>
      </c>
      <c r="AC264" s="19"/>
      <c r="AD264" s="554" t="s">
        <v>833</v>
      </c>
      <c r="AE264" s="93">
        <v>2</v>
      </c>
    </row>
    <row r="265" spans="24:31" x14ac:dyDescent="0.25">
      <c r="X265" s="119" t="s">
        <v>574</v>
      </c>
      <c r="Y265" s="331">
        <v>41102</v>
      </c>
      <c r="Z265" s="19" t="s">
        <v>186</v>
      </c>
      <c r="AA265" s="92">
        <v>186</v>
      </c>
      <c r="AB265" s="19" t="s">
        <v>844</v>
      </c>
      <c r="AC265" s="92"/>
      <c r="AD265" s="19" t="s">
        <v>833</v>
      </c>
      <c r="AE265" s="93">
        <v>2</v>
      </c>
    </row>
    <row r="266" spans="24:31" x14ac:dyDescent="0.25">
      <c r="X266" s="119" t="s">
        <v>574</v>
      </c>
      <c r="Y266" s="331">
        <v>41102</v>
      </c>
      <c r="Z266" s="19" t="s">
        <v>180</v>
      </c>
      <c r="AA266" s="92">
        <v>53</v>
      </c>
      <c r="AB266" s="94" t="s">
        <v>835</v>
      </c>
      <c r="AC266" s="19"/>
      <c r="AD266" s="19" t="s">
        <v>833</v>
      </c>
      <c r="AE266" s="93">
        <v>2</v>
      </c>
    </row>
    <row r="267" spans="24:31" x14ac:dyDescent="0.25">
      <c r="X267" s="119" t="s">
        <v>574</v>
      </c>
      <c r="Y267" s="331">
        <v>41102</v>
      </c>
      <c r="Z267" s="19" t="s">
        <v>251</v>
      </c>
      <c r="AA267" s="92">
        <v>16</v>
      </c>
      <c r="AB267" s="19" t="s">
        <v>843</v>
      </c>
      <c r="AD267" s="554" t="s">
        <v>833</v>
      </c>
      <c r="AE267" s="5">
        <v>3</v>
      </c>
    </row>
    <row r="268" spans="24:31" x14ac:dyDescent="0.25">
      <c r="X268" s="119" t="s">
        <v>574</v>
      </c>
      <c r="Y268" s="331">
        <v>41102</v>
      </c>
      <c r="Z268" s="108" t="s">
        <v>210</v>
      </c>
      <c r="AA268" s="92">
        <v>598</v>
      </c>
      <c r="AB268" s="94" t="s">
        <v>832</v>
      </c>
      <c r="AC268" s="19"/>
      <c r="AD268" s="554" t="s">
        <v>833</v>
      </c>
      <c r="AE268" s="93">
        <v>2</v>
      </c>
    </row>
    <row r="269" spans="24:31" x14ac:dyDescent="0.25">
      <c r="X269" s="119">
        <v>9</v>
      </c>
      <c r="Y269" s="331">
        <v>41102</v>
      </c>
      <c r="Z269" s="19" t="s">
        <v>186</v>
      </c>
      <c r="AA269" s="92">
        <v>200</v>
      </c>
      <c r="AB269" s="19" t="s">
        <v>844</v>
      </c>
      <c r="AC269" s="92"/>
      <c r="AD269" s="19" t="s">
        <v>833</v>
      </c>
      <c r="AE269" s="93">
        <v>2</v>
      </c>
    </row>
    <row r="270" spans="24:31" x14ac:dyDescent="0.25">
      <c r="X270" s="119">
        <v>9</v>
      </c>
      <c r="Y270" s="331">
        <v>41102</v>
      </c>
      <c r="Z270" s="19" t="s">
        <v>180</v>
      </c>
      <c r="AA270" s="92">
        <v>48</v>
      </c>
      <c r="AB270" s="94" t="s">
        <v>835</v>
      </c>
      <c r="AC270" s="19"/>
      <c r="AD270" s="19" t="s">
        <v>833</v>
      </c>
      <c r="AE270" s="93">
        <v>2</v>
      </c>
    </row>
    <row r="271" spans="24:31" x14ac:dyDescent="0.25">
      <c r="X271" s="119">
        <v>9</v>
      </c>
      <c r="Y271" s="331">
        <v>41102</v>
      </c>
      <c r="Z271" s="19" t="s">
        <v>251</v>
      </c>
      <c r="AA271" s="92">
        <v>38</v>
      </c>
      <c r="AB271" s="19" t="s">
        <v>843</v>
      </c>
      <c r="AD271" s="554" t="s">
        <v>833</v>
      </c>
      <c r="AE271" s="5">
        <v>3</v>
      </c>
    </row>
    <row r="272" spans="24:31" x14ac:dyDescent="0.25">
      <c r="X272" s="119">
        <v>9</v>
      </c>
      <c r="Y272" s="331">
        <v>41102</v>
      </c>
      <c r="Z272" s="108" t="s">
        <v>210</v>
      </c>
      <c r="AA272" s="92">
        <v>602</v>
      </c>
      <c r="AB272" s="94" t="s">
        <v>832</v>
      </c>
      <c r="AC272" s="19"/>
      <c r="AD272" s="554" t="s">
        <v>833</v>
      </c>
      <c r="AE272" s="93">
        <v>2</v>
      </c>
    </row>
    <row r="273" spans="24:31" x14ac:dyDescent="0.25">
      <c r="X273" s="119">
        <v>12</v>
      </c>
      <c r="Y273" s="331">
        <v>41102</v>
      </c>
      <c r="Z273" s="19" t="s">
        <v>186</v>
      </c>
      <c r="AA273" s="92">
        <v>252</v>
      </c>
      <c r="AB273" s="19" t="s">
        <v>844</v>
      </c>
      <c r="AC273" s="92"/>
      <c r="AD273" s="19" t="s">
        <v>833</v>
      </c>
      <c r="AE273" s="93">
        <v>2</v>
      </c>
    </row>
    <row r="274" spans="24:31" x14ac:dyDescent="0.25">
      <c r="X274" s="119">
        <v>12</v>
      </c>
      <c r="Y274" s="331">
        <v>41102</v>
      </c>
      <c r="Z274" s="19" t="s">
        <v>180</v>
      </c>
      <c r="AA274" s="92">
        <v>60</v>
      </c>
      <c r="AB274" s="94" t="s">
        <v>835</v>
      </c>
      <c r="AC274" s="19"/>
      <c r="AD274" s="19" t="s">
        <v>833</v>
      </c>
      <c r="AE274" s="93">
        <v>2</v>
      </c>
    </row>
    <row r="275" spans="24:31" x14ac:dyDescent="0.25">
      <c r="X275" s="119">
        <v>12</v>
      </c>
      <c r="Y275" s="331">
        <v>41102</v>
      </c>
      <c r="Z275" s="19" t="s">
        <v>251</v>
      </c>
      <c r="AA275" s="92">
        <v>46</v>
      </c>
      <c r="AB275" s="19" t="s">
        <v>843</v>
      </c>
      <c r="AD275" s="554" t="s">
        <v>833</v>
      </c>
      <c r="AE275" s="5">
        <v>3</v>
      </c>
    </row>
    <row r="276" spans="24:31" x14ac:dyDescent="0.25">
      <c r="X276" s="119">
        <v>12</v>
      </c>
      <c r="Y276" s="331">
        <v>41102</v>
      </c>
      <c r="Z276" s="108" t="s">
        <v>210</v>
      </c>
      <c r="AA276" s="92">
        <v>603</v>
      </c>
      <c r="AB276" s="94" t="s">
        <v>832</v>
      </c>
      <c r="AC276" s="19"/>
      <c r="AD276" s="554" t="s">
        <v>833</v>
      </c>
      <c r="AE276" s="93">
        <v>2</v>
      </c>
    </row>
    <row r="277" spans="24:31" x14ac:dyDescent="0.25">
      <c r="X277" s="119" t="s">
        <v>575</v>
      </c>
      <c r="Y277" s="331">
        <v>41102</v>
      </c>
      <c r="Z277" s="19" t="s">
        <v>186</v>
      </c>
      <c r="AA277" s="92">
        <v>292</v>
      </c>
      <c r="AB277" s="19" t="s">
        <v>844</v>
      </c>
      <c r="AC277" s="92"/>
      <c r="AD277" s="19" t="s">
        <v>833</v>
      </c>
      <c r="AE277" s="93">
        <v>2</v>
      </c>
    </row>
    <row r="278" spans="24:31" x14ac:dyDescent="0.25">
      <c r="X278" s="119" t="s">
        <v>575</v>
      </c>
      <c r="Y278" s="331">
        <v>41102</v>
      </c>
      <c r="Z278" s="19" t="s">
        <v>180</v>
      </c>
      <c r="AA278" s="92">
        <v>63</v>
      </c>
      <c r="AB278" s="94" t="s">
        <v>835</v>
      </c>
      <c r="AC278" s="19"/>
      <c r="AD278" s="19" t="s">
        <v>833</v>
      </c>
      <c r="AE278" s="93">
        <v>2</v>
      </c>
    </row>
    <row r="279" spans="24:31" x14ac:dyDescent="0.25">
      <c r="X279" s="119" t="s">
        <v>575</v>
      </c>
      <c r="Y279" s="331">
        <v>41102</v>
      </c>
      <c r="Z279" s="19" t="s">
        <v>251</v>
      </c>
      <c r="AA279" s="92">
        <v>46</v>
      </c>
      <c r="AB279" s="19" t="s">
        <v>843</v>
      </c>
      <c r="AD279" s="554" t="s">
        <v>833</v>
      </c>
      <c r="AE279" s="5">
        <v>3</v>
      </c>
    </row>
    <row r="280" spans="24:31" x14ac:dyDescent="0.25">
      <c r="X280" s="119" t="s">
        <v>575</v>
      </c>
      <c r="Y280" s="331">
        <v>41102</v>
      </c>
      <c r="Z280" s="108" t="s">
        <v>210</v>
      </c>
      <c r="AA280" s="92">
        <v>656</v>
      </c>
      <c r="AB280" s="94" t="s">
        <v>832</v>
      </c>
      <c r="AC280" s="19"/>
      <c r="AD280" s="554" t="s">
        <v>833</v>
      </c>
      <c r="AE280" s="93">
        <v>2</v>
      </c>
    </row>
    <row r="281" spans="24:31" x14ac:dyDescent="0.25">
      <c r="X281" s="119" t="s">
        <v>847</v>
      </c>
      <c r="Y281" s="331">
        <v>41102</v>
      </c>
      <c r="Z281" s="19" t="s">
        <v>186</v>
      </c>
      <c r="AA281" s="92">
        <v>177</v>
      </c>
      <c r="AB281" s="19" t="s">
        <v>844</v>
      </c>
      <c r="AC281" s="92"/>
      <c r="AD281" s="19" t="s">
        <v>833</v>
      </c>
      <c r="AE281" s="93">
        <v>2</v>
      </c>
    </row>
    <row r="282" spans="24:31" x14ac:dyDescent="0.25">
      <c r="X282" s="119" t="s">
        <v>847</v>
      </c>
      <c r="Y282" s="331">
        <v>41102</v>
      </c>
      <c r="Z282" s="19" t="s">
        <v>180</v>
      </c>
      <c r="AA282" s="92">
        <v>60</v>
      </c>
      <c r="AB282" s="94" t="s">
        <v>835</v>
      </c>
      <c r="AC282" s="19"/>
      <c r="AD282" s="19" t="s">
        <v>833</v>
      </c>
      <c r="AE282" s="93">
        <v>2</v>
      </c>
    </row>
    <row r="283" spans="24:31" x14ac:dyDescent="0.25">
      <c r="X283" s="119" t="s">
        <v>847</v>
      </c>
      <c r="Y283" s="331">
        <v>41102</v>
      </c>
      <c r="Z283" s="19" t="s">
        <v>251</v>
      </c>
      <c r="AA283" s="92">
        <v>36</v>
      </c>
      <c r="AB283" s="19" t="s">
        <v>843</v>
      </c>
      <c r="AD283" s="554" t="s">
        <v>833</v>
      </c>
      <c r="AE283" s="5">
        <v>3</v>
      </c>
    </row>
    <row r="284" spans="24:31" x14ac:dyDescent="0.25">
      <c r="X284" s="119" t="s">
        <v>847</v>
      </c>
      <c r="Y284" s="331">
        <v>41102</v>
      </c>
      <c r="Z284" s="108" t="s">
        <v>210</v>
      </c>
      <c r="AA284" s="92">
        <v>433</v>
      </c>
      <c r="AB284" s="94" t="s">
        <v>832</v>
      </c>
      <c r="AC284" s="19"/>
      <c r="AD284" s="554" t="s">
        <v>833</v>
      </c>
      <c r="AE284" s="93">
        <v>2</v>
      </c>
    </row>
    <row r="285" spans="24:31" x14ac:dyDescent="0.25">
      <c r="X285" s="119">
        <v>19</v>
      </c>
      <c r="Y285" s="331">
        <v>41102</v>
      </c>
      <c r="Z285" s="19" t="s">
        <v>186</v>
      </c>
      <c r="AA285" s="92">
        <v>12</v>
      </c>
      <c r="AB285" s="19" t="s">
        <v>844</v>
      </c>
      <c r="AC285" s="92"/>
      <c r="AD285" s="19" t="s">
        <v>833</v>
      </c>
      <c r="AE285" s="93">
        <v>2</v>
      </c>
    </row>
    <row r="286" spans="24:31" x14ac:dyDescent="0.25">
      <c r="X286" s="119">
        <v>19</v>
      </c>
      <c r="Y286" s="331">
        <v>41102</v>
      </c>
      <c r="Z286" s="19" t="s">
        <v>180</v>
      </c>
      <c r="AA286" s="92">
        <v>18</v>
      </c>
      <c r="AB286" s="94" t="s">
        <v>835</v>
      </c>
      <c r="AC286" s="19"/>
      <c r="AD286" s="19" t="s">
        <v>833</v>
      </c>
      <c r="AE286" s="93">
        <v>2</v>
      </c>
    </row>
    <row r="287" spans="24:31" x14ac:dyDescent="0.25">
      <c r="X287" s="119">
        <v>19</v>
      </c>
      <c r="Y287" s="331">
        <v>41102</v>
      </c>
      <c r="Z287" s="19" t="s">
        <v>251</v>
      </c>
      <c r="AA287" s="92">
        <v>41</v>
      </c>
      <c r="AB287" s="19" t="s">
        <v>843</v>
      </c>
      <c r="AC287" s="92"/>
      <c r="AD287" s="554" t="s">
        <v>833</v>
      </c>
      <c r="AE287" s="5">
        <v>3</v>
      </c>
    </row>
    <row r="288" spans="24:31" x14ac:dyDescent="0.25">
      <c r="X288" s="119">
        <v>19</v>
      </c>
      <c r="Y288" s="331">
        <v>41102</v>
      </c>
      <c r="Z288" s="108" t="s">
        <v>210</v>
      </c>
      <c r="AA288" s="92">
        <v>483</v>
      </c>
      <c r="AB288" s="94" t="s">
        <v>832</v>
      </c>
      <c r="AC288" s="19"/>
      <c r="AD288" s="554" t="s">
        <v>833</v>
      </c>
      <c r="AE288" s="93">
        <v>2</v>
      </c>
    </row>
    <row r="289" spans="24:31" x14ac:dyDescent="0.25">
      <c r="X289" s="119" t="s">
        <v>848</v>
      </c>
      <c r="Y289" s="331">
        <v>41102</v>
      </c>
      <c r="Z289" s="19" t="s">
        <v>186</v>
      </c>
      <c r="AA289" s="92">
        <v>36</v>
      </c>
      <c r="AB289" s="19" t="s">
        <v>844</v>
      </c>
      <c r="AC289" s="92"/>
      <c r="AD289" s="19" t="s">
        <v>833</v>
      </c>
      <c r="AE289" s="93">
        <v>2</v>
      </c>
    </row>
    <row r="290" spans="24:31" x14ac:dyDescent="0.25">
      <c r="X290" s="119" t="s">
        <v>848</v>
      </c>
      <c r="Y290" s="331">
        <v>41102</v>
      </c>
      <c r="Z290" s="19" t="s">
        <v>180</v>
      </c>
      <c r="AA290" s="92">
        <v>27</v>
      </c>
      <c r="AB290" s="94" t="s">
        <v>835</v>
      </c>
      <c r="AC290" s="19"/>
      <c r="AD290" s="19" t="s">
        <v>833</v>
      </c>
      <c r="AE290" s="93">
        <v>2</v>
      </c>
    </row>
    <row r="291" spans="24:31" x14ac:dyDescent="0.25">
      <c r="X291" s="119" t="s">
        <v>848</v>
      </c>
      <c r="Y291" s="331">
        <v>41102</v>
      </c>
      <c r="Z291" s="19" t="s">
        <v>251</v>
      </c>
      <c r="AA291" s="92">
        <v>40</v>
      </c>
      <c r="AB291" s="19" t="s">
        <v>843</v>
      </c>
      <c r="AD291" s="554" t="s">
        <v>833</v>
      </c>
      <c r="AE291" s="5">
        <v>3</v>
      </c>
    </row>
    <row r="292" spans="24:31" x14ac:dyDescent="0.25">
      <c r="X292" s="119" t="s">
        <v>848</v>
      </c>
      <c r="Y292" s="331">
        <v>41102</v>
      </c>
      <c r="Z292" s="108" t="s">
        <v>210</v>
      </c>
      <c r="AA292" s="92">
        <v>313</v>
      </c>
      <c r="AB292" s="94" t="s">
        <v>832</v>
      </c>
      <c r="AC292" s="19"/>
      <c r="AD292" s="554" t="s">
        <v>833</v>
      </c>
      <c r="AE292" s="93">
        <v>2</v>
      </c>
    </row>
    <row r="293" spans="24:31" x14ac:dyDescent="0.25">
      <c r="X293" s="119">
        <v>35</v>
      </c>
      <c r="Y293" s="331">
        <v>41102</v>
      </c>
      <c r="Z293" s="19" t="s">
        <v>186</v>
      </c>
      <c r="AA293" s="92">
        <v>266</v>
      </c>
      <c r="AB293" s="19" t="s">
        <v>844</v>
      </c>
      <c r="AC293" s="92"/>
      <c r="AD293" s="19" t="s">
        <v>833</v>
      </c>
      <c r="AE293" s="93">
        <v>2</v>
      </c>
    </row>
    <row r="294" spans="24:31" x14ac:dyDescent="0.25">
      <c r="X294" s="119">
        <v>35</v>
      </c>
      <c r="Y294" s="331">
        <v>41102</v>
      </c>
      <c r="Z294" s="19" t="s">
        <v>180</v>
      </c>
      <c r="AA294" s="92">
        <v>16</v>
      </c>
      <c r="AB294" s="94" t="s">
        <v>835</v>
      </c>
      <c r="AC294" s="19"/>
      <c r="AD294" s="19" t="s">
        <v>833</v>
      </c>
      <c r="AE294" s="93">
        <v>2</v>
      </c>
    </row>
    <row r="295" spans="24:31" x14ac:dyDescent="0.25">
      <c r="X295" s="119">
        <v>35</v>
      </c>
      <c r="Y295" s="331">
        <v>41102</v>
      </c>
      <c r="Z295" s="19" t="s">
        <v>251</v>
      </c>
      <c r="AA295" s="92">
        <v>30</v>
      </c>
      <c r="AB295" s="19" t="s">
        <v>843</v>
      </c>
      <c r="AD295" s="554" t="s">
        <v>833</v>
      </c>
      <c r="AE295" s="5">
        <v>3</v>
      </c>
    </row>
    <row r="296" spans="24:31" x14ac:dyDescent="0.25">
      <c r="X296" s="119">
        <v>35</v>
      </c>
      <c r="Y296" s="331">
        <v>41102</v>
      </c>
      <c r="Z296" s="108" t="s">
        <v>210</v>
      </c>
      <c r="AA296" s="92">
        <v>397</v>
      </c>
      <c r="AB296" s="94" t="s">
        <v>832</v>
      </c>
      <c r="AC296" s="19"/>
      <c r="AD296" s="554" t="s">
        <v>833</v>
      </c>
      <c r="AE296" s="93">
        <v>2</v>
      </c>
    </row>
    <row r="297" spans="24:31" x14ac:dyDescent="0.25">
      <c r="X297" s="119">
        <v>50</v>
      </c>
      <c r="Y297" s="331">
        <v>41102</v>
      </c>
      <c r="Z297" s="19" t="s">
        <v>186</v>
      </c>
      <c r="AA297" s="92">
        <v>175</v>
      </c>
      <c r="AB297" s="19" t="s">
        <v>844</v>
      </c>
      <c r="AC297" s="92"/>
      <c r="AD297" s="19" t="s">
        <v>833</v>
      </c>
      <c r="AE297" s="93">
        <v>2</v>
      </c>
    </row>
    <row r="298" spans="24:31" x14ac:dyDescent="0.25">
      <c r="X298" s="119">
        <v>50</v>
      </c>
      <c r="Y298" s="331">
        <v>41102</v>
      </c>
      <c r="Z298" s="19" t="s">
        <v>180</v>
      </c>
      <c r="AA298" s="92">
        <v>28</v>
      </c>
      <c r="AB298" s="94" t="s">
        <v>835</v>
      </c>
      <c r="AC298" s="19"/>
      <c r="AD298" s="19" t="s">
        <v>833</v>
      </c>
      <c r="AE298" s="93">
        <v>2</v>
      </c>
    </row>
    <row r="299" spans="24:31" x14ac:dyDescent="0.25">
      <c r="X299" s="119">
        <v>50</v>
      </c>
      <c r="Y299" s="331">
        <v>41102</v>
      </c>
      <c r="Z299" s="19" t="s">
        <v>251</v>
      </c>
      <c r="AA299" s="92">
        <v>24</v>
      </c>
      <c r="AB299" s="19" t="s">
        <v>843</v>
      </c>
      <c r="AD299" s="554" t="s">
        <v>833</v>
      </c>
      <c r="AE299" s="5">
        <v>3</v>
      </c>
    </row>
    <row r="300" spans="24:31" x14ac:dyDescent="0.25">
      <c r="X300" s="119">
        <v>50</v>
      </c>
      <c r="Y300" s="331">
        <v>41102</v>
      </c>
      <c r="Z300" s="108" t="s">
        <v>210</v>
      </c>
      <c r="AA300" s="92">
        <v>361</v>
      </c>
      <c r="AB300" s="94" t="s">
        <v>832</v>
      </c>
      <c r="AC300" s="19"/>
      <c r="AD300" s="554" t="s">
        <v>833</v>
      </c>
      <c r="AE300" s="93">
        <v>2</v>
      </c>
    </row>
    <row r="301" spans="24:31" x14ac:dyDescent="0.25">
      <c r="X301" s="119">
        <v>36</v>
      </c>
      <c r="Y301" s="331">
        <v>41103</v>
      </c>
      <c r="Z301" s="19" t="s">
        <v>186</v>
      </c>
      <c r="AA301" s="92">
        <v>3</v>
      </c>
      <c r="AB301" s="19" t="s">
        <v>844</v>
      </c>
      <c r="AC301" s="92"/>
      <c r="AD301" s="19" t="s">
        <v>833</v>
      </c>
      <c r="AE301" s="93">
        <v>2</v>
      </c>
    </row>
    <row r="302" spans="24:31" x14ac:dyDescent="0.25">
      <c r="X302" s="119">
        <v>36</v>
      </c>
      <c r="Y302" s="331">
        <v>41103</v>
      </c>
      <c r="Z302" s="19" t="s">
        <v>180</v>
      </c>
      <c r="AA302" s="92">
        <v>13</v>
      </c>
      <c r="AB302" s="94" t="s">
        <v>835</v>
      </c>
      <c r="AC302" s="19"/>
      <c r="AD302" s="19" t="s">
        <v>833</v>
      </c>
      <c r="AE302" s="93">
        <v>2</v>
      </c>
    </row>
    <row r="303" spans="24:31" x14ac:dyDescent="0.25">
      <c r="X303" s="119">
        <v>36</v>
      </c>
      <c r="Y303" s="331">
        <v>41103</v>
      </c>
      <c r="Z303" s="19" t="s">
        <v>251</v>
      </c>
      <c r="AA303" s="92">
        <v>25</v>
      </c>
      <c r="AB303" s="19" t="s">
        <v>843</v>
      </c>
      <c r="AD303" s="554" t="s">
        <v>833</v>
      </c>
      <c r="AE303" s="5">
        <v>3</v>
      </c>
    </row>
    <row r="304" spans="24:31" x14ac:dyDescent="0.25">
      <c r="X304" s="119">
        <v>36</v>
      </c>
      <c r="Y304" s="331">
        <v>41103</v>
      </c>
      <c r="Z304" s="108" t="s">
        <v>210</v>
      </c>
      <c r="AA304" s="92">
        <v>254</v>
      </c>
      <c r="AB304" s="94" t="s">
        <v>832</v>
      </c>
      <c r="AC304" s="19"/>
      <c r="AD304" s="554" t="s">
        <v>833</v>
      </c>
      <c r="AE304" s="93">
        <v>2</v>
      </c>
    </row>
    <row r="305" spans="24:31" x14ac:dyDescent="0.25">
      <c r="X305" s="119">
        <v>37</v>
      </c>
      <c r="Y305" s="331">
        <v>41103</v>
      </c>
      <c r="Z305" s="19" t="s">
        <v>186</v>
      </c>
      <c r="AA305" s="92">
        <v>33</v>
      </c>
      <c r="AB305" s="19" t="s">
        <v>844</v>
      </c>
      <c r="AC305" s="92"/>
      <c r="AD305" s="19" t="s">
        <v>833</v>
      </c>
      <c r="AE305" s="93">
        <v>2</v>
      </c>
    </row>
    <row r="306" spans="24:31" x14ac:dyDescent="0.25">
      <c r="X306" s="119">
        <v>37</v>
      </c>
      <c r="Y306" s="331">
        <v>41103</v>
      </c>
      <c r="Z306" s="19" t="s">
        <v>180</v>
      </c>
      <c r="AA306" s="92">
        <v>9</v>
      </c>
      <c r="AB306" s="94" t="s">
        <v>835</v>
      </c>
      <c r="AC306" s="92"/>
      <c r="AD306" s="19" t="s">
        <v>833</v>
      </c>
      <c r="AE306" s="93">
        <v>2</v>
      </c>
    </row>
    <row r="307" spans="24:31" x14ac:dyDescent="0.25">
      <c r="X307" s="119">
        <v>37</v>
      </c>
      <c r="Y307" s="331">
        <v>41103</v>
      </c>
      <c r="Z307" s="19" t="s">
        <v>251</v>
      </c>
      <c r="AA307" s="92">
        <v>25</v>
      </c>
      <c r="AB307" s="19" t="s">
        <v>843</v>
      </c>
      <c r="AD307" s="554" t="s">
        <v>833</v>
      </c>
      <c r="AE307" s="5">
        <v>3</v>
      </c>
    </row>
    <row r="308" spans="24:31" x14ac:dyDescent="0.25">
      <c r="X308" s="119" t="s">
        <v>400</v>
      </c>
      <c r="Y308" s="331">
        <v>41103</v>
      </c>
      <c r="Z308" s="19" t="s">
        <v>186</v>
      </c>
      <c r="AA308" s="92">
        <v>5</v>
      </c>
      <c r="AB308" s="19" t="s">
        <v>844</v>
      </c>
      <c r="AC308" s="92"/>
      <c r="AD308" s="19" t="s">
        <v>833</v>
      </c>
      <c r="AE308" s="93">
        <v>2</v>
      </c>
    </row>
    <row r="309" spans="24:31" x14ac:dyDescent="0.25">
      <c r="X309" s="119" t="s">
        <v>400</v>
      </c>
      <c r="Y309" s="331">
        <v>41103</v>
      </c>
      <c r="Z309" s="19" t="s">
        <v>180</v>
      </c>
      <c r="AA309" s="92">
        <v>30</v>
      </c>
      <c r="AB309" s="94" t="s">
        <v>835</v>
      </c>
      <c r="AC309" s="19"/>
      <c r="AD309" s="19" t="s">
        <v>833</v>
      </c>
      <c r="AE309" s="93">
        <v>2</v>
      </c>
    </row>
    <row r="310" spans="24:31" x14ac:dyDescent="0.25">
      <c r="X310" s="119" t="s">
        <v>400</v>
      </c>
      <c r="Y310" s="331">
        <v>41103</v>
      </c>
      <c r="Z310" s="19" t="s">
        <v>251</v>
      </c>
      <c r="AA310" s="92">
        <v>38</v>
      </c>
      <c r="AB310" s="19" t="s">
        <v>843</v>
      </c>
      <c r="AD310" s="554" t="s">
        <v>833</v>
      </c>
      <c r="AE310" s="5">
        <v>3</v>
      </c>
    </row>
    <row r="311" spans="24:31" x14ac:dyDescent="0.25">
      <c r="X311" s="119" t="s">
        <v>400</v>
      </c>
      <c r="Y311" s="331">
        <v>41103</v>
      </c>
      <c r="Z311" s="108" t="s">
        <v>210</v>
      </c>
      <c r="AA311" s="92">
        <v>395</v>
      </c>
      <c r="AB311" s="94" t="s">
        <v>832</v>
      </c>
      <c r="AC311" s="19"/>
      <c r="AD311" s="554" t="s">
        <v>833</v>
      </c>
      <c r="AE311" s="93">
        <v>2</v>
      </c>
    </row>
    <row r="312" spans="24:31" x14ac:dyDescent="0.25">
      <c r="X312" s="119" t="s">
        <v>400</v>
      </c>
      <c r="Y312" s="331">
        <v>41103</v>
      </c>
      <c r="Z312" s="96" t="s">
        <v>181</v>
      </c>
      <c r="AA312" s="95">
        <v>11</v>
      </c>
      <c r="AB312" s="94" t="s">
        <v>835</v>
      </c>
      <c r="AC312" s="554"/>
      <c r="AD312" s="19" t="s">
        <v>833</v>
      </c>
      <c r="AE312" s="109">
        <v>2</v>
      </c>
    </row>
    <row r="313" spans="24:31" x14ac:dyDescent="0.25">
      <c r="X313" s="119" t="s">
        <v>400</v>
      </c>
      <c r="Y313" s="331">
        <v>41103</v>
      </c>
      <c r="Z313" s="19" t="s">
        <v>185</v>
      </c>
      <c r="AA313" s="103">
        <v>7.8</v>
      </c>
      <c r="AB313" s="19" t="s">
        <v>836</v>
      </c>
      <c r="AC313" s="19"/>
      <c r="AD313" s="19" t="s">
        <v>838</v>
      </c>
      <c r="AE313" s="93">
        <v>4</v>
      </c>
    </row>
    <row r="314" spans="24:31" x14ac:dyDescent="0.25">
      <c r="X314" s="119" t="s">
        <v>523</v>
      </c>
      <c r="Y314" s="331">
        <v>41103</v>
      </c>
      <c r="Z314" s="19" t="s">
        <v>186</v>
      </c>
      <c r="AA314" s="92">
        <v>3</v>
      </c>
      <c r="AB314" s="19" t="s">
        <v>844</v>
      </c>
      <c r="AC314" s="92"/>
      <c r="AD314" s="19" t="s">
        <v>833</v>
      </c>
      <c r="AE314" s="93">
        <v>2</v>
      </c>
    </row>
    <row r="315" spans="24:31" x14ac:dyDescent="0.25">
      <c r="X315" s="119" t="s">
        <v>523</v>
      </c>
      <c r="Y315" s="331">
        <v>41103</v>
      </c>
      <c r="Z315" s="19" t="s">
        <v>180</v>
      </c>
      <c r="AA315" s="92">
        <v>44</v>
      </c>
      <c r="AB315" s="94" t="s">
        <v>835</v>
      </c>
      <c r="AC315" s="19"/>
      <c r="AD315" s="19" t="s">
        <v>833</v>
      </c>
      <c r="AE315" s="93">
        <v>2</v>
      </c>
    </row>
    <row r="316" spans="24:31" x14ac:dyDescent="0.25">
      <c r="X316" s="119" t="s">
        <v>523</v>
      </c>
      <c r="Y316" s="331">
        <v>41103</v>
      </c>
      <c r="Z316" s="19" t="s">
        <v>251</v>
      </c>
      <c r="AA316" s="92">
        <v>21</v>
      </c>
      <c r="AB316" s="19" t="s">
        <v>843</v>
      </c>
      <c r="AD316" s="554" t="s">
        <v>833</v>
      </c>
      <c r="AE316" s="5">
        <v>3</v>
      </c>
    </row>
    <row r="317" spans="24:31" x14ac:dyDescent="0.25">
      <c r="X317" s="119" t="s">
        <v>523</v>
      </c>
      <c r="Y317" s="331">
        <v>41103</v>
      </c>
      <c r="Z317" s="108" t="s">
        <v>210</v>
      </c>
      <c r="AA317" s="92">
        <v>474</v>
      </c>
      <c r="AB317" s="94" t="s">
        <v>832</v>
      </c>
      <c r="AC317" s="19"/>
      <c r="AD317" s="554" t="s">
        <v>833</v>
      </c>
      <c r="AE317" s="93">
        <v>2</v>
      </c>
    </row>
    <row r="318" spans="24:31" x14ac:dyDescent="0.25">
      <c r="X318" s="119" t="s">
        <v>523</v>
      </c>
      <c r="Y318" s="331">
        <v>41103</v>
      </c>
      <c r="Z318" s="96" t="s">
        <v>181</v>
      </c>
      <c r="AA318" s="95">
        <v>12</v>
      </c>
      <c r="AB318" s="94" t="s">
        <v>835</v>
      </c>
      <c r="AC318" s="554"/>
      <c r="AD318" s="19" t="s">
        <v>833</v>
      </c>
      <c r="AE318" s="109">
        <v>2</v>
      </c>
    </row>
    <row r="319" spans="24:31" x14ac:dyDescent="0.25">
      <c r="X319" s="119" t="s">
        <v>523</v>
      </c>
      <c r="Y319" s="331">
        <v>41103</v>
      </c>
      <c r="Z319" s="19" t="s">
        <v>185</v>
      </c>
      <c r="AA319" s="103">
        <v>11.2</v>
      </c>
      <c r="AB319" s="19" t="s">
        <v>836</v>
      </c>
      <c r="AC319" s="19"/>
      <c r="AD319" s="19" t="s">
        <v>838</v>
      </c>
      <c r="AE319" s="93">
        <v>4</v>
      </c>
    </row>
    <row r="320" spans="24:31" x14ac:dyDescent="0.25">
      <c r="X320" s="119" t="s">
        <v>849</v>
      </c>
      <c r="Y320" s="331">
        <v>41103</v>
      </c>
      <c r="Z320" s="19" t="s">
        <v>186</v>
      </c>
      <c r="AA320" s="92">
        <v>178</v>
      </c>
      <c r="AB320" s="19" t="s">
        <v>844</v>
      </c>
      <c r="AC320" s="92"/>
      <c r="AD320" s="19" t="s">
        <v>833</v>
      </c>
      <c r="AE320" s="93">
        <v>2</v>
      </c>
    </row>
    <row r="321" spans="24:31" x14ac:dyDescent="0.25">
      <c r="X321" s="119" t="s">
        <v>849</v>
      </c>
      <c r="Y321" s="331">
        <v>41103</v>
      </c>
      <c r="Z321" s="19" t="s">
        <v>180</v>
      </c>
      <c r="AA321" s="92">
        <v>14</v>
      </c>
      <c r="AB321" s="94" t="s">
        <v>835</v>
      </c>
      <c r="AC321" s="19"/>
      <c r="AD321" s="19" t="s">
        <v>833</v>
      </c>
      <c r="AE321" s="93">
        <v>2</v>
      </c>
    </row>
    <row r="322" spans="24:31" x14ac:dyDescent="0.25">
      <c r="X322" s="119" t="s">
        <v>849</v>
      </c>
      <c r="Y322" s="331">
        <v>41103</v>
      </c>
      <c r="Z322" s="19" t="s">
        <v>251</v>
      </c>
      <c r="AA322" s="92">
        <v>22</v>
      </c>
      <c r="AB322" s="19" t="s">
        <v>843</v>
      </c>
      <c r="AD322" s="554" t="s">
        <v>833</v>
      </c>
      <c r="AE322" s="5">
        <v>3</v>
      </c>
    </row>
    <row r="323" spans="24:31" x14ac:dyDescent="0.25">
      <c r="X323" s="119" t="s">
        <v>850</v>
      </c>
      <c r="Y323" s="331">
        <v>41103</v>
      </c>
      <c r="Z323" s="19" t="s">
        <v>186</v>
      </c>
      <c r="AA323" s="92">
        <v>273</v>
      </c>
      <c r="AB323" s="19" t="s">
        <v>844</v>
      </c>
      <c r="AC323" s="92"/>
      <c r="AD323" s="19" t="s">
        <v>833</v>
      </c>
      <c r="AE323" s="93">
        <v>2</v>
      </c>
    </row>
    <row r="324" spans="24:31" x14ac:dyDescent="0.25">
      <c r="X324" s="119" t="s">
        <v>850</v>
      </c>
      <c r="Y324" s="331">
        <v>41103</v>
      </c>
      <c r="Z324" s="19" t="s">
        <v>180</v>
      </c>
      <c r="AA324" s="92">
        <v>22</v>
      </c>
      <c r="AB324" s="94" t="s">
        <v>835</v>
      </c>
      <c r="AC324" s="19"/>
      <c r="AD324" s="19" t="s">
        <v>833</v>
      </c>
      <c r="AE324" s="93">
        <v>2</v>
      </c>
    </row>
    <row r="325" spans="24:31" x14ac:dyDescent="0.25">
      <c r="X325" s="119" t="s">
        <v>850</v>
      </c>
      <c r="Y325" s="331">
        <v>41103</v>
      </c>
      <c r="Z325" s="19" t="s">
        <v>251</v>
      </c>
      <c r="AA325" s="92">
        <v>67</v>
      </c>
      <c r="AB325" s="19" t="s">
        <v>843</v>
      </c>
      <c r="AD325" s="554" t="s">
        <v>833</v>
      </c>
      <c r="AE325" s="5">
        <v>3</v>
      </c>
    </row>
    <row r="326" spans="24:31" x14ac:dyDescent="0.25">
      <c r="X326" s="119">
        <v>60</v>
      </c>
      <c r="Y326" s="331">
        <v>41103</v>
      </c>
      <c r="Z326" s="19" t="s">
        <v>186</v>
      </c>
      <c r="AA326" s="92">
        <v>2</v>
      </c>
      <c r="AB326" s="19" t="s">
        <v>844</v>
      </c>
      <c r="AC326" s="92"/>
      <c r="AD326" s="19" t="s">
        <v>833</v>
      </c>
      <c r="AE326" s="93">
        <v>2</v>
      </c>
    </row>
    <row r="327" spans="24:31" x14ac:dyDescent="0.25">
      <c r="X327" s="119">
        <v>60</v>
      </c>
      <c r="Y327" s="331">
        <v>41103</v>
      </c>
      <c r="Z327" s="19" t="s">
        <v>180</v>
      </c>
      <c r="AA327" s="92">
        <v>13</v>
      </c>
      <c r="AB327" s="94" t="s">
        <v>835</v>
      </c>
      <c r="AC327" s="19"/>
      <c r="AD327" s="19" t="s">
        <v>833</v>
      </c>
      <c r="AE327" s="93">
        <v>2</v>
      </c>
    </row>
    <row r="328" spans="24:31" x14ac:dyDescent="0.25">
      <c r="X328" s="119">
        <v>60</v>
      </c>
      <c r="Y328" s="331">
        <v>41103</v>
      </c>
      <c r="Z328" s="19" t="s">
        <v>251</v>
      </c>
      <c r="AA328" s="92">
        <v>15</v>
      </c>
      <c r="AB328" s="19" t="s">
        <v>843</v>
      </c>
      <c r="AD328" s="554" t="s">
        <v>833</v>
      </c>
      <c r="AE328" s="5">
        <v>3</v>
      </c>
    </row>
    <row r="329" spans="24:31" x14ac:dyDescent="0.25">
      <c r="X329" s="119">
        <v>60</v>
      </c>
      <c r="Y329" s="331">
        <v>41103</v>
      </c>
      <c r="Z329" s="108" t="s">
        <v>210</v>
      </c>
      <c r="AA329" s="92">
        <v>293</v>
      </c>
      <c r="AB329" s="94" t="s">
        <v>832</v>
      </c>
      <c r="AC329" s="19"/>
      <c r="AD329" s="554" t="s">
        <v>833</v>
      </c>
      <c r="AE329" s="93">
        <v>2</v>
      </c>
    </row>
    <row r="330" spans="24:31" x14ac:dyDescent="0.25">
      <c r="X330" s="119">
        <v>61</v>
      </c>
      <c r="Y330" s="331">
        <v>41103</v>
      </c>
      <c r="Z330" s="19" t="s">
        <v>186</v>
      </c>
      <c r="AA330" s="92">
        <v>10</v>
      </c>
      <c r="AB330" s="19" t="s">
        <v>844</v>
      </c>
      <c r="AC330" s="92"/>
      <c r="AD330" s="19" t="s">
        <v>833</v>
      </c>
      <c r="AE330" s="93">
        <v>2</v>
      </c>
    </row>
    <row r="331" spans="24:31" x14ac:dyDescent="0.25">
      <c r="X331" s="119">
        <v>61</v>
      </c>
      <c r="Y331" s="331">
        <v>41103</v>
      </c>
      <c r="Z331" s="19" t="s">
        <v>180</v>
      </c>
      <c r="AA331" s="92">
        <v>620</v>
      </c>
      <c r="AB331" s="94" t="s">
        <v>835</v>
      </c>
      <c r="AC331" s="19"/>
      <c r="AD331" s="19" t="s">
        <v>833</v>
      </c>
      <c r="AE331" s="93">
        <v>2</v>
      </c>
    </row>
    <row r="332" spans="24:31" x14ac:dyDescent="0.25">
      <c r="X332" s="119">
        <v>61</v>
      </c>
      <c r="Y332" s="331">
        <v>41103</v>
      </c>
      <c r="Z332" s="19" t="s">
        <v>251</v>
      </c>
      <c r="AA332" s="92">
        <v>21</v>
      </c>
      <c r="AB332" s="19" t="s">
        <v>843</v>
      </c>
      <c r="AD332" s="554" t="s">
        <v>833</v>
      </c>
      <c r="AE332" s="5">
        <v>3</v>
      </c>
    </row>
    <row r="333" spans="24:31" x14ac:dyDescent="0.25">
      <c r="X333" s="119">
        <v>61</v>
      </c>
      <c r="Y333" s="331">
        <v>41103</v>
      </c>
      <c r="Z333" s="108" t="s">
        <v>210</v>
      </c>
      <c r="AA333" s="92">
        <v>1188</v>
      </c>
      <c r="AB333" s="94" t="s">
        <v>832</v>
      </c>
      <c r="AC333" s="19"/>
      <c r="AD333" s="554" t="s">
        <v>833</v>
      </c>
      <c r="AE333" s="93">
        <v>2</v>
      </c>
    </row>
    <row r="334" spans="24:31" x14ac:dyDescent="0.25">
      <c r="X334" s="119">
        <v>62</v>
      </c>
      <c r="Y334" s="331">
        <v>41103</v>
      </c>
      <c r="Z334" s="19" t="s">
        <v>186</v>
      </c>
      <c r="AA334" s="92">
        <v>5</v>
      </c>
      <c r="AB334" s="19" t="s">
        <v>844</v>
      </c>
      <c r="AC334" s="92"/>
      <c r="AD334" s="19" t="s">
        <v>833</v>
      </c>
      <c r="AE334" s="93">
        <v>2</v>
      </c>
    </row>
    <row r="335" spans="24:31" x14ac:dyDescent="0.25">
      <c r="X335" s="119">
        <v>62</v>
      </c>
      <c r="Y335" s="331">
        <v>41103</v>
      </c>
      <c r="Z335" s="19" t="s">
        <v>180</v>
      </c>
      <c r="AA335" s="92">
        <v>12</v>
      </c>
      <c r="AB335" s="94" t="s">
        <v>835</v>
      </c>
      <c r="AC335" s="19"/>
      <c r="AD335" s="19" t="s">
        <v>833</v>
      </c>
      <c r="AE335" s="93">
        <v>2</v>
      </c>
    </row>
    <row r="336" spans="24:31" x14ac:dyDescent="0.25">
      <c r="X336" s="119">
        <v>62</v>
      </c>
      <c r="Y336" s="331">
        <v>41103</v>
      </c>
      <c r="Z336" s="19" t="s">
        <v>251</v>
      </c>
      <c r="AA336" s="92">
        <v>29</v>
      </c>
      <c r="AB336" s="19" t="s">
        <v>843</v>
      </c>
      <c r="AD336" s="554" t="s">
        <v>833</v>
      </c>
      <c r="AE336" s="5">
        <v>3</v>
      </c>
    </row>
    <row r="337" spans="24:31" x14ac:dyDescent="0.25">
      <c r="X337" s="119">
        <v>62</v>
      </c>
      <c r="Y337" s="331">
        <v>41103</v>
      </c>
      <c r="Z337" s="108" t="s">
        <v>210</v>
      </c>
      <c r="AA337" s="92">
        <v>416</v>
      </c>
      <c r="AB337" s="94" t="s">
        <v>832</v>
      </c>
      <c r="AC337" s="19"/>
      <c r="AD337" s="554" t="s">
        <v>833</v>
      </c>
      <c r="AE337" s="93">
        <v>2</v>
      </c>
    </row>
    <row r="338" spans="24:31" x14ac:dyDescent="0.25">
      <c r="X338" s="119">
        <v>63</v>
      </c>
      <c r="Y338" s="331">
        <v>41103</v>
      </c>
      <c r="Z338" s="19" t="s">
        <v>186</v>
      </c>
      <c r="AA338" s="92">
        <v>4</v>
      </c>
      <c r="AB338" s="19" t="s">
        <v>844</v>
      </c>
      <c r="AC338" s="92"/>
      <c r="AD338" s="19" t="s">
        <v>833</v>
      </c>
      <c r="AE338" s="93">
        <v>2</v>
      </c>
    </row>
    <row r="339" spans="24:31" x14ac:dyDescent="0.25">
      <c r="X339" s="119">
        <v>63</v>
      </c>
      <c r="Y339" s="331">
        <v>41103</v>
      </c>
      <c r="Z339" s="19" t="s">
        <v>180</v>
      </c>
      <c r="AA339" s="92">
        <v>28</v>
      </c>
      <c r="AB339" s="94" t="s">
        <v>835</v>
      </c>
      <c r="AC339" s="19"/>
      <c r="AD339" s="19" t="s">
        <v>833</v>
      </c>
      <c r="AE339" s="93">
        <v>2</v>
      </c>
    </row>
    <row r="340" spans="24:31" x14ac:dyDescent="0.25">
      <c r="X340" s="119">
        <v>63</v>
      </c>
      <c r="Y340" s="331">
        <v>41103</v>
      </c>
      <c r="Z340" s="19" t="s">
        <v>251</v>
      </c>
      <c r="AA340" s="92">
        <v>28</v>
      </c>
      <c r="AB340" s="19" t="s">
        <v>843</v>
      </c>
      <c r="AD340" s="554" t="s">
        <v>833</v>
      </c>
      <c r="AE340" s="5">
        <v>3</v>
      </c>
    </row>
    <row r="341" spans="24:31" x14ac:dyDescent="0.25">
      <c r="X341" s="119">
        <v>63</v>
      </c>
      <c r="Y341" s="331">
        <v>41103</v>
      </c>
      <c r="Z341" s="108" t="s">
        <v>210</v>
      </c>
      <c r="AA341" s="92">
        <v>407</v>
      </c>
      <c r="AB341" s="94" t="s">
        <v>832</v>
      </c>
      <c r="AC341" s="19"/>
      <c r="AD341" s="554" t="s">
        <v>833</v>
      </c>
      <c r="AE341" s="93">
        <v>2</v>
      </c>
    </row>
    <row r="342" spans="24:31" x14ac:dyDescent="0.25">
      <c r="X342" s="119" t="s">
        <v>831</v>
      </c>
      <c r="Y342" s="331">
        <v>41113</v>
      </c>
      <c r="Z342" s="108" t="s">
        <v>210</v>
      </c>
      <c r="AA342" s="92">
        <v>484</v>
      </c>
      <c r="AB342" s="94" t="s">
        <v>832</v>
      </c>
      <c r="AC342" s="19"/>
      <c r="AD342" s="554" t="s">
        <v>833</v>
      </c>
      <c r="AE342" s="93">
        <v>2</v>
      </c>
    </row>
    <row r="343" spans="24:31" x14ac:dyDescent="0.25">
      <c r="X343" s="119" t="s">
        <v>831</v>
      </c>
      <c r="Y343" s="331">
        <v>41113</v>
      </c>
      <c r="Z343" s="19" t="s">
        <v>186</v>
      </c>
      <c r="AA343" s="92">
        <v>177</v>
      </c>
      <c r="AB343" s="19" t="s">
        <v>834</v>
      </c>
      <c r="AC343" s="92"/>
      <c r="AD343" s="19" t="s">
        <v>833</v>
      </c>
      <c r="AE343" s="93">
        <v>2</v>
      </c>
    </row>
    <row r="344" spans="24:31" x14ac:dyDescent="0.25">
      <c r="X344" s="119" t="s">
        <v>831</v>
      </c>
      <c r="Y344" s="331">
        <v>41113</v>
      </c>
      <c r="Z344" s="19" t="s">
        <v>180</v>
      </c>
      <c r="AA344" s="92">
        <v>43</v>
      </c>
      <c r="AB344" s="94" t="s">
        <v>835</v>
      </c>
      <c r="AC344" s="92"/>
      <c r="AD344" s="19" t="s">
        <v>833</v>
      </c>
      <c r="AE344" s="93">
        <v>2</v>
      </c>
    </row>
    <row r="345" spans="24:31" x14ac:dyDescent="0.25">
      <c r="X345" s="119" t="s">
        <v>831</v>
      </c>
      <c r="Y345" s="331">
        <v>41113</v>
      </c>
      <c r="Z345" s="96" t="s">
        <v>181</v>
      </c>
      <c r="AA345" s="95">
        <v>24</v>
      </c>
      <c r="AB345" s="94" t="s">
        <v>835</v>
      </c>
      <c r="AC345" s="554"/>
      <c r="AD345" s="19" t="s">
        <v>833</v>
      </c>
      <c r="AE345" s="109">
        <v>2</v>
      </c>
    </row>
    <row r="346" spans="24:31" x14ac:dyDescent="0.25">
      <c r="X346" s="119" t="s">
        <v>831</v>
      </c>
      <c r="Y346" s="331">
        <v>41113</v>
      </c>
      <c r="Z346" s="19" t="s">
        <v>185</v>
      </c>
      <c r="AA346" s="103">
        <v>16.600000000000001</v>
      </c>
      <c r="AB346" s="19" t="s">
        <v>836</v>
      </c>
      <c r="AC346" s="92"/>
      <c r="AD346" s="19" t="s">
        <v>838</v>
      </c>
      <c r="AE346" s="93">
        <v>4</v>
      </c>
    </row>
    <row r="347" spans="24:31" x14ac:dyDescent="0.25">
      <c r="X347" s="119" t="s">
        <v>839</v>
      </c>
      <c r="Y347" s="331">
        <v>41113</v>
      </c>
      <c r="Z347" s="96" t="s">
        <v>181</v>
      </c>
      <c r="AA347" s="95">
        <v>110</v>
      </c>
      <c r="AB347" s="94" t="s">
        <v>835</v>
      </c>
      <c r="AC347" s="554"/>
      <c r="AD347" s="19" t="s">
        <v>833</v>
      </c>
      <c r="AE347" s="109">
        <v>2</v>
      </c>
    </row>
    <row r="348" spans="24:31" x14ac:dyDescent="0.25">
      <c r="X348" s="119" t="s">
        <v>839</v>
      </c>
      <c r="Y348" s="331">
        <v>41113</v>
      </c>
      <c r="Z348" s="108" t="s">
        <v>210</v>
      </c>
      <c r="AA348" s="92">
        <v>1262</v>
      </c>
      <c r="AB348" s="94" t="s">
        <v>832</v>
      </c>
      <c r="AC348" s="19"/>
      <c r="AD348" s="554" t="s">
        <v>833</v>
      </c>
      <c r="AE348" s="93">
        <v>2</v>
      </c>
    </row>
    <row r="349" spans="24:31" x14ac:dyDescent="0.25">
      <c r="X349" s="119" t="s">
        <v>839</v>
      </c>
      <c r="Y349" s="331">
        <v>41113</v>
      </c>
      <c r="Z349" s="19" t="s">
        <v>186</v>
      </c>
      <c r="AA349" s="92">
        <v>1041</v>
      </c>
      <c r="AB349" s="19" t="s">
        <v>834</v>
      </c>
      <c r="AC349" s="92"/>
      <c r="AD349" s="19" t="s">
        <v>833</v>
      </c>
      <c r="AE349" s="93">
        <v>2</v>
      </c>
    </row>
    <row r="350" spans="24:31" x14ac:dyDescent="0.25">
      <c r="X350" s="119" t="s">
        <v>839</v>
      </c>
      <c r="Y350" s="331">
        <v>41113</v>
      </c>
      <c r="Z350" s="19" t="s">
        <v>180</v>
      </c>
      <c r="AA350" s="92">
        <v>144</v>
      </c>
      <c r="AB350" s="94" t="s">
        <v>835</v>
      </c>
      <c r="AC350" s="92"/>
      <c r="AD350" s="19" t="s">
        <v>833</v>
      </c>
      <c r="AE350" s="93">
        <v>2</v>
      </c>
    </row>
    <row r="351" spans="24:31" x14ac:dyDescent="0.25">
      <c r="X351" s="119" t="s">
        <v>839</v>
      </c>
      <c r="Y351" s="331">
        <v>41113</v>
      </c>
      <c r="Z351" s="19" t="s">
        <v>185</v>
      </c>
      <c r="AA351" s="103">
        <v>25</v>
      </c>
      <c r="AB351" s="19" t="s">
        <v>836</v>
      </c>
      <c r="AC351" s="19"/>
      <c r="AD351" s="19" t="s">
        <v>838</v>
      </c>
      <c r="AE351" s="93">
        <v>4</v>
      </c>
    </row>
    <row r="352" spans="24:31" x14ac:dyDescent="0.25">
      <c r="X352" s="119">
        <v>45</v>
      </c>
      <c r="Y352" s="331">
        <v>41113</v>
      </c>
      <c r="Z352" s="96" t="s">
        <v>181</v>
      </c>
      <c r="AA352" s="95">
        <v>34</v>
      </c>
      <c r="AB352" s="94" t="s">
        <v>835</v>
      </c>
      <c r="AC352" s="554"/>
      <c r="AD352" s="19" t="s">
        <v>833</v>
      </c>
      <c r="AE352" s="109">
        <v>2</v>
      </c>
    </row>
    <row r="353" spans="24:31" x14ac:dyDescent="0.25">
      <c r="X353" s="119">
        <v>45</v>
      </c>
      <c r="Y353" s="331">
        <v>41113</v>
      </c>
      <c r="Z353" s="19" t="s">
        <v>186</v>
      </c>
      <c r="AA353" s="92">
        <v>13</v>
      </c>
      <c r="AB353" s="19" t="s">
        <v>834</v>
      </c>
      <c r="AC353" s="92"/>
      <c r="AD353" s="19" t="s">
        <v>833</v>
      </c>
      <c r="AE353" s="93">
        <v>2</v>
      </c>
    </row>
    <row r="354" spans="24:31" x14ac:dyDescent="0.25">
      <c r="X354" s="119">
        <v>45</v>
      </c>
      <c r="Y354" s="331">
        <v>41113</v>
      </c>
      <c r="Z354" s="19" t="s">
        <v>180</v>
      </c>
      <c r="AA354" s="92">
        <v>67</v>
      </c>
      <c r="AB354" s="94" t="s">
        <v>835</v>
      </c>
      <c r="AC354" s="19"/>
      <c r="AD354" s="19" t="s">
        <v>833</v>
      </c>
      <c r="AE354" s="93">
        <v>2</v>
      </c>
    </row>
    <row r="355" spans="24:31" x14ac:dyDescent="0.25">
      <c r="X355" s="119">
        <v>45</v>
      </c>
      <c r="Y355" s="331">
        <v>41113</v>
      </c>
      <c r="Z355" s="19" t="s">
        <v>185</v>
      </c>
      <c r="AA355" s="103">
        <v>20.399999999999999</v>
      </c>
      <c r="AB355" s="19" t="s">
        <v>836</v>
      </c>
      <c r="AC355" s="19"/>
      <c r="AD355" s="19" t="s">
        <v>838</v>
      </c>
      <c r="AE355" s="93">
        <v>4</v>
      </c>
    </row>
    <row r="356" spans="24:31" x14ac:dyDescent="0.25">
      <c r="X356" s="119">
        <v>45</v>
      </c>
      <c r="Y356" s="331">
        <v>41113</v>
      </c>
      <c r="Z356" s="108" t="s">
        <v>210</v>
      </c>
      <c r="AA356" s="92">
        <v>342</v>
      </c>
      <c r="AB356" s="94" t="s">
        <v>832</v>
      </c>
      <c r="AC356" s="19"/>
      <c r="AD356" s="554" t="s">
        <v>833</v>
      </c>
      <c r="AE356" s="93">
        <v>2</v>
      </c>
    </row>
    <row r="357" spans="24:31" x14ac:dyDescent="0.25">
      <c r="X357" s="244" t="s">
        <v>840</v>
      </c>
      <c r="Y357" s="331">
        <v>41113</v>
      </c>
      <c r="Z357" s="96" t="s">
        <v>181</v>
      </c>
      <c r="AA357" s="95">
        <v>35</v>
      </c>
      <c r="AB357" s="94" t="s">
        <v>835</v>
      </c>
      <c r="AC357" s="554"/>
      <c r="AD357" s="19" t="s">
        <v>833</v>
      </c>
      <c r="AE357" s="109">
        <v>2</v>
      </c>
    </row>
    <row r="358" spans="24:31" x14ac:dyDescent="0.25">
      <c r="X358" s="244" t="s">
        <v>840</v>
      </c>
      <c r="Y358" s="331">
        <v>41113</v>
      </c>
      <c r="Z358" s="19" t="s">
        <v>186</v>
      </c>
      <c r="AA358" s="92">
        <v>7</v>
      </c>
      <c r="AB358" s="19" t="s">
        <v>834</v>
      </c>
      <c r="AC358" s="92"/>
      <c r="AD358" s="19" t="s">
        <v>833</v>
      </c>
      <c r="AE358" s="93">
        <v>2</v>
      </c>
    </row>
    <row r="359" spans="24:31" x14ac:dyDescent="0.25">
      <c r="X359" s="244" t="s">
        <v>840</v>
      </c>
      <c r="Y359" s="331">
        <v>41113</v>
      </c>
      <c r="Z359" s="19" t="s">
        <v>180</v>
      </c>
      <c r="AA359" s="92">
        <v>66</v>
      </c>
      <c r="AB359" s="94" t="s">
        <v>835</v>
      </c>
      <c r="AC359" s="19"/>
      <c r="AD359" s="19" t="s">
        <v>833</v>
      </c>
      <c r="AE359" s="93">
        <v>2</v>
      </c>
    </row>
    <row r="360" spans="24:31" x14ac:dyDescent="0.25">
      <c r="X360" s="244" t="s">
        <v>840</v>
      </c>
      <c r="Y360" s="331">
        <v>41113</v>
      </c>
      <c r="Z360" s="19" t="s">
        <v>185</v>
      </c>
      <c r="AA360" s="103">
        <v>11.2</v>
      </c>
      <c r="AB360" s="19" t="s">
        <v>836</v>
      </c>
      <c r="AC360" s="19"/>
      <c r="AD360" s="19" t="s">
        <v>838</v>
      </c>
      <c r="AE360" s="93">
        <v>4</v>
      </c>
    </row>
    <row r="361" spans="24:31" x14ac:dyDescent="0.25">
      <c r="X361" s="244" t="s">
        <v>840</v>
      </c>
      <c r="Y361" s="331">
        <v>41113</v>
      </c>
      <c r="Z361" s="108" t="s">
        <v>210</v>
      </c>
      <c r="AA361" s="92">
        <v>335</v>
      </c>
      <c r="AB361" s="94" t="s">
        <v>832</v>
      </c>
      <c r="AC361" s="19"/>
      <c r="AD361" s="554" t="s">
        <v>833</v>
      </c>
      <c r="AE361" s="93">
        <v>2</v>
      </c>
    </row>
    <row r="362" spans="24:31" x14ac:dyDescent="0.25">
      <c r="X362" s="119" t="s">
        <v>840</v>
      </c>
      <c r="Y362" s="331">
        <v>41113</v>
      </c>
      <c r="Z362" s="108" t="s">
        <v>182</v>
      </c>
      <c r="AA362" s="504">
        <v>20</v>
      </c>
      <c r="AB362" s="97" t="s">
        <v>841</v>
      </c>
      <c r="AC362" s="10"/>
      <c r="AD362" s="19" t="s">
        <v>833</v>
      </c>
      <c r="AE362" s="109">
        <v>0.1</v>
      </c>
    </row>
    <row r="363" spans="24:31" x14ac:dyDescent="0.25">
      <c r="X363" s="119" t="s">
        <v>840</v>
      </c>
      <c r="Y363" s="331">
        <v>41113</v>
      </c>
      <c r="Z363" s="108" t="s">
        <v>182</v>
      </c>
      <c r="AA363" s="504">
        <v>17.100000000000001</v>
      </c>
      <c r="AB363" s="97" t="s">
        <v>841</v>
      </c>
      <c r="AC363" s="10"/>
      <c r="AD363" s="19" t="s">
        <v>833</v>
      </c>
      <c r="AE363" s="109">
        <v>0.1</v>
      </c>
    </row>
    <row r="364" spans="24:31" x14ac:dyDescent="0.25">
      <c r="X364" s="119" t="s">
        <v>842</v>
      </c>
      <c r="Y364" s="331">
        <v>41113</v>
      </c>
      <c r="Z364" s="96" t="s">
        <v>181</v>
      </c>
      <c r="AA364" s="95">
        <v>34</v>
      </c>
      <c r="AB364" s="94" t="s">
        <v>835</v>
      </c>
      <c r="AC364" s="554"/>
      <c r="AD364" s="19" t="s">
        <v>833</v>
      </c>
      <c r="AE364" s="109">
        <v>2</v>
      </c>
    </row>
    <row r="365" spans="24:31" x14ac:dyDescent="0.25">
      <c r="X365" s="119" t="s">
        <v>842</v>
      </c>
      <c r="Y365" s="331">
        <v>41113</v>
      </c>
      <c r="Z365" s="19" t="s">
        <v>186</v>
      </c>
      <c r="AA365" s="92">
        <v>10</v>
      </c>
      <c r="AB365" s="19" t="s">
        <v>834</v>
      </c>
      <c r="AC365" s="92"/>
      <c r="AD365" s="19" t="s">
        <v>833</v>
      </c>
      <c r="AE365" s="93">
        <v>2</v>
      </c>
    </row>
    <row r="366" spans="24:31" x14ac:dyDescent="0.25">
      <c r="X366" s="119" t="s">
        <v>842</v>
      </c>
      <c r="Y366" s="331">
        <v>41113</v>
      </c>
      <c r="Z366" s="19" t="s">
        <v>180</v>
      </c>
      <c r="AA366" s="92">
        <v>139</v>
      </c>
      <c r="AB366" s="94" t="s">
        <v>835</v>
      </c>
      <c r="AC366" s="19"/>
      <c r="AD366" s="19" t="s">
        <v>833</v>
      </c>
      <c r="AE366" s="93">
        <v>2</v>
      </c>
    </row>
    <row r="367" spans="24:31" x14ac:dyDescent="0.25">
      <c r="X367" s="119" t="s">
        <v>842</v>
      </c>
      <c r="Y367" s="331">
        <v>41113</v>
      </c>
      <c r="Z367" s="19" t="s">
        <v>185</v>
      </c>
      <c r="AA367" s="103">
        <v>41.2</v>
      </c>
      <c r="AB367" s="19" t="s">
        <v>836</v>
      </c>
      <c r="AC367" s="19"/>
      <c r="AD367" s="19" t="s">
        <v>838</v>
      </c>
      <c r="AE367" s="93">
        <v>4</v>
      </c>
    </row>
    <row r="368" spans="24:31" x14ac:dyDescent="0.25">
      <c r="X368" s="119" t="s">
        <v>842</v>
      </c>
      <c r="Y368" s="331">
        <v>41113</v>
      </c>
      <c r="Z368" s="108" t="s">
        <v>210</v>
      </c>
      <c r="AA368" s="92">
        <v>427</v>
      </c>
      <c r="AB368" s="94" t="s">
        <v>832</v>
      </c>
      <c r="AC368" s="19"/>
      <c r="AD368" s="554" t="s">
        <v>833</v>
      </c>
      <c r="AE368" s="93">
        <v>2</v>
      </c>
    </row>
    <row r="369" spans="24:31" x14ac:dyDescent="0.25">
      <c r="X369" s="119" t="s">
        <v>831</v>
      </c>
      <c r="Y369" s="331">
        <v>41099</v>
      </c>
      <c r="Z369" s="108" t="s">
        <v>210</v>
      </c>
      <c r="AA369" s="92">
        <v>740</v>
      </c>
      <c r="AB369" s="94" t="s">
        <v>832</v>
      </c>
      <c r="AC369" s="19"/>
      <c r="AD369" s="554" t="s">
        <v>833</v>
      </c>
      <c r="AE369" s="93">
        <v>2</v>
      </c>
    </row>
    <row r="370" spans="24:31" x14ac:dyDescent="0.25">
      <c r="X370" s="119" t="s">
        <v>831</v>
      </c>
      <c r="Y370" s="331">
        <v>41099</v>
      </c>
      <c r="Z370" s="19" t="s">
        <v>186</v>
      </c>
      <c r="AA370" s="92">
        <v>212</v>
      </c>
      <c r="AB370" s="19" t="s">
        <v>834</v>
      </c>
      <c r="AC370" s="92"/>
      <c r="AD370" s="19" t="s">
        <v>833</v>
      </c>
      <c r="AE370" s="93">
        <v>2</v>
      </c>
    </row>
    <row r="371" spans="24:31" x14ac:dyDescent="0.25">
      <c r="X371" s="119" t="s">
        <v>831</v>
      </c>
      <c r="Y371" s="331">
        <v>41099</v>
      </c>
      <c r="Z371" s="19" t="s">
        <v>180</v>
      </c>
      <c r="AA371" s="92">
        <v>160</v>
      </c>
      <c r="AB371" s="94" t="s">
        <v>835</v>
      </c>
      <c r="AC371" s="92"/>
      <c r="AD371" s="19" t="s">
        <v>833</v>
      </c>
      <c r="AE371" s="93">
        <v>2</v>
      </c>
    </row>
    <row r="372" spans="24:31" x14ac:dyDescent="0.25">
      <c r="X372" s="119" t="s">
        <v>831</v>
      </c>
      <c r="Y372" s="331">
        <v>41099</v>
      </c>
      <c r="Z372" s="96" t="s">
        <v>181</v>
      </c>
      <c r="AA372" s="95">
        <v>67</v>
      </c>
      <c r="AB372" s="94" t="s">
        <v>835</v>
      </c>
      <c r="AC372" s="554"/>
      <c r="AD372" s="19" t="s">
        <v>833</v>
      </c>
      <c r="AE372" s="109">
        <v>2</v>
      </c>
    </row>
    <row r="373" spans="24:31" x14ac:dyDescent="0.25">
      <c r="X373" s="119" t="s">
        <v>831</v>
      </c>
      <c r="Y373" s="331">
        <v>41099</v>
      </c>
      <c r="Z373" s="19" t="s">
        <v>185</v>
      </c>
      <c r="AA373" s="103">
        <v>190.5</v>
      </c>
      <c r="AB373" s="19" t="s">
        <v>836</v>
      </c>
      <c r="AC373" s="92"/>
      <c r="AD373" s="19" t="s">
        <v>838</v>
      </c>
      <c r="AE373" s="93">
        <v>4</v>
      </c>
    </row>
    <row r="374" spans="24:31" x14ac:dyDescent="0.25">
      <c r="X374" s="119" t="s">
        <v>839</v>
      </c>
      <c r="Y374" s="331">
        <v>41099</v>
      </c>
      <c r="Z374" s="96" t="s">
        <v>181</v>
      </c>
      <c r="AA374" s="95">
        <v>45</v>
      </c>
      <c r="AB374" s="94" t="s">
        <v>835</v>
      </c>
      <c r="AC374" s="554"/>
      <c r="AD374" s="19" t="s">
        <v>833</v>
      </c>
      <c r="AE374" s="109">
        <v>2</v>
      </c>
    </row>
    <row r="375" spans="24:31" x14ac:dyDescent="0.25">
      <c r="X375" s="119" t="s">
        <v>839</v>
      </c>
      <c r="Y375" s="331">
        <v>41099</v>
      </c>
      <c r="Z375" s="108" t="s">
        <v>210</v>
      </c>
      <c r="AA375" s="92">
        <v>1113</v>
      </c>
      <c r="AB375" s="94" t="s">
        <v>832</v>
      </c>
      <c r="AC375" s="19"/>
      <c r="AD375" s="554" t="s">
        <v>833</v>
      </c>
      <c r="AE375" s="93">
        <v>2</v>
      </c>
    </row>
    <row r="376" spans="24:31" x14ac:dyDescent="0.25">
      <c r="X376" s="119" t="s">
        <v>839</v>
      </c>
      <c r="Y376" s="331">
        <v>41099</v>
      </c>
      <c r="Z376" s="19" t="s">
        <v>186</v>
      </c>
      <c r="AA376" s="92">
        <v>331</v>
      </c>
      <c r="AB376" s="19" t="s">
        <v>834</v>
      </c>
      <c r="AC376" s="92"/>
      <c r="AD376" s="19" t="s">
        <v>833</v>
      </c>
      <c r="AE376" s="93">
        <v>2</v>
      </c>
    </row>
    <row r="377" spans="24:31" x14ac:dyDescent="0.25">
      <c r="X377" s="119" t="s">
        <v>839</v>
      </c>
      <c r="Y377" s="331">
        <v>41099</v>
      </c>
      <c r="Z377" s="19" t="s">
        <v>180</v>
      </c>
      <c r="AA377" s="92">
        <v>134</v>
      </c>
      <c r="AB377" s="94" t="s">
        <v>835</v>
      </c>
      <c r="AC377" s="92"/>
      <c r="AD377" s="19" t="s">
        <v>833</v>
      </c>
      <c r="AE377" s="93">
        <v>2</v>
      </c>
    </row>
    <row r="378" spans="24:31" x14ac:dyDescent="0.25">
      <c r="X378" s="119" t="s">
        <v>839</v>
      </c>
      <c r="Y378" s="331">
        <v>41099</v>
      </c>
      <c r="Z378" s="19" t="s">
        <v>185</v>
      </c>
      <c r="AA378" s="103">
        <v>46</v>
      </c>
      <c r="AB378" s="19" t="s">
        <v>836</v>
      </c>
      <c r="AC378" s="19"/>
      <c r="AD378" s="19" t="s">
        <v>838</v>
      </c>
      <c r="AE378" s="93">
        <v>4</v>
      </c>
    </row>
    <row r="379" spans="24:31" x14ac:dyDescent="0.25">
      <c r="X379" s="119">
        <v>45</v>
      </c>
      <c r="Y379" s="331">
        <v>41099</v>
      </c>
      <c r="Z379" s="96" t="s">
        <v>181</v>
      </c>
      <c r="AA379" s="95">
        <v>25</v>
      </c>
      <c r="AB379" s="94" t="s">
        <v>835</v>
      </c>
      <c r="AC379" s="554"/>
      <c r="AD379" s="19" t="s">
        <v>833</v>
      </c>
      <c r="AE379" s="109">
        <v>2</v>
      </c>
    </row>
    <row r="380" spans="24:31" x14ac:dyDescent="0.25">
      <c r="X380" s="119">
        <v>45</v>
      </c>
      <c r="Y380" s="331">
        <v>41099</v>
      </c>
      <c r="Z380" s="19" t="s">
        <v>186</v>
      </c>
      <c r="AA380" s="92">
        <v>51</v>
      </c>
      <c r="AB380" s="19" t="s">
        <v>834</v>
      </c>
      <c r="AC380" s="92"/>
      <c r="AD380" s="19" t="s">
        <v>833</v>
      </c>
      <c r="AE380" s="93">
        <v>2</v>
      </c>
    </row>
    <row r="381" spans="24:31" x14ac:dyDescent="0.25">
      <c r="X381" s="119">
        <v>45</v>
      </c>
      <c r="Y381" s="331">
        <v>41099</v>
      </c>
      <c r="Z381" s="19" t="s">
        <v>180</v>
      </c>
      <c r="AA381" s="92">
        <v>51</v>
      </c>
      <c r="AB381" s="94" t="s">
        <v>835</v>
      </c>
      <c r="AC381" s="19"/>
      <c r="AD381" s="19" t="s">
        <v>833</v>
      </c>
      <c r="AE381" s="93">
        <v>2</v>
      </c>
    </row>
    <row r="382" spans="24:31" x14ac:dyDescent="0.25">
      <c r="X382" s="119">
        <v>45</v>
      </c>
      <c r="Y382" s="331">
        <v>41099</v>
      </c>
      <c r="Z382" s="19" t="s">
        <v>185</v>
      </c>
      <c r="AA382" s="103">
        <v>8.6</v>
      </c>
      <c r="AB382" s="19" t="s">
        <v>836</v>
      </c>
      <c r="AC382" s="19"/>
      <c r="AD382" s="19" t="s">
        <v>838</v>
      </c>
      <c r="AE382" s="93">
        <v>4</v>
      </c>
    </row>
    <row r="383" spans="24:31" x14ac:dyDescent="0.25">
      <c r="X383" s="119">
        <v>45</v>
      </c>
      <c r="Y383" s="331">
        <v>41099</v>
      </c>
      <c r="Z383" s="108" t="s">
        <v>210</v>
      </c>
      <c r="AA383" s="92">
        <v>499</v>
      </c>
      <c r="AB383" s="94" t="s">
        <v>832</v>
      </c>
      <c r="AC383" s="19"/>
      <c r="AD383" s="554" t="s">
        <v>833</v>
      </c>
      <c r="AE383" s="93">
        <v>2</v>
      </c>
    </row>
    <row r="384" spans="24:31" x14ac:dyDescent="0.25">
      <c r="X384" s="244" t="s">
        <v>840</v>
      </c>
      <c r="Y384" s="331">
        <v>41099</v>
      </c>
      <c r="Z384" s="96" t="s">
        <v>181</v>
      </c>
      <c r="AA384" s="95">
        <v>26</v>
      </c>
      <c r="AB384" s="94" t="s">
        <v>835</v>
      </c>
      <c r="AC384" s="554"/>
      <c r="AD384" s="19" t="s">
        <v>833</v>
      </c>
      <c r="AE384" s="109">
        <v>2</v>
      </c>
    </row>
    <row r="385" spans="24:31" x14ac:dyDescent="0.25">
      <c r="X385" s="244" t="s">
        <v>840</v>
      </c>
      <c r="Y385" s="331">
        <v>41099</v>
      </c>
      <c r="Z385" s="19" t="s">
        <v>186</v>
      </c>
      <c r="AA385" s="92">
        <v>43</v>
      </c>
      <c r="AB385" s="19" t="s">
        <v>834</v>
      </c>
      <c r="AC385" s="92"/>
      <c r="AD385" s="19" t="s">
        <v>833</v>
      </c>
      <c r="AE385" s="93">
        <v>2</v>
      </c>
    </row>
    <row r="386" spans="24:31" x14ac:dyDescent="0.25">
      <c r="X386" s="244" t="s">
        <v>840</v>
      </c>
      <c r="Y386" s="331">
        <v>41099</v>
      </c>
      <c r="Z386" s="19" t="s">
        <v>180</v>
      </c>
      <c r="AA386" s="92">
        <v>61</v>
      </c>
      <c r="AB386" s="94" t="s">
        <v>835</v>
      </c>
      <c r="AC386" s="19"/>
      <c r="AD386" s="19" t="s">
        <v>833</v>
      </c>
      <c r="AE386" s="93">
        <v>2</v>
      </c>
    </row>
    <row r="387" spans="24:31" x14ac:dyDescent="0.25">
      <c r="X387" s="244" t="s">
        <v>840</v>
      </c>
      <c r="Y387" s="331">
        <v>41099</v>
      </c>
      <c r="Z387" s="19" t="s">
        <v>185</v>
      </c>
      <c r="AA387" s="103">
        <v>7.8</v>
      </c>
      <c r="AB387" s="19" t="s">
        <v>836</v>
      </c>
      <c r="AC387" s="19"/>
      <c r="AD387" s="19" t="s">
        <v>838</v>
      </c>
      <c r="AE387" s="93">
        <v>4</v>
      </c>
    </row>
    <row r="388" spans="24:31" x14ac:dyDescent="0.25">
      <c r="X388" s="244" t="s">
        <v>840</v>
      </c>
      <c r="Y388" s="331">
        <v>41099</v>
      </c>
      <c r="Z388" s="108" t="s">
        <v>210</v>
      </c>
      <c r="AA388" s="92">
        <v>577</v>
      </c>
      <c r="AB388" s="94" t="s">
        <v>832</v>
      </c>
      <c r="AC388" s="19"/>
      <c r="AD388" s="554" t="s">
        <v>833</v>
      </c>
      <c r="AE388" s="93">
        <v>2</v>
      </c>
    </row>
    <row r="389" spans="24:31" x14ac:dyDescent="0.25">
      <c r="X389" s="119" t="s">
        <v>840</v>
      </c>
      <c r="Y389" s="331">
        <v>41099</v>
      </c>
      <c r="Z389" s="108" t="s">
        <v>182</v>
      </c>
      <c r="AA389" s="504">
        <v>9.1</v>
      </c>
      <c r="AB389" s="97" t="s">
        <v>841</v>
      </c>
      <c r="AC389" s="10"/>
      <c r="AD389" s="19" t="s">
        <v>833</v>
      </c>
      <c r="AE389" s="109">
        <v>0.1</v>
      </c>
    </row>
    <row r="390" spans="24:31" x14ac:dyDescent="0.25">
      <c r="X390" s="119" t="s">
        <v>840</v>
      </c>
      <c r="Y390" s="331">
        <v>41099</v>
      </c>
      <c r="Z390" s="108" t="s">
        <v>182</v>
      </c>
      <c r="AA390" s="504">
        <v>10.3</v>
      </c>
      <c r="AB390" s="97" t="s">
        <v>841</v>
      </c>
      <c r="AC390" s="10"/>
      <c r="AD390" s="19" t="s">
        <v>833</v>
      </c>
      <c r="AE390" s="109">
        <v>0.1</v>
      </c>
    </row>
    <row r="391" spans="24:31" x14ac:dyDescent="0.25">
      <c r="X391" s="119" t="s">
        <v>842</v>
      </c>
      <c r="Y391" s="331">
        <v>41099</v>
      </c>
      <c r="Z391" s="96" t="s">
        <v>181</v>
      </c>
      <c r="AA391" s="95">
        <v>34</v>
      </c>
      <c r="AB391" s="94" t="s">
        <v>835</v>
      </c>
      <c r="AC391" s="554"/>
      <c r="AD391" s="19" t="s">
        <v>833</v>
      </c>
      <c r="AE391" s="109">
        <v>2</v>
      </c>
    </row>
    <row r="392" spans="24:31" x14ac:dyDescent="0.25">
      <c r="X392" s="119" t="s">
        <v>842</v>
      </c>
      <c r="Y392" s="331">
        <v>41099</v>
      </c>
      <c r="Z392" s="19" t="s">
        <v>186</v>
      </c>
      <c r="AA392" s="92">
        <v>70</v>
      </c>
      <c r="AB392" s="19" t="s">
        <v>834</v>
      </c>
      <c r="AC392" s="92"/>
      <c r="AD392" s="19" t="s">
        <v>833</v>
      </c>
      <c r="AE392" s="93">
        <v>2</v>
      </c>
    </row>
    <row r="393" spans="24:31" x14ac:dyDescent="0.25">
      <c r="X393" s="119" t="s">
        <v>842</v>
      </c>
      <c r="Y393" s="331">
        <v>41099</v>
      </c>
      <c r="Z393" s="19" t="s">
        <v>180</v>
      </c>
      <c r="AA393" s="92">
        <v>129</v>
      </c>
      <c r="AB393" s="94" t="s">
        <v>835</v>
      </c>
      <c r="AC393" s="19"/>
      <c r="AD393" s="19" t="s">
        <v>833</v>
      </c>
      <c r="AE393" s="93">
        <v>2</v>
      </c>
    </row>
    <row r="394" spans="24:31" x14ac:dyDescent="0.25">
      <c r="X394" s="119" t="s">
        <v>842</v>
      </c>
      <c r="Y394" s="331">
        <v>41099</v>
      </c>
      <c r="Z394" s="19" t="s">
        <v>185</v>
      </c>
      <c r="AA394" s="103">
        <v>41</v>
      </c>
      <c r="AB394" s="19" t="s">
        <v>836</v>
      </c>
      <c r="AC394" s="19"/>
      <c r="AD394" s="19" t="s">
        <v>838</v>
      </c>
      <c r="AE394" s="93">
        <v>4</v>
      </c>
    </row>
    <row r="395" spans="24:31" x14ac:dyDescent="0.25">
      <c r="X395" s="119" t="s">
        <v>842</v>
      </c>
      <c r="Y395" s="331">
        <v>41099</v>
      </c>
      <c r="Z395" s="108" t="s">
        <v>210</v>
      </c>
      <c r="AA395" s="92">
        <v>647</v>
      </c>
      <c r="AB395" s="94" t="s">
        <v>832</v>
      </c>
      <c r="AC395" s="19"/>
      <c r="AD395" s="554" t="s">
        <v>833</v>
      </c>
      <c r="AE395" s="93">
        <v>2</v>
      </c>
    </row>
    <row r="396" spans="24:31" x14ac:dyDescent="0.25">
      <c r="X396" s="119">
        <v>52</v>
      </c>
      <c r="Y396" s="331">
        <v>41114</v>
      </c>
      <c r="Z396" s="19" t="s">
        <v>186</v>
      </c>
      <c r="AA396" s="93">
        <v>548</v>
      </c>
      <c r="AB396" s="19" t="s">
        <v>834</v>
      </c>
      <c r="AC396" s="92"/>
      <c r="AD396" s="19" t="s">
        <v>833</v>
      </c>
      <c r="AE396" s="93">
        <v>2</v>
      </c>
    </row>
    <row r="397" spans="24:31" x14ac:dyDescent="0.25">
      <c r="X397" s="119">
        <v>52</v>
      </c>
      <c r="Y397" s="331">
        <v>41114</v>
      </c>
      <c r="Z397" s="19" t="s">
        <v>180</v>
      </c>
      <c r="AA397" s="92">
        <v>110</v>
      </c>
      <c r="AB397" s="94" t="s">
        <v>835</v>
      </c>
      <c r="AD397" s="19" t="s">
        <v>833</v>
      </c>
      <c r="AE397" s="93">
        <v>2</v>
      </c>
    </row>
    <row r="398" spans="24:31" x14ac:dyDescent="0.25">
      <c r="X398" s="119">
        <v>52</v>
      </c>
      <c r="Y398" s="331">
        <v>41114</v>
      </c>
      <c r="Z398" s="108" t="s">
        <v>210</v>
      </c>
      <c r="AA398" s="92">
        <v>790</v>
      </c>
      <c r="AB398" s="94" t="s">
        <v>832</v>
      </c>
      <c r="AD398" s="554" t="s">
        <v>833</v>
      </c>
      <c r="AE398" s="93">
        <v>2</v>
      </c>
    </row>
    <row r="399" spans="24:31" x14ac:dyDescent="0.25">
      <c r="X399" s="119">
        <v>52</v>
      </c>
      <c r="Y399" s="331">
        <v>41114</v>
      </c>
      <c r="Z399" s="19" t="s">
        <v>251</v>
      </c>
      <c r="AA399" s="92">
        <v>33</v>
      </c>
      <c r="AB399" s="19" t="s">
        <v>843</v>
      </c>
      <c r="AD399" s="554" t="s">
        <v>833</v>
      </c>
      <c r="AE399" s="5">
        <v>3</v>
      </c>
    </row>
    <row r="400" spans="24:31" x14ac:dyDescent="0.25">
      <c r="X400" s="119">
        <v>53</v>
      </c>
      <c r="Y400" s="331">
        <v>41114</v>
      </c>
      <c r="Z400" s="19" t="s">
        <v>186</v>
      </c>
      <c r="AA400" s="92">
        <v>136</v>
      </c>
      <c r="AB400" s="19" t="s">
        <v>834</v>
      </c>
      <c r="AD400" s="19" t="s">
        <v>833</v>
      </c>
      <c r="AE400" s="93">
        <v>2</v>
      </c>
    </row>
    <row r="401" spans="24:31" x14ac:dyDescent="0.25">
      <c r="X401" s="119">
        <v>53</v>
      </c>
      <c r="Y401" s="331">
        <v>41114</v>
      </c>
      <c r="Z401" s="19" t="s">
        <v>180</v>
      </c>
      <c r="AA401" s="92">
        <v>18</v>
      </c>
      <c r="AB401" s="94" t="s">
        <v>835</v>
      </c>
      <c r="AC401" s="19"/>
      <c r="AD401" s="19" t="s">
        <v>833</v>
      </c>
      <c r="AE401" s="93">
        <v>2</v>
      </c>
    </row>
    <row r="402" spans="24:31" x14ac:dyDescent="0.25">
      <c r="X402" s="119">
        <v>53</v>
      </c>
      <c r="Y402" s="331">
        <v>41114</v>
      </c>
      <c r="Z402" s="108" t="s">
        <v>210</v>
      </c>
      <c r="AA402" s="92">
        <v>235</v>
      </c>
      <c r="AB402" s="94" t="s">
        <v>832</v>
      </c>
      <c r="AD402" s="554" t="s">
        <v>833</v>
      </c>
      <c r="AE402" s="93">
        <v>2</v>
      </c>
    </row>
    <row r="403" spans="24:31" x14ac:dyDescent="0.25">
      <c r="X403" s="119">
        <v>53</v>
      </c>
      <c r="Y403" s="331">
        <v>41114</v>
      </c>
      <c r="Z403" s="19" t="s">
        <v>251</v>
      </c>
      <c r="AA403" s="92">
        <v>24</v>
      </c>
      <c r="AB403" s="19" t="s">
        <v>843</v>
      </c>
      <c r="AD403" s="554" t="s">
        <v>833</v>
      </c>
      <c r="AE403" s="5">
        <v>3</v>
      </c>
    </row>
    <row r="404" spans="24:31" x14ac:dyDescent="0.25">
      <c r="X404" s="119">
        <v>54</v>
      </c>
      <c r="Y404" s="331">
        <v>41114</v>
      </c>
      <c r="Z404" s="19" t="s">
        <v>186</v>
      </c>
      <c r="AA404" s="92">
        <v>34</v>
      </c>
      <c r="AB404" s="19" t="s">
        <v>834</v>
      </c>
      <c r="AC404" s="19"/>
      <c r="AD404" s="19" t="s">
        <v>833</v>
      </c>
      <c r="AE404" s="93">
        <v>2</v>
      </c>
    </row>
    <row r="405" spans="24:31" x14ac:dyDescent="0.25">
      <c r="X405" s="119">
        <v>54</v>
      </c>
      <c r="Y405" s="331">
        <v>41114</v>
      </c>
      <c r="Z405" s="19" t="s">
        <v>180</v>
      </c>
      <c r="AA405" s="92">
        <v>88</v>
      </c>
      <c r="AB405" s="94" t="s">
        <v>835</v>
      </c>
      <c r="AD405" s="19" t="s">
        <v>833</v>
      </c>
      <c r="AE405" s="93">
        <v>2</v>
      </c>
    </row>
    <row r="406" spans="24:31" x14ac:dyDescent="0.25">
      <c r="X406" s="119">
        <v>54</v>
      </c>
      <c r="Y406" s="331">
        <v>41114</v>
      </c>
      <c r="Z406" s="108" t="s">
        <v>210</v>
      </c>
      <c r="AA406" s="92">
        <v>217</v>
      </c>
      <c r="AB406" s="94" t="s">
        <v>832</v>
      </c>
      <c r="AD406" s="554" t="s">
        <v>833</v>
      </c>
      <c r="AE406" s="93">
        <v>2</v>
      </c>
    </row>
    <row r="407" spans="24:31" x14ac:dyDescent="0.25">
      <c r="X407" s="119">
        <v>54</v>
      </c>
      <c r="Y407" s="331">
        <v>41114</v>
      </c>
      <c r="Z407" s="19" t="s">
        <v>251</v>
      </c>
      <c r="AA407" s="92">
        <v>22</v>
      </c>
      <c r="AB407" s="19" t="s">
        <v>843</v>
      </c>
      <c r="AD407" s="554" t="s">
        <v>833</v>
      </c>
      <c r="AE407" s="5">
        <v>3</v>
      </c>
    </row>
    <row r="408" spans="24:31" x14ac:dyDescent="0.25">
      <c r="X408" s="119">
        <v>55</v>
      </c>
      <c r="Y408" s="331">
        <v>41114</v>
      </c>
      <c r="Z408" s="19" t="s">
        <v>186</v>
      </c>
      <c r="AA408" s="92">
        <v>37</v>
      </c>
      <c r="AB408" s="19" t="s">
        <v>834</v>
      </c>
      <c r="AC408" s="92"/>
      <c r="AD408" s="19" t="s">
        <v>833</v>
      </c>
      <c r="AE408" s="93">
        <v>2</v>
      </c>
    </row>
    <row r="409" spans="24:31" x14ac:dyDescent="0.25">
      <c r="X409" s="119">
        <v>55</v>
      </c>
      <c r="Y409" s="331">
        <v>41114</v>
      </c>
      <c r="Z409" s="19" t="s">
        <v>180</v>
      </c>
      <c r="AA409" s="92">
        <v>21</v>
      </c>
      <c r="AB409" s="94" t="s">
        <v>835</v>
      </c>
      <c r="AD409" s="19" t="s">
        <v>833</v>
      </c>
      <c r="AE409" s="93">
        <v>2</v>
      </c>
    </row>
    <row r="410" spans="24:31" x14ac:dyDescent="0.25">
      <c r="X410" s="119">
        <v>55</v>
      </c>
      <c r="Y410" s="331">
        <v>41114</v>
      </c>
      <c r="Z410" s="108" t="s">
        <v>210</v>
      </c>
      <c r="AA410" s="92">
        <v>251</v>
      </c>
      <c r="AB410" s="94" t="s">
        <v>832</v>
      </c>
      <c r="AD410" s="554" t="s">
        <v>833</v>
      </c>
      <c r="AE410" s="93">
        <v>2</v>
      </c>
    </row>
    <row r="411" spans="24:31" x14ac:dyDescent="0.25">
      <c r="X411" s="119">
        <v>55</v>
      </c>
      <c r="Y411" s="331">
        <v>41114</v>
      </c>
      <c r="Z411" s="19" t="s">
        <v>251</v>
      </c>
      <c r="AA411" s="92">
        <v>31</v>
      </c>
      <c r="AB411" s="19" t="s">
        <v>843</v>
      </c>
      <c r="AD411" s="554" t="s">
        <v>833</v>
      </c>
      <c r="AE411" s="5">
        <v>3</v>
      </c>
    </row>
    <row r="412" spans="24:31" x14ac:dyDescent="0.25">
      <c r="X412" s="119">
        <v>58</v>
      </c>
      <c r="Y412" s="331">
        <v>41130</v>
      </c>
      <c r="Z412" s="19" t="s">
        <v>186</v>
      </c>
      <c r="AA412" s="92">
        <v>72</v>
      </c>
      <c r="AB412" s="19" t="s">
        <v>844</v>
      </c>
      <c r="AC412" s="92"/>
      <c r="AD412" s="19" t="s">
        <v>833</v>
      </c>
      <c r="AE412" s="93">
        <v>2</v>
      </c>
    </row>
    <row r="413" spans="24:31" x14ac:dyDescent="0.25">
      <c r="X413" s="119">
        <v>58</v>
      </c>
      <c r="Y413" s="331">
        <v>41130</v>
      </c>
      <c r="Z413" s="19" t="s">
        <v>180</v>
      </c>
      <c r="AA413" s="92">
        <v>9</v>
      </c>
      <c r="AB413" s="94" t="s">
        <v>835</v>
      </c>
      <c r="AC413" s="19"/>
      <c r="AD413" s="19" t="s">
        <v>833</v>
      </c>
      <c r="AE413" s="93">
        <v>2</v>
      </c>
    </row>
    <row r="414" spans="24:31" x14ac:dyDescent="0.25">
      <c r="X414" s="119">
        <v>58</v>
      </c>
      <c r="Y414" s="331">
        <v>41130</v>
      </c>
      <c r="Z414" s="19" t="s">
        <v>251</v>
      </c>
      <c r="AA414" s="92">
        <v>20</v>
      </c>
      <c r="AB414" s="19" t="s">
        <v>843</v>
      </c>
      <c r="AD414" s="554" t="s">
        <v>833</v>
      </c>
      <c r="AE414" s="5">
        <v>3</v>
      </c>
    </row>
    <row r="415" spans="24:31" x14ac:dyDescent="0.25">
      <c r="X415" s="119">
        <v>58</v>
      </c>
      <c r="Y415" s="331">
        <v>41130</v>
      </c>
      <c r="Z415" s="108" t="s">
        <v>210</v>
      </c>
      <c r="AA415" s="92">
        <v>185</v>
      </c>
      <c r="AB415" s="94" t="s">
        <v>832</v>
      </c>
      <c r="AC415" s="19"/>
      <c r="AD415" s="554" t="s">
        <v>833</v>
      </c>
      <c r="AE415" s="93">
        <v>2</v>
      </c>
    </row>
    <row r="416" spans="24:31" x14ac:dyDescent="0.25">
      <c r="X416" s="119">
        <v>25</v>
      </c>
      <c r="Y416" s="331">
        <v>41130</v>
      </c>
      <c r="Z416" s="19" t="s">
        <v>186</v>
      </c>
      <c r="AA416" s="92">
        <v>10</v>
      </c>
      <c r="AB416" s="19" t="s">
        <v>844</v>
      </c>
      <c r="AC416" s="92"/>
      <c r="AD416" s="19" t="s">
        <v>833</v>
      </c>
      <c r="AE416" s="93">
        <v>2</v>
      </c>
    </row>
    <row r="417" spans="24:31" x14ac:dyDescent="0.25">
      <c r="X417" s="119">
        <v>25</v>
      </c>
      <c r="Y417" s="331">
        <v>41130</v>
      </c>
      <c r="Z417" s="19" t="s">
        <v>180</v>
      </c>
      <c r="AA417" s="92">
        <v>14</v>
      </c>
      <c r="AB417" s="94" t="s">
        <v>835</v>
      </c>
      <c r="AC417" s="92"/>
      <c r="AD417" s="19" t="s">
        <v>833</v>
      </c>
      <c r="AE417" s="93">
        <v>2</v>
      </c>
    </row>
    <row r="418" spans="24:31" x14ac:dyDescent="0.25">
      <c r="X418" s="119">
        <v>25</v>
      </c>
      <c r="Y418" s="331">
        <v>41130</v>
      </c>
      <c r="Z418" s="19" t="s">
        <v>251</v>
      </c>
      <c r="AA418" s="92">
        <v>24</v>
      </c>
      <c r="AB418" s="19" t="s">
        <v>843</v>
      </c>
      <c r="AD418" s="554" t="s">
        <v>833</v>
      </c>
      <c r="AE418" s="5">
        <v>3</v>
      </c>
    </row>
    <row r="419" spans="24:31" x14ac:dyDescent="0.25">
      <c r="X419" s="119" t="s">
        <v>845</v>
      </c>
      <c r="Y419" s="331">
        <v>41130</v>
      </c>
      <c r="Z419" s="19" t="s">
        <v>186</v>
      </c>
      <c r="AA419" s="92">
        <v>51</v>
      </c>
      <c r="AB419" s="19" t="s">
        <v>844</v>
      </c>
      <c r="AC419" s="92"/>
      <c r="AD419" s="19" t="s">
        <v>833</v>
      </c>
      <c r="AE419" s="93">
        <v>2</v>
      </c>
    </row>
    <row r="420" spans="24:31" x14ac:dyDescent="0.25">
      <c r="X420" s="119" t="s">
        <v>845</v>
      </c>
      <c r="Y420" s="331">
        <v>41130</v>
      </c>
      <c r="Z420" s="19" t="s">
        <v>180</v>
      </c>
      <c r="AA420" s="92">
        <v>16</v>
      </c>
      <c r="AB420" s="94" t="s">
        <v>835</v>
      </c>
      <c r="AC420" s="19"/>
      <c r="AD420" s="19" t="s">
        <v>833</v>
      </c>
      <c r="AE420" s="93">
        <v>2</v>
      </c>
    </row>
    <row r="421" spans="24:31" x14ac:dyDescent="0.25">
      <c r="X421" s="119" t="s">
        <v>845</v>
      </c>
      <c r="Y421" s="331">
        <v>41130</v>
      </c>
      <c r="Z421" s="19" t="s">
        <v>251</v>
      </c>
      <c r="AA421" s="92">
        <v>18</v>
      </c>
      <c r="AB421" s="19" t="s">
        <v>843</v>
      </c>
      <c r="AD421" s="554" t="s">
        <v>833</v>
      </c>
      <c r="AE421" s="5">
        <v>3</v>
      </c>
    </row>
    <row r="422" spans="24:31" x14ac:dyDescent="0.25">
      <c r="X422" s="119" t="s">
        <v>845</v>
      </c>
      <c r="Y422" s="331">
        <v>41130</v>
      </c>
      <c r="Z422" s="108" t="s">
        <v>210</v>
      </c>
      <c r="AA422" s="92">
        <v>171</v>
      </c>
      <c r="AB422" s="94" t="s">
        <v>832</v>
      </c>
      <c r="AC422" s="19"/>
      <c r="AD422" s="554" t="s">
        <v>833</v>
      </c>
      <c r="AE422" s="93">
        <v>2</v>
      </c>
    </row>
    <row r="423" spans="24:31" x14ac:dyDescent="0.25">
      <c r="X423" s="119" t="s">
        <v>846</v>
      </c>
      <c r="Y423" s="331">
        <v>41130</v>
      </c>
      <c r="Z423" s="19" t="s">
        <v>186</v>
      </c>
      <c r="AA423" s="92">
        <v>28</v>
      </c>
      <c r="AB423" s="19" t="s">
        <v>844</v>
      </c>
      <c r="AC423" s="92"/>
      <c r="AD423" s="19" t="s">
        <v>833</v>
      </c>
      <c r="AE423" s="93">
        <v>2</v>
      </c>
    </row>
    <row r="424" spans="24:31" x14ac:dyDescent="0.25">
      <c r="X424" s="119" t="s">
        <v>846</v>
      </c>
      <c r="Y424" s="331">
        <v>41130</v>
      </c>
      <c r="Z424" s="19" t="s">
        <v>180</v>
      </c>
      <c r="AA424" s="92">
        <v>16</v>
      </c>
      <c r="AB424" s="94" t="s">
        <v>835</v>
      </c>
      <c r="AC424" s="19"/>
      <c r="AD424" s="19" t="s">
        <v>833</v>
      </c>
      <c r="AE424" s="93">
        <v>2</v>
      </c>
    </row>
    <row r="425" spans="24:31" x14ac:dyDescent="0.25">
      <c r="X425" s="119" t="s">
        <v>846</v>
      </c>
      <c r="Y425" s="331">
        <v>41130</v>
      </c>
      <c r="Z425" s="19" t="s">
        <v>251</v>
      </c>
      <c r="AA425" s="92">
        <v>18</v>
      </c>
      <c r="AB425" s="19" t="s">
        <v>843</v>
      </c>
      <c r="AD425" s="554" t="s">
        <v>833</v>
      </c>
      <c r="AE425" s="5">
        <v>3</v>
      </c>
    </row>
    <row r="426" spans="24:31" x14ac:dyDescent="0.25">
      <c r="X426" s="119" t="s">
        <v>846</v>
      </c>
      <c r="Y426" s="331">
        <v>41130</v>
      </c>
      <c r="Z426" s="108" t="s">
        <v>210</v>
      </c>
      <c r="AA426" s="92">
        <v>199</v>
      </c>
      <c r="AB426" s="94" t="s">
        <v>832</v>
      </c>
      <c r="AC426" s="19"/>
      <c r="AD426" s="554" t="s">
        <v>833</v>
      </c>
      <c r="AE426" s="93">
        <v>2</v>
      </c>
    </row>
    <row r="427" spans="24:31" x14ac:dyDescent="0.25">
      <c r="X427" s="119">
        <v>5</v>
      </c>
      <c r="Y427" s="331">
        <v>41130</v>
      </c>
      <c r="Z427" s="19" t="s">
        <v>186</v>
      </c>
      <c r="AA427" s="92">
        <v>15</v>
      </c>
      <c r="AB427" s="19" t="s">
        <v>844</v>
      </c>
      <c r="AC427" s="92"/>
      <c r="AD427" s="19" t="s">
        <v>833</v>
      </c>
      <c r="AE427" s="93">
        <v>2</v>
      </c>
    </row>
    <row r="428" spans="24:31" x14ac:dyDescent="0.25">
      <c r="X428" s="119">
        <v>5</v>
      </c>
      <c r="Y428" s="331">
        <v>41130</v>
      </c>
      <c r="Z428" s="19" t="s">
        <v>180</v>
      </c>
      <c r="AA428" s="92">
        <v>40</v>
      </c>
      <c r="AB428" s="94" t="s">
        <v>835</v>
      </c>
      <c r="AC428" s="19"/>
      <c r="AD428" s="19" t="s">
        <v>833</v>
      </c>
      <c r="AE428" s="93">
        <v>2</v>
      </c>
    </row>
    <row r="429" spans="24:31" x14ac:dyDescent="0.25">
      <c r="X429" s="119">
        <v>5</v>
      </c>
      <c r="Y429" s="331">
        <v>41130</v>
      </c>
      <c r="Z429" s="19" t="s">
        <v>251</v>
      </c>
      <c r="AA429" s="92">
        <v>18</v>
      </c>
      <c r="AB429" s="19" t="s">
        <v>843</v>
      </c>
      <c r="AD429" s="554" t="s">
        <v>833</v>
      </c>
      <c r="AE429" s="5">
        <v>3</v>
      </c>
    </row>
    <row r="430" spans="24:31" x14ac:dyDescent="0.25">
      <c r="X430" s="119" t="s">
        <v>574</v>
      </c>
      <c r="Y430" s="331">
        <v>41130</v>
      </c>
      <c r="Z430" s="19" t="s">
        <v>186</v>
      </c>
      <c r="AA430" s="92">
        <v>147</v>
      </c>
      <c r="AB430" s="19" t="s">
        <v>844</v>
      </c>
      <c r="AC430" s="92"/>
      <c r="AD430" s="19" t="s">
        <v>833</v>
      </c>
      <c r="AE430" s="93">
        <v>2</v>
      </c>
    </row>
    <row r="431" spans="24:31" x14ac:dyDescent="0.25">
      <c r="X431" s="119" t="s">
        <v>574</v>
      </c>
      <c r="Y431" s="331">
        <v>41130</v>
      </c>
      <c r="Z431" s="19" t="s">
        <v>180</v>
      </c>
      <c r="AA431" s="92">
        <v>36</v>
      </c>
      <c r="AB431" s="94" t="s">
        <v>835</v>
      </c>
      <c r="AC431" s="19"/>
      <c r="AD431" s="19" t="s">
        <v>833</v>
      </c>
      <c r="AE431" s="93">
        <v>2</v>
      </c>
    </row>
    <row r="432" spans="24:31" x14ac:dyDescent="0.25">
      <c r="X432" s="119" t="s">
        <v>574</v>
      </c>
      <c r="Y432" s="331">
        <v>41130</v>
      </c>
      <c r="Z432" s="19" t="s">
        <v>251</v>
      </c>
      <c r="AA432" s="92">
        <v>27</v>
      </c>
      <c r="AB432" s="19" t="s">
        <v>843</v>
      </c>
      <c r="AD432" s="554" t="s">
        <v>833</v>
      </c>
      <c r="AE432" s="5">
        <v>3</v>
      </c>
    </row>
    <row r="433" spans="24:31" x14ac:dyDescent="0.25">
      <c r="X433" s="119">
        <v>9</v>
      </c>
      <c r="Y433" s="331">
        <v>41130</v>
      </c>
      <c r="Z433" s="19" t="s">
        <v>186</v>
      </c>
      <c r="AA433" s="92">
        <v>60</v>
      </c>
      <c r="AB433" s="19" t="s">
        <v>844</v>
      </c>
      <c r="AC433" s="92"/>
      <c r="AD433" s="19" t="s">
        <v>833</v>
      </c>
      <c r="AE433" s="93">
        <v>2</v>
      </c>
    </row>
    <row r="434" spans="24:31" x14ac:dyDescent="0.25">
      <c r="X434" s="119">
        <v>9</v>
      </c>
      <c r="Y434" s="331">
        <v>41130</v>
      </c>
      <c r="Z434" s="19" t="s">
        <v>180</v>
      </c>
      <c r="AA434" s="92">
        <v>31</v>
      </c>
      <c r="AB434" s="94" t="s">
        <v>835</v>
      </c>
      <c r="AC434" s="19"/>
      <c r="AD434" s="19" t="s">
        <v>833</v>
      </c>
      <c r="AE434" s="93">
        <v>2</v>
      </c>
    </row>
    <row r="435" spans="24:31" x14ac:dyDescent="0.25">
      <c r="X435" s="119">
        <v>9</v>
      </c>
      <c r="Y435" s="331">
        <v>41130</v>
      </c>
      <c r="Z435" s="19" t="s">
        <v>251</v>
      </c>
      <c r="AA435" s="92">
        <v>20</v>
      </c>
      <c r="AB435" s="19" t="s">
        <v>843</v>
      </c>
      <c r="AD435" s="554" t="s">
        <v>833</v>
      </c>
      <c r="AE435" s="5">
        <v>3</v>
      </c>
    </row>
    <row r="436" spans="24:31" x14ac:dyDescent="0.25">
      <c r="X436" s="119">
        <v>9</v>
      </c>
      <c r="Y436" s="331">
        <v>41130</v>
      </c>
      <c r="Z436" s="108" t="s">
        <v>210</v>
      </c>
      <c r="AA436" s="92">
        <v>280</v>
      </c>
      <c r="AB436" s="94" t="s">
        <v>832</v>
      </c>
      <c r="AC436" s="19"/>
      <c r="AD436" s="554" t="s">
        <v>833</v>
      </c>
      <c r="AE436" s="93">
        <v>2</v>
      </c>
    </row>
    <row r="437" spans="24:31" x14ac:dyDescent="0.25">
      <c r="X437" s="119">
        <v>12</v>
      </c>
      <c r="Y437" s="331">
        <v>41130</v>
      </c>
      <c r="Z437" s="19" t="s">
        <v>186</v>
      </c>
      <c r="AA437" s="92">
        <v>231</v>
      </c>
      <c r="AB437" s="19" t="s">
        <v>844</v>
      </c>
      <c r="AC437" s="92"/>
      <c r="AD437" s="19" t="s">
        <v>833</v>
      </c>
      <c r="AE437" s="93">
        <v>2</v>
      </c>
    </row>
    <row r="438" spans="24:31" x14ac:dyDescent="0.25">
      <c r="X438" s="119">
        <v>12</v>
      </c>
      <c r="Y438" s="331">
        <v>41130</v>
      </c>
      <c r="Z438" s="19" t="s">
        <v>180</v>
      </c>
      <c r="AA438" s="92">
        <v>42</v>
      </c>
      <c r="AB438" s="94" t="s">
        <v>835</v>
      </c>
      <c r="AC438" s="19"/>
      <c r="AD438" s="19" t="s">
        <v>833</v>
      </c>
      <c r="AE438" s="93">
        <v>2</v>
      </c>
    </row>
    <row r="439" spans="24:31" x14ac:dyDescent="0.25">
      <c r="X439" s="119">
        <v>12</v>
      </c>
      <c r="Y439" s="331">
        <v>41130</v>
      </c>
      <c r="Z439" s="19" t="s">
        <v>251</v>
      </c>
      <c r="AA439" s="92">
        <v>19</v>
      </c>
      <c r="AB439" s="19" t="s">
        <v>843</v>
      </c>
      <c r="AD439" s="554" t="s">
        <v>833</v>
      </c>
      <c r="AE439" s="5">
        <v>3</v>
      </c>
    </row>
    <row r="440" spans="24:31" x14ac:dyDescent="0.25">
      <c r="X440" s="119" t="s">
        <v>575</v>
      </c>
      <c r="Y440" s="331">
        <v>41130</v>
      </c>
      <c r="Z440" s="19" t="s">
        <v>186</v>
      </c>
      <c r="AA440" s="92">
        <v>132</v>
      </c>
      <c r="AB440" s="19" t="s">
        <v>844</v>
      </c>
      <c r="AC440" s="92"/>
      <c r="AD440" s="19" t="s">
        <v>833</v>
      </c>
      <c r="AE440" s="93">
        <v>2</v>
      </c>
    </row>
    <row r="441" spans="24:31" x14ac:dyDescent="0.25">
      <c r="X441" s="119" t="s">
        <v>575</v>
      </c>
      <c r="Y441" s="331">
        <v>41130</v>
      </c>
      <c r="Z441" s="19" t="s">
        <v>180</v>
      </c>
      <c r="AA441" s="92">
        <v>44</v>
      </c>
      <c r="AB441" s="94" t="s">
        <v>835</v>
      </c>
      <c r="AC441" s="19"/>
      <c r="AD441" s="19" t="s">
        <v>833</v>
      </c>
      <c r="AE441" s="93">
        <v>2</v>
      </c>
    </row>
    <row r="442" spans="24:31" x14ac:dyDescent="0.25">
      <c r="X442" s="119" t="s">
        <v>575</v>
      </c>
      <c r="Y442" s="331">
        <v>41130</v>
      </c>
      <c r="Z442" s="19" t="s">
        <v>251</v>
      </c>
      <c r="AA442" s="92">
        <v>22</v>
      </c>
      <c r="AB442" s="19" t="s">
        <v>843</v>
      </c>
      <c r="AD442" s="554" t="s">
        <v>833</v>
      </c>
      <c r="AE442" s="5">
        <v>3</v>
      </c>
    </row>
    <row r="443" spans="24:31" x14ac:dyDescent="0.25">
      <c r="X443" s="119" t="s">
        <v>847</v>
      </c>
      <c r="Y443" s="331">
        <v>41130</v>
      </c>
      <c r="Z443" s="19" t="s">
        <v>186</v>
      </c>
      <c r="AA443" s="92">
        <v>102</v>
      </c>
      <c r="AB443" s="19" t="s">
        <v>844</v>
      </c>
      <c r="AC443" s="92"/>
      <c r="AD443" s="19" t="s">
        <v>833</v>
      </c>
      <c r="AE443" s="93">
        <v>2</v>
      </c>
    </row>
    <row r="444" spans="24:31" x14ac:dyDescent="0.25">
      <c r="X444" s="119" t="s">
        <v>847</v>
      </c>
      <c r="Y444" s="331">
        <v>41130</v>
      </c>
      <c r="Z444" s="19" t="s">
        <v>180</v>
      </c>
      <c r="AA444" s="92">
        <v>43</v>
      </c>
      <c r="AB444" s="94" t="s">
        <v>835</v>
      </c>
      <c r="AC444" s="19"/>
      <c r="AD444" s="19" t="s">
        <v>833</v>
      </c>
      <c r="AE444" s="93">
        <v>2</v>
      </c>
    </row>
    <row r="445" spans="24:31" x14ac:dyDescent="0.25">
      <c r="X445" s="119" t="s">
        <v>847</v>
      </c>
      <c r="Y445" s="331">
        <v>41130</v>
      </c>
      <c r="Z445" s="19" t="s">
        <v>251</v>
      </c>
      <c r="AA445" s="92">
        <v>19</v>
      </c>
      <c r="AB445" s="19" t="s">
        <v>843</v>
      </c>
      <c r="AD445" s="554" t="s">
        <v>833</v>
      </c>
      <c r="AE445" s="5">
        <v>3</v>
      </c>
    </row>
    <row r="446" spans="24:31" x14ac:dyDescent="0.25">
      <c r="X446" s="119" t="s">
        <v>847</v>
      </c>
      <c r="Y446" s="331">
        <v>41130</v>
      </c>
      <c r="Z446" s="108" t="s">
        <v>210</v>
      </c>
      <c r="AA446" s="92">
        <v>385</v>
      </c>
      <c r="AB446" s="94" t="s">
        <v>832</v>
      </c>
      <c r="AC446" s="19"/>
      <c r="AD446" s="554" t="s">
        <v>833</v>
      </c>
      <c r="AE446" s="93">
        <v>2</v>
      </c>
    </row>
    <row r="447" spans="24:31" x14ac:dyDescent="0.25">
      <c r="X447" s="119">
        <v>18</v>
      </c>
      <c r="Y447" s="331">
        <v>41130</v>
      </c>
      <c r="Z447" s="19" t="s">
        <v>186</v>
      </c>
      <c r="AA447" s="92">
        <v>8</v>
      </c>
      <c r="AB447" s="19" t="s">
        <v>844</v>
      </c>
      <c r="AC447" s="92"/>
      <c r="AD447" s="19" t="s">
        <v>833</v>
      </c>
      <c r="AE447" s="93">
        <v>2</v>
      </c>
    </row>
    <row r="448" spans="24:31" x14ac:dyDescent="0.25">
      <c r="X448" s="119">
        <v>18</v>
      </c>
      <c r="Y448" s="331">
        <v>41130</v>
      </c>
      <c r="Z448" s="19" t="s">
        <v>180</v>
      </c>
      <c r="AA448" s="92">
        <v>46</v>
      </c>
      <c r="AB448" s="94" t="s">
        <v>835</v>
      </c>
      <c r="AC448" s="19"/>
      <c r="AD448" s="19" t="s">
        <v>833</v>
      </c>
      <c r="AE448" s="93">
        <v>2</v>
      </c>
    </row>
    <row r="449" spans="24:31" x14ac:dyDescent="0.25">
      <c r="X449" s="119">
        <v>18</v>
      </c>
      <c r="Y449" s="331">
        <v>41130</v>
      </c>
      <c r="Z449" s="19" t="s">
        <v>251</v>
      </c>
      <c r="AA449" s="92">
        <v>32</v>
      </c>
      <c r="AB449" s="19" t="s">
        <v>843</v>
      </c>
      <c r="AC449" s="92"/>
      <c r="AD449" s="554" t="s">
        <v>833</v>
      </c>
      <c r="AE449" s="5">
        <v>3</v>
      </c>
    </row>
    <row r="450" spans="24:31" x14ac:dyDescent="0.25">
      <c r="X450" s="119">
        <v>19</v>
      </c>
      <c r="Y450" s="331">
        <v>41130</v>
      </c>
      <c r="Z450" s="19" t="s">
        <v>186</v>
      </c>
      <c r="AA450" s="92">
        <v>16</v>
      </c>
      <c r="AB450" s="19" t="s">
        <v>844</v>
      </c>
      <c r="AC450" s="92"/>
      <c r="AD450" s="19" t="s">
        <v>833</v>
      </c>
      <c r="AE450" s="93">
        <v>2</v>
      </c>
    </row>
    <row r="451" spans="24:31" x14ac:dyDescent="0.25">
      <c r="X451" s="119">
        <v>19</v>
      </c>
      <c r="Y451" s="331">
        <v>41130</v>
      </c>
      <c r="Z451" s="19" t="s">
        <v>180</v>
      </c>
      <c r="AA451" s="92">
        <v>11</v>
      </c>
      <c r="AB451" s="94" t="s">
        <v>835</v>
      </c>
      <c r="AC451" s="19"/>
      <c r="AD451" s="19" t="s">
        <v>833</v>
      </c>
      <c r="AE451" s="93">
        <v>2</v>
      </c>
    </row>
    <row r="452" spans="24:31" x14ac:dyDescent="0.25">
      <c r="X452" s="119">
        <v>19</v>
      </c>
      <c r="Y452" s="331">
        <v>41130</v>
      </c>
      <c r="Z452" s="19" t="s">
        <v>251</v>
      </c>
      <c r="AA452" s="92">
        <v>26</v>
      </c>
      <c r="AB452" s="19" t="s">
        <v>843</v>
      </c>
      <c r="AD452" s="554" t="s">
        <v>833</v>
      </c>
      <c r="AE452" s="5">
        <v>3</v>
      </c>
    </row>
    <row r="453" spans="24:31" x14ac:dyDescent="0.25">
      <c r="X453" s="119">
        <v>35</v>
      </c>
      <c r="Y453" s="331">
        <v>41130</v>
      </c>
      <c r="Z453" s="19" t="s">
        <v>186</v>
      </c>
      <c r="AA453" s="92">
        <v>242</v>
      </c>
      <c r="AB453" s="19" t="s">
        <v>844</v>
      </c>
      <c r="AC453" s="92"/>
      <c r="AD453" s="19" t="s">
        <v>833</v>
      </c>
      <c r="AE453" s="93">
        <v>2</v>
      </c>
    </row>
    <row r="454" spans="24:31" x14ac:dyDescent="0.25">
      <c r="X454" s="119">
        <v>35</v>
      </c>
      <c r="Y454" s="331">
        <v>41130</v>
      </c>
      <c r="Z454" s="19" t="s">
        <v>180</v>
      </c>
      <c r="AA454" s="92">
        <v>14</v>
      </c>
      <c r="AB454" s="94" t="s">
        <v>835</v>
      </c>
      <c r="AC454" s="19"/>
      <c r="AD454" s="19" t="s">
        <v>833</v>
      </c>
      <c r="AE454" s="93">
        <v>2</v>
      </c>
    </row>
    <row r="455" spans="24:31" x14ac:dyDescent="0.25">
      <c r="X455" s="119">
        <v>35</v>
      </c>
      <c r="Y455" s="331">
        <v>41130</v>
      </c>
      <c r="Z455" s="19" t="s">
        <v>251</v>
      </c>
      <c r="AA455" s="92">
        <v>27</v>
      </c>
      <c r="AB455" s="19" t="s">
        <v>843</v>
      </c>
      <c r="AD455" s="554" t="s">
        <v>833</v>
      </c>
      <c r="AE455" s="5">
        <v>3</v>
      </c>
    </row>
    <row r="456" spans="24:31" x14ac:dyDescent="0.25">
      <c r="X456" s="119">
        <v>50</v>
      </c>
      <c r="Y456" s="331">
        <v>41130</v>
      </c>
      <c r="Z456" s="19" t="s">
        <v>186</v>
      </c>
      <c r="AA456" s="92">
        <v>9</v>
      </c>
      <c r="AB456" s="19" t="s">
        <v>844</v>
      </c>
      <c r="AC456" s="92"/>
      <c r="AD456" s="19" t="s">
        <v>833</v>
      </c>
      <c r="AE456" s="93">
        <v>2</v>
      </c>
    </row>
    <row r="457" spans="24:31" x14ac:dyDescent="0.25">
      <c r="X457" s="119">
        <v>50</v>
      </c>
      <c r="Y457" s="331">
        <v>41130</v>
      </c>
      <c r="Z457" s="19" t="s">
        <v>180</v>
      </c>
      <c r="AA457" s="92">
        <v>21</v>
      </c>
      <c r="AB457" s="94" t="s">
        <v>835</v>
      </c>
      <c r="AC457" s="19"/>
      <c r="AD457" s="19" t="s">
        <v>833</v>
      </c>
      <c r="AE457" s="93">
        <v>2</v>
      </c>
    </row>
    <row r="458" spans="24:31" x14ac:dyDescent="0.25">
      <c r="X458" s="119">
        <v>50</v>
      </c>
      <c r="Y458" s="331">
        <v>41130</v>
      </c>
      <c r="Z458" s="19" t="s">
        <v>251</v>
      </c>
      <c r="AA458" s="92">
        <v>16</v>
      </c>
      <c r="AB458" s="19" t="s">
        <v>843</v>
      </c>
      <c r="AD458" s="554" t="s">
        <v>833</v>
      </c>
      <c r="AE458" s="5">
        <v>3</v>
      </c>
    </row>
    <row r="459" spans="24:31" x14ac:dyDescent="0.25">
      <c r="X459" t="s">
        <v>849</v>
      </c>
      <c r="Y459" s="331">
        <v>41130</v>
      </c>
      <c r="Z459" s="19" t="s">
        <v>186</v>
      </c>
      <c r="AA459" s="92">
        <v>51</v>
      </c>
      <c r="AB459" s="19" t="s">
        <v>844</v>
      </c>
      <c r="AD459" s="19" t="s">
        <v>833</v>
      </c>
      <c r="AE459" s="93">
        <v>2</v>
      </c>
    </row>
    <row r="460" spans="24:31" x14ac:dyDescent="0.25">
      <c r="X460" t="s">
        <v>850</v>
      </c>
      <c r="Y460" s="331">
        <v>41130</v>
      </c>
      <c r="Z460" s="19" t="s">
        <v>186</v>
      </c>
      <c r="AA460" s="92">
        <v>215</v>
      </c>
      <c r="AB460" s="19" t="s">
        <v>844</v>
      </c>
      <c r="AD460" s="19" t="s">
        <v>833</v>
      </c>
      <c r="AE460" s="93">
        <v>2</v>
      </c>
    </row>
    <row r="461" spans="24:31" x14ac:dyDescent="0.25">
      <c r="X461" t="s">
        <v>849</v>
      </c>
      <c r="Y461" s="331">
        <v>41130</v>
      </c>
      <c r="Z461" s="19" t="s">
        <v>251</v>
      </c>
      <c r="AA461" s="92">
        <v>20</v>
      </c>
      <c r="AB461" s="19" t="s">
        <v>843</v>
      </c>
      <c r="AD461" s="554" t="s">
        <v>833</v>
      </c>
      <c r="AE461" s="5">
        <v>3</v>
      </c>
    </row>
    <row r="462" spans="24:31" x14ac:dyDescent="0.25">
      <c r="X462" t="s">
        <v>850</v>
      </c>
      <c r="Y462" s="331">
        <v>41130</v>
      </c>
      <c r="Z462" s="19" t="s">
        <v>251</v>
      </c>
      <c r="AA462" s="92">
        <v>61</v>
      </c>
      <c r="AB462" s="19" t="s">
        <v>843</v>
      </c>
      <c r="AD462" s="554" t="s">
        <v>833</v>
      </c>
      <c r="AE462" s="5">
        <v>3</v>
      </c>
    </row>
    <row r="463" spans="24:31" x14ac:dyDescent="0.25">
      <c r="X463" t="s">
        <v>849</v>
      </c>
      <c r="Y463" s="331">
        <v>41130</v>
      </c>
      <c r="Z463" s="19" t="s">
        <v>180</v>
      </c>
      <c r="AA463" s="92">
        <v>13</v>
      </c>
      <c r="AB463" s="94" t="s">
        <v>835</v>
      </c>
      <c r="AC463" s="19"/>
      <c r="AD463" s="19" t="s">
        <v>833</v>
      </c>
      <c r="AE463" s="93">
        <v>2</v>
      </c>
    </row>
    <row r="464" spans="24:31" x14ac:dyDescent="0.25">
      <c r="X464" t="s">
        <v>850</v>
      </c>
      <c r="Y464" s="331">
        <v>41130</v>
      </c>
      <c r="Z464" s="19" t="s">
        <v>180</v>
      </c>
      <c r="AA464" s="92">
        <v>18</v>
      </c>
      <c r="AB464" s="94" t="s">
        <v>835</v>
      </c>
      <c r="AC464" s="19"/>
      <c r="AD464" s="19" t="s">
        <v>833</v>
      </c>
      <c r="AE464" s="93">
        <v>2</v>
      </c>
    </row>
    <row r="465" spans="24:31" x14ac:dyDescent="0.25">
      <c r="X465" s="119">
        <v>36</v>
      </c>
      <c r="Y465" s="331">
        <v>41131</v>
      </c>
      <c r="Z465" s="19" t="s">
        <v>186</v>
      </c>
      <c r="AA465" s="92">
        <v>24</v>
      </c>
      <c r="AB465" s="19" t="s">
        <v>844</v>
      </c>
      <c r="AC465" s="92"/>
      <c r="AD465" s="19" t="s">
        <v>833</v>
      </c>
      <c r="AE465" s="93">
        <v>2</v>
      </c>
    </row>
    <row r="466" spans="24:31" x14ac:dyDescent="0.25">
      <c r="X466" s="119">
        <v>36</v>
      </c>
      <c r="Y466" s="331">
        <v>41131</v>
      </c>
      <c r="Z466" s="19" t="s">
        <v>180</v>
      </c>
      <c r="AA466" s="92">
        <v>4</v>
      </c>
      <c r="AB466" s="94" t="s">
        <v>835</v>
      </c>
      <c r="AC466" s="19"/>
      <c r="AD466" s="19" t="s">
        <v>833</v>
      </c>
      <c r="AE466" s="93">
        <v>2</v>
      </c>
    </row>
    <row r="467" spans="24:31" x14ac:dyDescent="0.25">
      <c r="X467" s="119">
        <v>36</v>
      </c>
      <c r="Y467" s="331">
        <v>41131</v>
      </c>
      <c r="Z467" s="19" t="s">
        <v>251</v>
      </c>
      <c r="AA467" s="92">
        <v>21</v>
      </c>
      <c r="AB467" s="19" t="s">
        <v>843</v>
      </c>
      <c r="AD467" s="554" t="s">
        <v>833</v>
      </c>
      <c r="AE467" s="5">
        <v>3</v>
      </c>
    </row>
    <row r="468" spans="24:31" x14ac:dyDescent="0.25">
      <c r="X468" s="119">
        <v>36</v>
      </c>
      <c r="Y468" s="331">
        <v>41131</v>
      </c>
      <c r="Z468" s="108" t="s">
        <v>210</v>
      </c>
      <c r="AA468" s="92">
        <v>178</v>
      </c>
      <c r="AB468" s="94" t="s">
        <v>832</v>
      </c>
      <c r="AC468" s="19"/>
      <c r="AD468" s="554" t="s">
        <v>833</v>
      </c>
      <c r="AE468" s="93">
        <v>2</v>
      </c>
    </row>
    <row r="469" spans="24:31" x14ac:dyDescent="0.25">
      <c r="X469" s="119">
        <v>37</v>
      </c>
      <c r="Y469" s="331">
        <v>41131</v>
      </c>
      <c r="Z469" s="19" t="s">
        <v>186</v>
      </c>
      <c r="AA469" s="92">
        <v>52</v>
      </c>
      <c r="AB469" s="19" t="s">
        <v>844</v>
      </c>
      <c r="AC469" s="92"/>
      <c r="AD469" s="19" t="s">
        <v>833</v>
      </c>
      <c r="AE469" s="93">
        <v>2</v>
      </c>
    </row>
    <row r="470" spans="24:31" x14ac:dyDescent="0.25">
      <c r="X470" s="119">
        <v>37</v>
      </c>
      <c r="Y470" s="331">
        <v>41131</v>
      </c>
      <c r="Z470" s="19" t="s">
        <v>180</v>
      </c>
      <c r="AA470" s="92">
        <v>8</v>
      </c>
      <c r="AB470" s="94" t="s">
        <v>835</v>
      </c>
      <c r="AC470" s="92"/>
      <c r="AD470" s="19" t="s">
        <v>833</v>
      </c>
      <c r="AE470" s="93">
        <v>2</v>
      </c>
    </row>
    <row r="471" spans="24:31" x14ac:dyDescent="0.25">
      <c r="X471" s="119">
        <v>37</v>
      </c>
      <c r="Y471" s="331">
        <v>41131</v>
      </c>
      <c r="Z471" s="19" t="s">
        <v>251</v>
      </c>
      <c r="AA471" s="92">
        <v>14</v>
      </c>
      <c r="AB471" s="19" t="s">
        <v>843</v>
      </c>
      <c r="AD471" s="554" t="s">
        <v>833</v>
      </c>
      <c r="AE471" s="5">
        <v>3</v>
      </c>
    </row>
    <row r="472" spans="24:31" x14ac:dyDescent="0.25">
      <c r="X472" s="119" t="s">
        <v>400</v>
      </c>
      <c r="Y472" s="331">
        <v>41131</v>
      </c>
      <c r="Z472" s="19" t="s">
        <v>186</v>
      </c>
      <c r="AA472" s="92">
        <v>13</v>
      </c>
      <c r="AB472" s="19" t="s">
        <v>844</v>
      </c>
      <c r="AC472" s="92"/>
      <c r="AD472" s="19" t="s">
        <v>833</v>
      </c>
      <c r="AE472" s="93">
        <v>2</v>
      </c>
    </row>
    <row r="473" spans="24:31" x14ac:dyDescent="0.25">
      <c r="X473" s="119" t="s">
        <v>400</v>
      </c>
      <c r="Y473" s="331">
        <v>41131</v>
      </c>
      <c r="Z473" s="19" t="s">
        <v>180</v>
      </c>
      <c r="AA473" s="92">
        <v>48</v>
      </c>
      <c r="AB473" s="94" t="s">
        <v>835</v>
      </c>
      <c r="AC473" s="19"/>
      <c r="AD473" s="19" t="s">
        <v>833</v>
      </c>
      <c r="AE473" s="93">
        <v>2</v>
      </c>
    </row>
    <row r="474" spans="24:31" x14ac:dyDescent="0.25">
      <c r="X474" s="119" t="s">
        <v>400</v>
      </c>
      <c r="Y474" s="331">
        <v>41131</v>
      </c>
      <c r="Z474" s="19" t="s">
        <v>251</v>
      </c>
      <c r="AA474" s="92">
        <v>15</v>
      </c>
      <c r="AB474" s="19" t="s">
        <v>843</v>
      </c>
      <c r="AD474" s="554" t="s">
        <v>833</v>
      </c>
      <c r="AE474" s="5">
        <v>3</v>
      </c>
    </row>
    <row r="475" spans="24:31" x14ac:dyDescent="0.25">
      <c r="X475" s="119" t="s">
        <v>400</v>
      </c>
      <c r="Y475" s="331">
        <v>41131</v>
      </c>
      <c r="Z475" s="108" t="s">
        <v>210</v>
      </c>
      <c r="AA475" s="92">
        <v>390</v>
      </c>
      <c r="AB475" s="94" t="s">
        <v>832</v>
      </c>
      <c r="AC475" s="19"/>
      <c r="AD475" s="554" t="s">
        <v>833</v>
      </c>
      <c r="AE475" s="93">
        <v>2</v>
      </c>
    </row>
    <row r="476" spans="24:31" x14ac:dyDescent="0.25">
      <c r="X476" s="119" t="s">
        <v>400</v>
      </c>
      <c r="Y476" s="331">
        <v>41131</v>
      </c>
      <c r="Z476" s="96" t="s">
        <v>181</v>
      </c>
      <c r="AA476" s="95">
        <v>10</v>
      </c>
      <c r="AB476" s="94" t="s">
        <v>835</v>
      </c>
      <c r="AC476" s="554"/>
      <c r="AD476" s="19" t="s">
        <v>833</v>
      </c>
      <c r="AE476" s="109">
        <v>2</v>
      </c>
    </row>
    <row r="477" spans="24:31" x14ac:dyDescent="0.25">
      <c r="X477" s="119" t="s">
        <v>400</v>
      </c>
      <c r="Y477" s="331">
        <v>41131</v>
      </c>
      <c r="Z477" s="19" t="s">
        <v>185</v>
      </c>
      <c r="AA477" s="103">
        <v>10.6</v>
      </c>
      <c r="AB477" s="19" t="s">
        <v>836</v>
      </c>
      <c r="AC477" s="19"/>
      <c r="AD477" s="19" t="s">
        <v>838</v>
      </c>
      <c r="AE477" s="93">
        <v>4</v>
      </c>
    </row>
    <row r="478" spans="24:31" x14ac:dyDescent="0.25">
      <c r="X478" s="119" t="s">
        <v>523</v>
      </c>
      <c r="Y478" s="331">
        <v>41131</v>
      </c>
      <c r="Z478" s="19" t="s">
        <v>186</v>
      </c>
      <c r="AA478" s="92">
        <v>16</v>
      </c>
      <c r="AB478" s="19" t="s">
        <v>844</v>
      </c>
      <c r="AC478" s="92"/>
      <c r="AD478" s="19" t="s">
        <v>833</v>
      </c>
      <c r="AE478" s="93">
        <v>2</v>
      </c>
    </row>
    <row r="479" spans="24:31" x14ac:dyDescent="0.25">
      <c r="X479" s="119" t="s">
        <v>523</v>
      </c>
      <c r="Y479" s="331">
        <v>41131</v>
      </c>
      <c r="Z479" s="19" t="s">
        <v>180</v>
      </c>
      <c r="AA479" s="92">
        <v>37</v>
      </c>
      <c r="AB479" s="94" t="s">
        <v>835</v>
      </c>
      <c r="AC479" s="19"/>
      <c r="AD479" s="19" t="s">
        <v>833</v>
      </c>
      <c r="AE479" s="93">
        <v>2</v>
      </c>
    </row>
    <row r="480" spans="24:31" x14ac:dyDescent="0.25">
      <c r="X480" s="119" t="s">
        <v>523</v>
      </c>
      <c r="Y480" s="331">
        <v>41131</v>
      </c>
      <c r="Z480" s="19" t="s">
        <v>251</v>
      </c>
      <c r="AA480" s="92">
        <v>36</v>
      </c>
      <c r="AB480" s="19" t="s">
        <v>843</v>
      </c>
      <c r="AD480" s="554" t="s">
        <v>833</v>
      </c>
      <c r="AE480" s="5">
        <v>3</v>
      </c>
    </row>
    <row r="481" spans="24:31" x14ac:dyDescent="0.25">
      <c r="X481" s="119" t="s">
        <v>523</v>
      </c>
      <c r="Y481" s="331">
        <v>41131</v>
      </c>
      <c r="Z481" s="108" t="s">
        <v>210</v>
      </c>
      <c r="AA481" s="92">
        <v>335</v>
      </c>
      <c r="AB481" s="94" t="s">
        <v>832</v>
      </c>
      <c r="AC481" s="19"/>
      <c r="AD481" s="554" t="s">
        <v>833</v>
      </c>
      <c r="AE481" s="93">
        <v>2</v>
      </c>
    </row>
    <row r="482" spans="24:31" x14ac:dyDescent="0.25">
      <c r="X482" s="119" t="s">
        <v>523</v>
      </c>
      <c r="Y482" s="331">
        <v>41131</v>
      </c>
      <c r="Z482" s="96" t="s">
        <v>181</v>
      </c>
      <c r="AA482" s="95">
        <v>7</v>
      </c>
      <c r="AB482" s="94" t="s">
        <v>835</v>
      </c>
      <c r="AC482" s="554"/>
      <c r="AD482" s="19" t="s">
        <v>833</v>
      </c>
      <c r="AE482" s="109">
        <v>2</v>
      </c>
    </row>
    <row r="483" spans="24:31" x14ac:dyDescent="0.25">
      <c r="X483" s="119" t="s">
        <v>523</v>
      </c>
      <c r="Y483" s="331">
        <v>41131</v>
      </c>
      <c r="Z483" s="19" t="s">
        <v>185</v>
      </c>
      <c r="AA483" s="103">
        <v>10</v>
      </c>
      <c r="AB483" s="19" t="s">
        <v>836</v>
      </c>
      <c r="AC483" s="19"/>
      <c r="AD483" s="19" t="s">
        <v>838</v>
      </c>
      <c r="AE483" s="93">
        <v>4</v>
      </c>
    </row>
    <row r="484" spans="24:31" x14ac:dyDescent="0.25">
      <c r="X484" s="119">
        <v>60</v>
      </c>
      <c r="Y484" s="331">
        <v>41131</v>
      </c>
      <c r="Z484" s="19" t="s">
        <v>186</v>
      </c>
      <c r="AA484" s="92">
        <v>23</v>
      </c>
      <c r="AB484" s="19" t="s">
        <v>844</v>
      </c>
      <c r="AC484" s="92"/>
      <c r="AD484" s="19" t="s">
        <v>833</v>
      </c>
      <c r="AE484" s="93">
        <v>2</v>
      </c>
    </row>
    <row r="485" spans="24:31" x14ac:dyDescent="0.25">
      <c r="X485" s="119">
        <v>60</v>
      </c>
      <c r="Y485" s="331">
        <v>41131</v>
      </c>
      <c r="Z485" s="19" t="s">
        <v>180</v>
      </c>
      <c r="AA485" s="92">
        <v>11</v>
      </c>
      <c r="AB485" s="94" t="s">
        <v>835</v>
      </c>
      <c r="AC485" s="19"/>
      <c r="AD485" s="19" t="s">
        <v>833</v>
      </c>
      <c r="AE485" s="93">
        <v>2</v>
      </c>
    </row>
    <row r="486" spans="24:31" x14ac:dyDescent="0.25">
      <c r="X486" s="119">
        <v>60</v>
      </c>
      <c r="Y486" s="331">
        <v>41131</v>
      </c>
      <c r="Z486" s="19" t="s">
        <v>251</v>
      </c>
      <c r="AA486" s="92">
        <v>15</v>
      </c>
      <c r="AB486" s="19" t="s">
        <v>843</v>
      </c>
      <c r="AD486" s="554" t="s">
        <v>833</v>
      </c>
      <c r="AE486" s="5">
        <v>3</v>
      </c>
    </row>
    <row r="487" spans="24:31" x14ac:dyDescent="0.25">
      <c r="X487" s="119">
        <v>60</v>
      </c>
      <c r="Y487" s="331">
        <v>41131</v>
      </c>
      <c r="Z487" s="108" t="s">
        <v>210</v>
      </c>
      <c r="AA487" s="92">
        <v>244</v>
      </c>
      <c r="AB487" s="94" t="s">
        <v>832</v>
      </c>
      <c r="AC487" s="19"/>
      <c r="AD487" s="554" t="s">
        <v>833</v>
      </c>
      <c r="AE487" s="93">
        <v>2</v>
      </c>
    </row>
    <row r="488" spans="24:31" x14ac:dyDescent="0.25">
      <c r="X488" s="119">
        <v>61</v>
      </c>
      <c r="Y488" s="331">
        <v>41131</v>
      </c>
      <c r="Z488" s="19" t="s">
        <v>186</v>
      </c>
      <c r="AA488" s="92">
        <v>8</v>
      </c>
      <c r="AB488" s="19" t="s">
        <v>844</v>
      </c>
      <c r="AC488" s="92"/>
      <c r="AD488" s="19" t="s">
        <v>833</v>
      </c>
      <c r="AE488" s="93">
        <v>2</v>
      </c>
    </row>
    <row r="489" spans="24:31" x14ac:dyDescent="0.25">
      <c r="X489" s="119">
        <v>61</v>
      </c>
      <c r="Y489" s="331">
        <v>41131</v>
      </c>
      <c r="Z489" s="19" t="s">
        <v>180</v>
      </c>
      <c r="AA489" s="92">
        <v>17</v>
      </c>
      <c r="AB489" s="94" t="s">
        <v>835</v>
      </c>
      <c r="AC489" s="19"/>
      <c r="AD489" s="19" t="s">
        <v>833</v>
      </c>
      <c r="AE489" s="93">
        <v>2</v>
      </c>
    </row>
    <row r="490" spans="24:31" x14ac:dyDescent="0.25">
      <c r="X490" s="119">
        <v>61</v>
      </c>
      <c r="Y490" s="331">
        <v>41131</v>
      </c>
      <c r="Z490" s="19" t="s">
        <v>251</v>
      </c>
      <c r="AA490" s="92"/>
      <c r="AB490" s="19" t="s">
        <v>843</v>
      </c>
      <c r="AC490" s="92" t="s">
        <v>837</v>
      </c>
      <c r="AD490" s="554" t="s">
        <v>833</v>
      </c>
      <c r="AE490" s="5">
        <v>3</v>
      </c>
    </row>
    <row r="491" spans="24:31" x14ac:dyDescent="0.25">
      <c r="X491" s="119">
        <v>61</v>
      </c>
      <c r="Y491" s="331">
        <v>41131</v>
      </c>
      <c r="Z491" s="108" t="s">
        <v>210</v>
      </c>
      <c r="AA491" s="92">
        <v>266</v>
      </c>
      <c r="AB491" s="94" t="s">
        <v>832</v>
      </c>
      <c r="AC491" s="19"/>
      <c r="AD491" s="554" t="s">
        <v>833</v>
      </c>
      <c r="AE491" s="93">
        <v>2</v>
      </c>
    </row>
    <row r="492" spans="24:31" x14ac:dyDescent="0.25">
      <c r="X492" s="119">
        <v>62</v>
      </c>
      <c r="Y492" s="331">
        <v>41131</v>
      </c>
      <c r="Z492" s="19" t="s">
        <v>186</v>
      </c>
      <c r="AA492" s="92">
        <v>11</v>
      </c>
      <c r="AB492" s="19" t="s">
        <v>844</v>
      </c>
      <c r="AC492" s="92"/>
      <c r="AD492" s="19" t="s">
        <v>833</v>
      </c>
      <c r="AE492" s="93">
        <v>2</v>
      </c>
    </row>
    <row r="493" spans="24:31" x14ac:dyDescent="0.25">
      <c r="X493" s="119">
        <v>62</v>
      </c>
      <c r="Y493" s="331">
        <v>41131</v>
      </c>
      <c r="Z493" s="19" t="s">
        <v>180</v>
      </c>
      <c r="AA493" s="92">
        <v>10</v>
      </c>
      <c r="AB493" s="94" t="s">
        <v>835</v>
      </c>
      <c r="AC493" s="19"/>
      <c r="AD493" s="19" t="s">
        <v>833</v>
      </c>
      <c r="AE493" s="93">
        <v>2</v>
      </c>
    </row>
    <row r="494" spans="24:31" x14ac:dyDescent="0.25">
      <c r="X494" s="119">
        <v>62</v>
      </c>
      <c r="Y494" s="331">
        <v>41131</v>
      </c>
      <c r="Z494" s="19" t="s">
        <v>251</v>
      </c>
      <c r="AA494" s="92">
        <v>12</v>
      </c>
      <c r="AB494" s="19" t="s">
        <v>843</v>
      </c>
      <c r="AD494" s="554" t="s">
        <v>833</v>
      </c>
      <c r="AE494" s="5">
        <v>3</v>
      </c>
    </row>
    <row r="495" spans="24:31" x14ac:dyDescent="0.25">
      <c r="X495" s="119">
        <v>62</v>
      </c>
      <c r="Y495" s="331">
        <v>41131</v>
      </c>
      <c r="Z495" s="108" t="s">
        <v>210</v>
      </c>
      <c r="AA495" s="92">
        <v>373</v>
      </c>
      <c r="AB495" s="94" t="s">
        <v>832</v>
      </c>
      <c r="AC495" s="19"/>
      <c r="AD495" s="554" t="s">
        <v>833</v>
      </c>
      <c r="AE495" s="93">
        <v>2</v>
      </c>
    </row>
    <row r="496" spans="24:31" x14ac:dyDescent="0.25">
      <c r="X496" s="119">
        <v>63</v>
      </c>
      <c r="Y496" s="331">
        <v>41131</v>
      </c>
      <c r="Z496" s="19" t="s">
        <v>186</v>
      </c>
      <c r="AA496" s="92">
        <v>9</v>
      </c>
      <c r="AB496" s="19" t="s">
        <v>844</v>
      </c>
      <c r="AC496" s="92"/>
      <c r="AD496" s="19" t="s">
        <v>833</v>
      </c>
      <c r="AE496" s="93">
        <v>2</v>
      </c>
    </row>
    <row r="497" spans="24:31" x14ac:dyDescent="0.25">
      <c r="X497" s="119">
        <v>63</v>
      </c>
      <c r="Y497" s="331">
        <v>41131</v>
      </c>
      <c r="Z497" s="19" t="s">
        <v>180</v>
      </c>
      <c r="AA497" s="92">
        <v>1826</v>
      </c>
      <c r="AB497" s="94" t="s">
        <v>835</v>
      </c>
      <c r="AC497" s="19"/>
      <c r="AD497" s="19" t="s">
        <v>833</v>
      </c>
      <c r="AE497" s="93">
        <v>2</v>
      </c>
    </row>
    <row r="498" spans="24:31" x14ac:dyDescent="0.25">
      <c r="X498" s="119">
        <v>63</v>
      </c>
      <c r="Y498" s="331">
        <v>41131</v>
      </c>
      <c r="Z498" s="19" t="s">
        <v>251</v>
      </c>
      <c r="AA498" s="92">
        <v>5</v>
      </c>
      <c r="AB498" s="19" t="s">
        <v>843</v>
      </c>
      <c r="AD498" s="554" t="s">
        <v>833</v>
      </c>
      <c r="AE498" s="5">
        <v>3</v>
      </c>
    </row>
    <row r="499" spans="24:31" x14ac:dyDescent="0.25">
      <c r="X499" s="119">
        <v>63</v>
      </c>
      <c r="Y499" s="331">
        <v>41131</v>
      </c>
      <c r="Z499" s="108" t="s">
        <v>210</v>
      </c>
      <c r="AA499" s="92">
        <v>2366</v>
      </c>
      <c r="AB499" s="94" t="s">
        <v>832</v>
      </c>
      <c r="AC499" s="19"/>
      <c r="AD499" s="554" t="s">
        <v>833</v>
      </c>
      <c r="AE499" s="93">
        <v>2</v>
      </c>
    </row>
    <row r="500" spans="24:31" x14ac:dyDescent="0.25">
      <c r="X500" s="119" t="s">
        <v>831</v>
      </c>
      <c r="Y500" s="331">
        <v>41148</v>
      </c>
      <c r="Z500" s="108" t="s">
        <v>210</v>
      </c>
      <c r="AA500" s="92">
        <v>893</v>
      </c>
      <c r="AB500" s="94" t="s">
        <v>832</v>
      </c>
      <c r="AC500" s="19"/>
      <c r="AD500" s="554" t="s">
        <v>833</v>
      </c>
      <c r="AE500" s="93">
        <v>2</v>
      </c>
    </row>
    <row r="501" spans="24:31" x14ac:dyDescent="0.25">
      <c r="X501" s="119" t="s">
        <v>831</v>
      </c>
      <c r="Y501" s="331">
        <v>41148</v>
      </c>
      <c r="Z501" s="19" t="s">
        <v>186</v>
      </c>
      <c r="AA501" s="92">
        <v>725</v>
      </c>
      <c r="AB501" s="19" t="s">
        <v>834</v>
      </c>
      <c r="AC501" s="92"/>
      <c r="AD501" s="19" t="s">
        <v>833</v>
      </c>
      <c r="AE501" s="93">
        <v>2</v>
      </c>
    </row>
    <row r="502" spans="24:31" x14ac:dyDescent="0.25">
      <c r="X502" s="119" t="s">
        <v>831</v>
      </c>
      <c r="Y502" s="331">
        <v>41148</v>
      </c>
      <c r="Z502" s="19" t="s">
        <v>180</v>
      </c>
      <c r="AA502" s="92">
        <v>13</v>
      </c>
      <c r="AB502" s="94" t="s">
        <v>835</v>
      </c>
      <c r="AC502" s="92"/>
      <c r="AD502" s="19" t="s">
        <v>833</v>
      </c>
      <c r="AE502" s="93">
        <v>2</v>
      </c>
    </row>
    <row r="503" spans="24:31" x14ac:dyDescent="0.25">
      <c r="X503" s="119" t="s">
        <v>831</v>
      </c>
      <c r="Y503" s="331">
        <v>41148</v>
      </c>
      <c r="Z503" s="96" t="s">
        <v>181</v>
      </c>
      <c r="AA503" s="95">
        <v>10</v>
      </c>
      <c r="AB503" s="94" t="s">
        <v>835</v>
      </c>
      <c r="AC503" s="554"/>
      <c r="AD503" s="19" t="s">
        <v>833</v>
      </c>
      <c r="AE503" s="109">
        <v>2</v>
      </c>
    </row>
    <row r="504" spans="24:31" x14ac:dyDescent="0.25">
      <c r="X504" s="119" t="s">
        <v>831</v>
      </c>
      <c r="Y504" s="331">
        <v>41148</v>
      </c>
      <c r="Z504" s="19" t="s">
        <v>185</v>
      </c>
      <c r="AA504" s="103">
        <v>18.399999999999999</v>
      </c>
      <c r="AB504" s="19" t="s">
        <v>836</v>
      </c>
      <c r="AC504" s="92"/>
      <c r="AD504" s="19" t="s">
        <v>838</v>
      </c>
      <c r="AE504" s="93">
        <v>4</v>
      </c>
    </row>
    <row r="505" spans="24:31" x14ac:dyDescent="0.25">
      <c r="X505" s="119" t="s">
        <v>839</v>
      </c>
      <c r="Y505" s="331">
        <v>41148</v>
      </c>
      <c r="Z505" s="96" t="s">
        <v>181</v>
      </c>
      <c r="AA505" s="95">
        <v>46</v>
      </c>
      <c r="AB505" s="94" t="s">
        <v>835</v>
      </c>
      <c r="AC505" s="554"/>
      <c r="AD505" s="19" t="s">
        <v>833</v>
      </c>
      <c r="AE505" s="109">
        <v>2</v>
      </c>
    </row>
    <row r="506" spans="24:31" x14ac:dyDescent="0.25">
      <c r="X506" s="119" t="s">
        <v>839</v>
      </c>
      <c r="Y506" s="331">
        <v>41148</v>
      </c>
      <c r="Z506" s="108" t="s">
        <v>210</v>
      </c>
      <c r="AA506" s="92">
        <v>998</v>
      </c>
      <c r="AB506" s="94" t="s">
        <v>832</v>
      </c>
      <c r="AC506" s="19"/>
      <c r="AD506" s="554" t="s">
        <v>833</v>
      </c>
      <c r="AE506" s="93">
        <v>2</v>
      </c>
    </row>
    <row r="507" spans="24:31" x14ac:dyDescent="0.25">
      <c r="X507" s="119" t="s">
        <v>839</v>
      </c>
      <c r="Y507" s="331">
        <v>41148</v>
      </c>
      <c r="Z507" s="19" t="s">
        <v>186</v>
      </c>
      <c r="AA507" s="92">
        <v>668</v>
      </c>
      <c r="AB507" s="19" t="s">
        <v>834</v>
      </c>
      <c r="AC507" s="92"/>
      <c r="AD507" s="19" t="s">
        <v>833</v>
      </c>
      <c r="AE507" s="93">
        <v>2</v>
      </c>
    </row>
    <row r="508" spans="24:31" x14ac:dyDescent="0.25">
      <c r="X508" s="119" t="s">
        <v>839</v>
      </c>
      <c r="Y508" s="331">
        <v>41148</v>
      </c>
      <c r="Z508" s="19" t="s">
        <v>180</v>
      </c>
      <c r="AA508" s="92">
        <v>68</v>
      </c>
      <c r="AB508" s="94" t="s">
        <v>835</v>
      </c>
      <c r="AC508" s="92"/>
      <c r="AD508" s="19" t="s">
        <v>833</v>
      </c>
      <c r="AE508" s="93">
        <v>2</v>
      </c>
    </row>
    <row r="509" spans="24:31" x14ac:dyDescent="0.25">
      <c r="X509" s="119" t="s">
        <v>839</v>
      </c>
      <c r="Y509" s="331">
        <v>41148</v>
      </c>
      <c r="Z509" s="19" t="s">
        <v>185</v>
      </c>
      <c r="AA509" s="103">
        <v>13.2</v>
      </c>
      <c r="AB509" s="19" t="s">
        <v>836</v>
      </c>
      <c r="AC509" s="19"/>
      <c r="AD509" s="19" t="s">
        <v>838</v>
      </c>
      <c r="AE509" s="93">
        <v>4</v>
      </c>
    </row>
    <row r="510" spans="24:31" x14ac:dyDescent="0.25">
      <c r="X510" s="119">
        <v>45</v>
      </c>
      <c r="Y510" s="331">
        <v>41148</v>
      </c>
      <c r="Z510" s="96" t="s">
        <v>181</v>
      </c>
      <c r="AA510" s="95">
        <v>34</v>
      </c>
      <c r="AB510" s="94" t="s">
        <v>835</v>
      </c>
      <c r="AC510" s="554"/>
      <c r="AD510" s="19" t="s">
        <v>833</v>
      </c>
      <c r="AE510" s="109">
        <v>2</v>
      </c>
    </row>
    <row r="511" spans="24:31" x14ac:dyDescent="0.25">
      <c r="X511" s="119">
        <v>45</v>
      </c>
      <c r="Y511" s="331">
        <v>41148</v>
      </c>
      <c r="Z511" s="19" t="s">
        <v>186</v>
      </c>
      <c r="AA511" s="92">
        <v>42</v>
      </c>
      <c r="AB511" s="19" t="s">
        <v>834</v>
      </c>
      <c r="AC511" s="92"/>
      <c r="AD511" s="19" t="s">
        <v>833</v>
      </c>
      <c r="AE511" s="93">
        <v>2</v>
      </c>
    </row>
    <row r="512" spans="24:31" x14ac:dyDescent="0.25">
      <c r="X512" s="119">
        <v>45</v>
      </c>
      <c r="Y512" s="331">
        <v>41148</v>
      </c>
      <c r="Z512" s="19" t="s">
        <v>180</v>
      </c>
      <c r="AA512" s="92">
        <v>97</v>
      </c>
      <c r="AB512" s="94" t="s">
        <v>835</v>
      </c>
      <c r="AC512" s="19"/>
      <c r="AD512" s="19" t="s">
        <v>833</v>
      </c>
      <c r="AE512" s="93">
        <v>2</v>
      </c>
    </row>
    <row r="513" spans="24:31" x14ac:dyDescent="0.25">
      <c r="X513" s="119">
        <v>45</v>
      </c>
      <c r="Y513" s="331">
        <v>41148</v>
      </c>
      <c r="Z513" s="19" t="s">
        <v>185</v>
      </c>
      <c r="AA513" s="103">
        <v>10.199999999999999</v>
      </c>
      <c r="AB513" s="19" t="s">
        <v>836</v>
      </c>
      <c r="AC513" s="19"/>
      <c r="AD513" s="19" t="s">
        <v>838</v>
      </c>
      <c r="AE513" s="93">
        <v>4</v>
      </c>
    </row>
    <row r="514" spans="24:31" x14ac:dyDescent="0.25">
      <c r="X514" s="119">
        <v>45</v>
      </c>
      <c r="Y514" s="331">
        <v>41148</v>
      </c>
      <c r="Z514" s="108" t="s">
        <v>210</v>
      </c>
      <c r="AA514" s="92">
        <v>1029</v>
      </c>
      <c r="AB514" s="94" t="s">
        <v>832</v>
      </c>
      <c r="AC514" s="19"/>
      <c r="AD514" s="554" t="s">
        <v>833</v>
      </c>
      <c r="AE514" s="93">
        <v>2</v>
      </c>
    </row>
    <row r="515" spans="24:31" x14ac:dyDescent="0.25">
      <c r="X515" s="244" t="s">
        <v>840</v>
      </c>
      <c r="Y515" s="331">
        <v>41148</v>
      </c>
      <c r="Z515" s="96" t="s">
        <v>181</v>
      </c>
      <c r="AA515" s="95">
        <v>35</v>
      </c>
      <c r="AB515" s="94" t="s">
        <v>835</v>
      </c>
      <c r="AC515" s="554"/>
      <c r="AD515" s="19" t="s">
        <v>833</v>
      </c>
      <c r="AE515" s="109">
        <v>2</v>
      </c>
    </row>
    <row r="516" spans="24:31" x14ac:dyDescent="0.25">
      <c r="X516" s="244" t="s">
        <v>840</v>
      </c>
      <c r="Y516" s="331">
        <v>41148</v>
      </c>
      <c r="Z516" s="19" t="s">
        <v>186</v>
      </c>
      <c r="AA516" s="92">
        <v>15</v>
      </c>
      <c r="AB516" s="19" t="s">
        <v>834</v>
      </c>
      <c r="AC516" s="92"/>
      <c r="AD516" s="19" t="s">
        <v>833</v>
      </c>
      <c r="AE516" s="93">
        <v>2</v>
      </c>
    </row>
    <row r="517" spans="24:31" x14ac:dyDescent="0.25">
      <c r="X517" s="244" t="s">
        <v>840</v>
      </c>
      <c r="Y517" s="331">
        <v>41148</v>
      </c>
      <c r="Z517" s="19" t="s">
        <v>180</v>
      </c>
      <c r="AA517" s="92">
        <v>74</v>
      </c>
      <c r="AB517" s="94" t="s">
        <v>835</v>
      </c>
      <c r="AC517" s="19"/>
      <c r="AD517" s="19" t="s">
        <v>833</v>
      </c>
      <c r="AE517" s="93">
        <v>2</v>
      </c>
    </row>
    <row r="518" spans="24:31" x14ac:dyDescent="0.25">
      <c r="X518" s="244" t="s">
        <v>840</v>
      </c>
      <c r="Y518" s="331">
        <v>41148</v>
      </c>
      <c r="Z518" s="19" t="s">
        <v>185</v>
      </c>
      <c r="AA518" s="103">
        <v>10</v>
      </c>
      <c r="AB518" s="19" t="s">
        <v>836</v>
      </c>
      <c r="AC518" s="19"/>
      <c r="AD518" s="19" t="s">
        <v>838</v>
      </c>
      <c r="AE518" s="93">
        <v>4</v>
      </c>
    </row>
    <row r="519" spans="24:31" x14ac:dyDescent="0.25">
      <c r="X519" s="244" t="s">
        <v>840</v>
      </c>
      <c r="Y519" s="331">
        <v>41148</v>
      </c>
      <c r="Z519" s="108" t="s">
        <v>210</v>
      </c>
      <c r="AA519" s="92">
        <v>898</v>
      </c>
      <c r="AB519" s="94" t="s">
        <v>832</v>
      </c>
      <c r="AC519" s="19"/>
      <c r="AD519" s="554" t="s">
        <v>833</v>
      </c>
      <c r="AE519" s="93">
        <v>2</v>
      </c>
    </row>
    <row r="520" spans="24:31" x14ac:dyDescent="0.25">
      <c r="X520" s="119" t="s">
        <v>840</v>
      </c>
      <c r="Y520" s="331">
        <v>41148</v>
      </c>
      <c r="Z520" s="108" t="s">
        <v>182</v>
      </c>
      <c r="AA520" s="504">
        <v>24.5</v>
      </c>
      <c r="AB520" s="97" t="s">
        <v>841</v>
      </c>
      <c r="AC520" s="10"/>
      <c r="AD520" s="19" t="s">
        <v>833</v>
      </c>
      <c r="AE520" s="109">
        <v>0.1</v>
      </c>
    </row>
    <row r="521" spans="24:31" x14ac:dyDescent="0.25">
      <c r="X521" s="119" t="s">
        <v>840</v>
      </c>
      <c r="Y521" s="331">
        <v>41148</v>
      </c>
      <c r="Z521" s="108" t="s">
        <v>182</v>
      </c>
      <c r="AA521" s="504">
        <v>24.8</v>
      </c>
      <c r="AB521" s="97" t="s">
        <v>841</v>
      </c>
      <c r="AC521" s="10"/>
      <c r="AD521" s="19" t="s">
        <v>833</v>
      </c>
      <c r="AE521" s="109">
        <v>0.1</v>
      </c>
    </row>
    <row r="522" spans="24:31" x14ac:dyDescent="0.25">
      <c r="X522" s="119" t="s">
        <v>842</v>
      </c>
      <c r="Y522" s="331">
        <v>41148</v>
      </c>
      <c r="Z522" s="96" t="s">
        <v>181</v>
      </c>
      <c r="AA522" s="95">
        <v>34</v>
      </c>
      <c r="AB522" s="94" t="s">
        <v>835</v>
      </c>
      <c r="AC522" s="554"/>
      <c r="AD522" s="19" t="s">
        <v>833</v>
      </c>
      <c r="AE522" s="109">
        <v>2</v>
      </c>
    </row>
    <row r="523" spans="24:31" x14ac:dyDescent="0.25">
      <c r="X523" s="119" t="s">
        <v>842</v>
      </c>
      <c r="Y523" s="331">
        <v>41148</v>
      </c>
      <c r="Z523" s="19" t="s">
        <v>186</v>
      </c>
      <c r="AA523" s="92">
        <v>11</v>
      </c>
      <c r="AB523" s="19" t="s">
        <v>834</v>
      </c>
      <c r="AC523" s="92"/>
      <c r="AD523" s="19" t="s">
        <v>833</v>
      </c>
      <c r="AE523" s="93">
        <v>2</v>
      </c>
    </row>
    <row r="524" spans="24:31" x14ac:dyDescent="0.25">
      <c r="X524" s="119" t="s">
        <v>842</v>
      </c>
      <c r="Y524" s="331">
        <v>41148</v>
      </c>
      <c r="Z524" s="19" t="s">
        <v>180</v>
      </c>
      <c r="AA524" s="92">
        <v>63</v>
      </c>
      <c r="AB524" s="94" t="s">
        <v>835</v>
      </c>
      <c r="AC524" s="19"/>
      <c r="AD524" s="19" t="s">
        <v>833</v>
      </c>
      <c r="AE524" s="93">
        <v>2</v>
      </c>
    </row>
    <row r="525" spans="24:31" x14ac:dyDescent="0.25">
      <c r="X525" s="119" t="s">
        <v>842</v>
      </c>
      <c r="Y525" s="331">
        <v>41148</v>
      </c>
      <c r="Z525" s="19" t="s">
        <v>185</v>
      </c>
      <c r="AA525" s="103">
        <v>9.4</v>
      </c>
      <c r="AB525" s="19" t="s">
        <v>836</v>
      </c>
      <c r="AC525" s="19"/>
      <c r="AD525" s="19" t="s">
        <v>838</v>
      </c>
      <c r="AE525" s="93">
        <v>4</v>
      </c>
    </row>
    <row r="526" spans="24:31" x14ac:dyDescent="0.25">
      <c r="X526" s="119" t="s">
        <v>842</v>
      </c>
      <c r="Y526" s="331">
        <v>41148</v>
      </c>
      <c r="Z526" s="108" t="s">
        <v>210</v>
      </c>
      <c r="AA526" s="92">
        <v>640</v>
      </c>
      <c r="AB526" s="94" t="s">
        <v>832</v>
      </c>
      <c r="AC526" s="19"/>
      <c r="AD526" s="554" t="s">
        <v>833</v>
      </c>
      <c r="AE526" s="93">
        <v>2</v>
      </c>
    </row>
    <row r="527" spans="24:31" x14ac:dyDescent="0.25">
      <c r="X527" s="119">
        <v>52</v>
      </c>
      <c r="Y527" s="331">
        <v>41148</v>
      </c>
      <c r="Z527" s="96" t="s">
        <v>181</v>
      </c>
      <c r="AA527" s="93">
        <v>18</v>
      </c>
      <c r="AB527" s="94" t="s">
        <v>835</v>
      </c>
      <c r="AC527" s="92"/>
      <c r="AD527" s="19" t="s">
        <v>833</v>
      </c>
      <c r="AE527" s="109">
        <v>2</v>
      </c>
    </row>
    <row r="528" spans="24:31" x14ac:dyDescent="0.25">
      <c r="X528" s="119">
        <v>52</v>
      </c>
      <c r="Y528" s="331">
        <v>41148</v>
      </c>
      <c r="Z528" s="19" t="s">
        <v>186</v>
      </c>
      <c r="AA528" s="92">
        <v>168</v>
      </c>
      <c r="AB528" s="19" t="s">
        <v>834</v>
      </c>
      <c r="AD528" s="19" t="s">
        <v>833</v>
      </c>
      <c r="AE528" s="93">
        <v>2</v>
      </c>
    </row>
    <row r="529" spans="24:31" x14ac:dyDescent="0.25">
      <c r="X529" s="119">
        <v>52</v>
      </c>
      <c r="Y529" s="331">
        <v>41148</v>
      </c>
      <c r="Z529" s="19" t="s">
        <v>180</v>
      </c>
      <c r="AA529" s="92">
        <v>232</v>
      </c>
      <c r="AB529" s="94" t="s">
        <v>835</v>
      </c>
      <c r="AD529" s="19" t="s">
        <v>833</v>
      </c>
      <c r="AE529" s="93">
        <v>2</v>
      </c>
    </row>
    <row r="530" spans="24:31" x14ac:dyDescent="0.25">
      <c r="X530" s="119">
        <v>52</v>
      </c>
      <c r="Y530" s="331">
        <v>41148</v>
      </c>
      <c r="Z530" s="108" t="s">
        <v>210</v>
      </c>
      <c r="AA530" s="92">
        <v>698</v>
      </c>
      <c r="AB530" s="94" t="s">
        <v>832</v>
      </c>
      <c r="AC530" s="19"/>
      <c r="AD530" s="554" t="s">
        <v>833</v>
      </c>
      <c r="AE530" s="93">
        <v>2</v>
      </c>
    </row>
    <row r="531" spans="24:31" x14ac:dyDescent="0.25">
      <c r="X531" s="119" t="s">
        <v>831</v>
      </c>
      <c r="Y531" s="331">
        <v>41127</v>
      </c>
      <c r="Z531" s="108" t="s">
        <v>210</v>
      </c>
      <c r="AA531" s="92">
        <v>891</v>
      </c>
      <c r="AB531" s="94" t="s">
        <v>832</v>
      </c>
      <c r="AC531" s="19"/>
      <c r="AD531" s="554" t="s">
        <v>833</v>
      </c>
      <c r="AE531" s="93">
        <v>2</v>
      </c>
    </row>
    <row r="532" spans="24:31" x14ac:dyDescent="0.25">
      <c r="X532" s="119" t="s">
        <v>831</v>
      </c>
      <c r="Y532" s="331">
        <v>41127</v>
      </c>
      <c r="Z532" s="19" t="s">
        <v>186</v>
      </c>
      <c r="AA532" s="92">
        <v>583</v>
      </c>
      <c r="AB532" s="19" t="s">
        <v>834</v>
      </c>
      <c r="AC532" s="92"/>
      <c r="AD532" s="19" t="s">
        <v>833</v>
      </c>
      <c r="AE532" s="93">
        <v>2</v>
      </c>
    </row>
    <row r="533" spans="24:31" x14ac:dyDescent="0.25">
      <c r="X533" s="119" t="s">
        <v>831</v>
      </c>
      <c r="Y533" s="331">
        <v>41127</v>
      </c>
      <c r="Z533" s="19" t="s">
        <v>180</v>
      </c>
      <c r="AA533" s="92">
        <v>9</v>
      </c>
      <c r="AB533" s="94" t="s">
        <v>835</v>
      </c>
      <c r="AC533" s="92"/>
      <c r="AD533" s="19" t="s">
        <v>833</v>
      </c>
      <c r="AE533" s="93">
        <v>2</v>
      </c>
    </row>
    <row r="534" spans="24:31" x14ac:dyDescent="0.25">
      <c r="X534" s="119" t="s">
        <v>831</v>
      </c>
      <c r="Y534" s="331">
        <v>41127</v>
      </c>
      <c r="Z534" s="96" t="s">
        <v>181</v>
      </c>
      <c r="AA534" s="95">
        <v>5</v>
      </c>
      <c r="AB534" s="94" t="s">
        <v>835</v>
      </c>
      <c r="AC534" s="554"/>
      <c r="AD534" s="19" t="s">
        <v>833</v>
      </c>
      <c r="AE534" s="109">
        <v>2</v>
      </c>
    </row>
    <row r="535" spans="24:31" x14ac:dyDescent="0.25">
      <c r="X535" s="119" t="s">
        <v>831</v>
      </c>
      <c r="Y535" s="331">
        <v>41127</v>
      </c>
      <c r="Z535" s="19" t="s">
        <v>185</v>
      </c>
      <c r="AA535" s="103">
        <v>51.4</v>
      </c>
      <c r="AB535" s="19" t="s">
        <v>836</v>
      </c>
      <c r="AC535" s="92"/>
      <c r="AD535" s="19" t="s">
        <v>838</v>
      </c>
      <c r="AE535" s="93">
        <v>4</v>
      </c>
    </row>
    <row r="536" spans="24:31" x14ac:dyDescent="0.25">
      <c r="X536" s="119" t="s">
        <v>839</v>
      </c>
      <c r="Y536" s="331">
        <v>41127</v>
      </c>
      <c r="Z536" s="96" t="s">
        <v>181</v>
      </c>
      <c r="AA536" s="95">
        <v>67</v>
      </c>
      <c r="AB536" s="94" t="s">
        <v>835</v>
      </c>
      <c r="AC536" s="554"/>
      <c r="AD536" s="19" t="s">
        <v>833</v>
      </c>
      <c r="AE536" s="109">
        <v>2</v>
      </c>
    </row>
    <row r="537" spans="24:31" x14ac:dyDescent="0.25">
      <c r="X537" s="119" t="s">
        <v>839</v>
      </c>
      <c r="Y537" s="331">
        <v>41127</v>
      </c>
      <c r="Z537" s="108" t="s">
        <v>210</v>
      </c>
      <c r="AA537" s="92">
        <v>1020</v>
      </c>
      <c r="AB537" s="94" t="s">
        <v>832</v>
      </c>
      <c r="AC537" s="19"/>
      <c r="AD537" s="554" t="s">
        <v>833</v>
      </c>
      <c r="AE537" s="93">
        <v>2</v>
      </c>
    </row>
    <row r="538" spans="24:31" x14ac:dyDescent="0.25">
      <c r="X538" s="119" t="s">
        <v>839</v>
      </c>
      <c r="Y538" s="331">
        <v>41127</v>
      </c>
      <c r="Z538" s="19" t="s">
        <v>186</v>
      </c>
      <c r="AA538" s="92">
        <v>585</v>
      </c>
      <c r="AB538" s="19" t="s">
        <v>834</v>
      </c>
      <c r="AC538" s="92"/>
      <c r="AD538" s="19" t="s">
        <v>833</v>
      </c>
      <c r="AE538" s="93">
        <v>2</v>
      </c>
    </row>
    <row r="539" spans="24:31" x14ac:dyDescent="0.25">
      <c r="X539" s="119" t="s">
        <v>839</v>
      </c>
      <c r="Y539" s="331">
        <v>41127</v>
      </c>
      <c r="Z539" s="19" t="s">
        <v>180</v>
      </c>
      <c r="AA539" s="92">
        <v>89</v>
      </c>
      <c r="AB539" s="94" t="s">
        <v>835</v>
      </c>
      <c r="AC539" s="92"/>
      <c r="AD539" s="19" t="s">
        <v>833</v>
      </c>
      <c r="AE539" s="93">
        <v>2</v>
      </c>
    </row>
    <row r="540" spans="24:31" x14ac:dyDescent="0.25">
      <c r="X540" s="119" t="s">
        <v>839</v>
      </c>
      <c r="Y540" s="331">
        <v>41127</v>
      </c>
      <c r="Z540" s="19" t="s">
        <v>185</v>
      </c>
      <c r="AA540" s="103">
        <v>16.600000000000001</v>
      </c>
      <c r="AB540" s="19" t="s">
        <v>836</v>
      </c>
      <c r="AC540" s="19"/>
      <c r="AD540" s="19" t="s">
        <v>838</v>
      </c>
      <c r="AE540" s="93">
        <v>4</v>
      </c>
    </row>
    <row r="541" spans="24:31" x14ac:dyDescent="0.25">
      <c r="X541" s="119">
        <v>45</v>
      </c>
      <c r="Y541" s="331">
        <v>41127</v>
      </c>
      <c r="Z541" s="96" t="s">
        <v>181</v>
      </c>
      <c r="AA541" s="95">
        <v>55</v>
      </c>
      <c r="AB541" s="94" t="s">
        <v>835</v>
      </c>
      <c r="AC541" s="554"/>
      <c r="AD541" s="19" t="s">
        <v>833</v>
      </c>
      <c r="AE541" s="109">
        <v>2</v>
      </c>
    </row>
    <row r="542" spans="24:31" x14ac:dyDescent="0.25">
      <c r="X542" s="119">
        <v>45</v>
      </c>
      <c r="Y542" s="331">
        <v>41127</v>
      </c>
      <c r="Z542" s="19" t="s">
        <v>186</v>
      </c>
      <c r="AA542" s="92">
        <v>29</v>
      </c>
      <c r="AB542" s="19" t="s">
        <v>834</v>
      </c>
      <c r="AC542" s="92"/>
      <c r="AD542" s="19" t="s">
        <v>833</v>
      </c>
      <c r="AE542" s="93">
        <v>2</v>
      </c>
    </row>
    <row r="543" spans="24:31" x14ac:dyDescent="0.25">
      <c r="X543" s="119">
        <v>45</v>
      </c>
      <c r="Y543" s="331">
        <v>41127</v>
      </c>
      <c r="Z543" s="19" t="s">
        <v>180</v>
      </c>
      <c r="AA543" s="92">
        <v>122</v>
      </c>
      <c r="AB543" s="94" t="s">
        <v>835</v>
      </c>
      <c r="AC543" s="19"/>
      <c r="AD543" s="19" t="s">
        <v>833</v>
      </c>
      <c r="AE543" s="93">
        <v>2</v>
      </c>
    </row>
    <row r="544" spans="24:31" x14ac:dyDescent="0.25">
      <c r="X544" s="119">
        <v>45</v>
      </c>
      <c r="Y544" s="331">
        <v>41127</v>
      </c>
      <c r="Z544" s="19" t="s">
        <v>185</v>
      </c>
      <c r="AA544" s="103">
        <v>11</v>
      </c>
      <c r="AB544" s="19" t="s">
        <v>836</v>
      </c>
      <c r="AC544" s="19"/>
      <c r="AD544" s="19" t="s">
        <v>838</v>
      </c>
      <c r="AE544" s="93">
        <v>4</v>
      </c>
    </row>
    <row r="545" spans="24:31" x14ac:dyDescent="0.25">
      <c r="X545" s="119">
        <v>45</v>
      </c>
      <c r="Y545" s="331">
        <v>41127</v>
      </c>
      <c r="Z545" s="108" t="s">
        <v>210</v>
      </c>
      <c r="AA545" s="92">
        <v>704</v>
      </c>
      <c r="AB545" s="94" t="s">
        <v>832</v>
      </c>
      <c r="AC545" s="19"/>
      <c r="AD545" s="554" t="s">
        <v>833</v>
      </c>
      <c r="AE545" s="93">
        <v>2</v>
      </c>
    </row>
    <row r="546" spans="24:31" x14ac:dyDescent="0.25">
      <c r="X546" s="244" t="s">
        <v>840</v>
      </c>
      <c r="Y546" s="331">
        <v>41127</v>
      </c>
      <c r="Z546" s="96" t="s">
        <v>181</v>
      </c>
      <c r="AA546" s="95">
        <v>60</v>
      </c>
      <c r="AB546" s="94" t="s">
        <v>835</v>
      </c>
      <c r="AC546" s="554"/>
      <c r="AD546" s="19" t="s">
        <v>833</v>
      </c>
      <c r="AE546" s="109">
        <v>2</v>
      </c>
    </row>
    <row r="547" spans="24:31" x14ac:dyDescent="0.25">
      <c r="X547" s="244" t="s">
        <v>840</v>
      </c>
      <c r="Y547" s="331">
        <v>41127</v>
      </c>
      <c r="Z547" s="19" t="s">
        <v>186</v>
      </c>
      <c r="AA547" s="92">
        <v>26</v>
      </c>
      <c r="AB547" s="19" t="s">
        <v>834</v>
      </c>
      <c r="AC547" s="92"/>
      <c r="AD547" s="19" t="s">
        <v>833</v>
      </c>
      <c r="AE547" s="93">
        <v>2</v>
      </c>
    </row>
    <row r="548" spans="24:31" x14ac:dyDescent="0.25">
      <c r="X548" s="244" t="s">
        <v>840</v>
      </c>
      <c r="Y548" s="331">
        <v>41127</v>
      </c>
      <c r="Z548" s="19" t="s">
        <v>180</v>
      </c>
      <c r="AA548" s="92">
        <v>93</v>
      </c>
      <c r="AB548" s="94" t="s">
        <v>835</v>
      </c>
      <c r="AC548" s="19"/>
      <c r="AD548" s="19" t="s">
        <v>833</v>
      </c>
      <c r="AE548" s="93">
        <v>2</v>
      </c>
    </row>
    <row r="549" spans="24:31" x14ac:dyDescent="0.25">
      <c r="X549" s="244" t="s">
        <v>840</v>
      </c>
      <c r="Y549" s="331">
        <v>41127</v>
      </c>
      <c r="Z549" s="19" t="s">
        <v>185</v>
      </c>
      <c r="AA549" s="103">
        <v>10.8</v>
      </c>
      <c r="AB549" s="19" t="s">
        <v>836</v>
      </c>
      <c r="AC549" s="19"/>
      <c r="AD549" s="19" t="s">
        <v>838</v>
      </c>
      <c r="AE549" s="93">
        <v>4</v>
      </c>
    </row>
    <row r="550" spans="24:31" x14ac:dyDescent="0.25">
      <c r="X550" s="244" t="s">
        <v>840</v>
      </c>
      <c r="Y550" s="331">
        <v>41127</v>
      </c>
      <c r="Z550" s="108" t="s">
        <v>210</v>
      </c>
      <c r="AA550" s="92">
        <v>729</v>
      </c>
      <c r="AB550" s="94" t="s">
        <v>832</v>
      </c>
      <c r="AC550" s="19"/>
      <c r="AD550" s="554" t="s">
        <v>833</v>
      </c>
      <c r="AE550" s="93">
        <v>2</v>
      </c>
    </row>
    <row r="551" spans="24:31" x14ac:dyDescent="0.25">
      <c r="X551" s="119" t="s">
        <v>840</v>
      </c>
      <c r="Y551" s="331">
        <v>41127</v>
      </c>
      <c r="Z551" s="108" t="s">
        <v>182</v>
      </c>
      <c r="AA551" s="504">
        <v>24.5</v>
      </c>
      <c r="AB551" s="97" t="s">
        <v>841</v>
      </c>
      <c r="AC551" s="10"/>
      <c r="AD551" s="19" t="s">
        <v>833</v>
      </c>
      <c r="AE551" s="109">
        <v>0.1</v>
      </c>
    </row>
    <row r="552" spans="24:31" x14ac:dyDescent="0.25">
      <c r="X552" s="119" t="s">
        <v>840</v>
      </c>
      <c r="Y552" s="331">
        <v>41127</v>
      </c>
      <c r="Z552" s="108" t="s">
        <v>182</v>
      </c>
      <c r="AA552" s="504">
        <v>23.3</v>
      </c>
      <c r="AB552" s="97" t="s">
        <v>841</v>
      </c>
      <c r="AC552" s="10"/>
      <c r="AD552" s="19" t="s">
        <v>833</v>
      </c>
      <c r="AE552" s="109">
        <v>0.1</v>
      </c>
    </row>
    <row r="553" spans="24:31" x14ac:dyDescent="0.25">
      <c r="X553" s="119" t="s">
        <v>842</v>
      </c>
      <c r="Y553" s="331">
        <v>41127</v>
      </c>
      <c r="Z553" s="96" t="s">
        <v>181</v>
      </c>
      <c r="AA553" s="95">
        <v>63</v>
      </c>
      <c r="AB553" s="94" t="s">
        <v>835</v>
      </c>
      <c r="AC553" s="554"/>
      <c r="AD553" s="19" t="s">
        <v>833</v>
      </c>
      <c r="AE553" s="109">
        <v>2</v>
      </c>
    </row>
    <row r="554" spans="24:31" x14ac:dyDescent="0.25">
      <c r="X554" s="119" t="s">
        <v>842</v>
      </c>
      <c r="Y554" s="331">
        <v>41127</v>
      </c>
      <c r="Z554" s="19" t="s">
        <v>186</v>
      </c>
      <c r="AA554" s="92">
        <v>26</v>
      </c>
      <c r="AB554" s="19" t="s">
        <v>834</v>
      </c>
      <c r="AC554" s="92"/>
      <c r="AD554" s="19" t="s">
        <v>833</v>
      </c>
      <c r="AE554" s="93">
        <v>2</v>
      </c>
    </row>
    <row r="555" spans="24:31" x14ac:dyDescent="0.25">
      <c r="X555" s="119" t="s">
        <v>842</v>
      </c>
      <c r="Y555" s="331">
        <v>41127</v>
      </c>
      <c r="Z555" s="19" t="s">
        <v>180</v>
      </c>
      <c r="AA555" s="92">
        <v>104</v>
      </c>
      <c r="AB555" s="94" t="s">
        <v>835</v>
      </c>
      <c r="AC555" s="19"/>
      <c r="AD555" s="19" t="s">
        <v>833</v>
      </c>
      <c r="AE555" s="93">
        <v>2</v>
      </c>
    </row>
    <row r="556" spans="24:31" x14ac:dyDescent="0.25">
      <c r="X556" s="119" t="s">
        <v>842</v>
      </c>
      <c r="Y556" s="331">
        <v>41127</v>
      </c>
      <c r="Z556" s="19" t="s">
        <v>185</v>
      </c>
      <c r="AA556" s="103">
        <v>10</v>
      </c>
      <c r="AB556" s="19" t="s">
        <v>836</v>
      </c>
      <c r="AC556" s="19"/>
      <c r="AD556" s="19" t="s">
        <v>838</v>
      </c>
      <c r="AE556" s="93">
        <v>4</v>
      </c>
    </row>
    <row r="557" spans="24:31" x14ac:dyDescent="0.25">
      <c r="X557" s="119" t="s">
        <v>842</v>
      </c>
      <c r="Y557" s="331">
        <v>41127</v>
      </c>
      <c r="Z557" s="108" t="s">
        <v>210</v>
      </c>
      <c r="AA557" s="92">
        <v>567</v>
      </c>
      <c r="AB557" s="94" t="s">
        <v>832</v>
      </c>
      <c r="AC557" s="19"/>
      <c r="AD557" s="554" t="s">
        <v>833</v>
      </c>
      <c r="AE557" s="93">
        <v>2</v>
      </c>
    </row>
    <row r="558" spans="24:31" x14ac:dyDescent="0.25">
      <c r="X558" s="119">
        <v>36</v>
      </c>
      <c r="Y558" s="331">
        <v>41159</v>
      </c>
      <c r="Z558" s="19" t="s">
        <v>186</v>
      </c>
      <c r="AA558" s="92">
        <v>141</v>
      </c>
      <c r="AB558" s="19" t="s">
        <v>844</v>
      </c>
      <c r="AC558" s="92"/>
      <c r="AD558" s="19" t="s">
        <v>833</v>
      </c>
      <c r="AE558" s="93">
        <v>2</v>
      </c>
    </row>
    <row r="559" spans="24:31" x14ac:dyDescent="0.25">
      <c r="X559" s="119">
        <v>36</v>
      </c>
      <c r="Y559" s="331">
        <v>41159</v>
      </c>
      <c r="Z559" s="19" t="s">
        <v>180</v>
      </c>
      <c r="AA559" s="92">
        <v>10</v>
      </c>
      <c r="AB559" s="94" t="s">
        <v>835</v>
      </c>
      <c r="AC559" s="19"/>
      <c r="AD559" s="19" t="s">
        <v>833</v>
      </c>
      <c r="AE559" s="93">
        <v>2</v>
      </c>
    </row>
    <row r="560" spans="24:31" x14ac:dyDescent="0.25">
      <c r="X560" s="119">
        <v>36</v>
      </c>
      <c r="Y560" s="331">
        <v>41159</v>
      </c>
      <c r="Z560" s="19" t="s">
        <v>251</v>
      </c>
      <c r="AA560" s="92">
        <v>24</v>
      </c>
      <c r="AB560" s="19" t="s">
        <v>843</v>
      </c>
      <c r="AD560" s="554" t="s">
        <v>833</v>
      </c>
      <c r="AE560" s="5">
        <v>3</v>
      </c>
    </row>
    <row r="561" spans="24:31" x14ac:dyDescent="0.25">
      <c r="X561" s="119">
        <v>36</v>
      </c>
      <c r="Y561" s="331">
        <v>41159</v>
      </c>
      <c r="Z561" s="108" t="s">
        <v>210</v>
      </c>
      <c r="AA561" s="92">
        <v>190</v>
      </c>
      <c r="AB561" s="94" t="s">
        <v>832</v>
      </c>
      <c r="AC561" s="19"/>
      <c r="AD561" s="554" t="s">
        <v>833</v>
      </c>
      <c r="AE561" s="93">
        <v>2</v>
      </c>
    </row>
    <row r="562" spans="24:31" x14ac:dyDescent="0.25">
      <c r="X562" s="119">
        <v>37</v>
      </c>
      <c r="Y562" s="331">
        <v>41159</v>
      </c>
      <c r="Z562" s="19" t="s">
        <v>186</v>
      </c>
      <c r="AA562" s="92">
        <v>65</v>
      </c>
      <c r="AB562" s="19" t="s">
        <v>844</v>
      </c>
      <c r="AC562" s="92"/>
      <c r="AD562" s="19" t="s">
        <v>833</v>
      </c>
      <c r="AE562" s="93">
        <v>2</v>
      </c>
    </row>
    <row r="563" spans="24:31" x14ac:dyDescent="0.25">
      <c r="X563" s="119">
        <v>37</v>
      </c>
      <c r="Y563" s="331">
        <v>41159</v>
      </c>
      <c r="Z563" s="19" t="s">
        <v>180</v>
      </c>
      <c r="AA563" s="92">
        <v>7</v>
      </c>
      <c r="AB563" s="94" t="s">
        <v>835</v>
      </c>
      <c r="AC563" s="92"/>
      <c r="AD563" s="19" t="s">
        <v>833</v>
      </c>
      <c r="AE563" s="93">
        <v>2</v>
      </c>
    </row>
    <row r="564" spans="24:31" x14ac:dyDescent="0.25">
      <c r="X564" s="119">
        <v>37</v>
      </c>
      <c r="Y564" s="331">
        <v>41159</v>
      </c>
      <c r="Z564" s="19" t="s">
        <v>251</v>
      </c>
      <c r="AA564" s="92">
        <v>30</v>
      </c>
      <c r="AB564" s="19" t="s">
        <v>843</v>
      </c>
      <c r="AD564" s="554" t="s">
        <v>833</v>
      </c>
      <c r="AE564" s="5">
        <v>3</v>
      </c>
    </row>
    <row r="565" spans="24:31" x14ac:dyDescent="0.25">
      <c r="X565" s="119" t="s">
        <v>400</v>
      </c>
      <c r="Y565" s="331">
        <v>41159</v>
      </c>
      <c r="Z565" s="19" t="s">
        <v>186</v>
      </c>
      <c r="AA565" s="92">
        <v>7</v>
      </c>
      <c r="AB565" s="19" t="s">
        <v>844</v>
      </c>
      <c r="AC565" s="92"/>
      <c r="AD565" s="19" t="s">
        <v>833</v>
      </c>
      <c r="AE565" s="93">
        <v>2</v>
      </c>
    </row>
    <row r="566" spans="24:31" x14ac:dyDescent="0.25">
      <c r="X566" s="119" t="s">
        <v>400</v>
      </c>
      <c r="Y566" s="331">
        <v>41159</v>
      </c>
      <c r="Z566" s="19" t="s">
        <v>180</v>
      </c>
      <c r="AA566" s="92">
        <v>33</v>
      </c>
      <c r="AB566" s="94" t="s">
        <v>835</v>
      </c>
      <c r="AC566" s="19"/>
      <c r="AD566" s="19" t="s">
        <v>833</v>
      </c>
      <c r="AE566" s="93">
        <v>2</v>
      </c>
    </row>
    <row r="567" spans="24:31" x14ac:dyDescent="0.25">
      <c r="X567" s="119" t="s">
        <v>400</v>
      </c>
      <c r="Y567" s="331">
        <v>41159</v>
      </c>
      <c r="Z567" s="19" t="s">
        <v>251</v>
      </c>
      <c r="AA567" s="92">
        <v>56</v>
      </c>
      <c r="AB567" s="19" t="s">
        <v>843</v>
      </c>
      <c r="AD567" s="554" t="s">
        <v>833</v>
      </c>
      <c r="AE567" s="5">
        <v>3</v>
      </c>
    </row>
    <row r="568" spans="24:31" x14ac:dyDescent="0.25">
      <c r="X568" s="119">
        <v>37</v>
      </c>
      <c r="Y568" s="331">
        <v>41159</v>
      </c>
      <c r="Z568" s="108" t="s">
        <v>210</v>
      </c>
      <c r="AA568" s="92">
        <v>189</v>
      </c>
      <c r="AB568" s="94" t="s">
        <v>832</v>
      </c>
      <c r="AD568" s="554" t="s">
        <v>833</v>
      </c>
      <c r="AE568" s="93">
        <v>2</v>
      </c>
    </row>
    <row r="569" spans="24:31" x14ac:dyDescent="0.25">
      <c r="X569" s="119" t="s">
        <v>400</v>
      </c>
      <c r="Y569" s="331">
        <v>41159</v>
      </c>
      <c r="Z569" s="108" t="s">
        <v>210</v>
      </c>
      <c r="AA569" s="92">
        <v>135</v>
      </c>
      <c r="AB569" s="94" t="s">
        <v>832</v>
      </c>
      <c r="AC569" s="19"/>
      <c r="AD569" s="554" t="s">
        <v>833</v>
      </c>
      <c r="AE569" s="93">
        <v>2</v>
      </c>
    </row>
    <row r="570" spans="24:31" x14ac:dyDescent="0.25">
      <c r="X570" s="119" t="s">
        <v>400</v>
      </c>
      <c r="Y570" s="331">
        <v>41159</v>
      </c>
      <c r="Z570" s="96" t="s">
        <v>181</v>
      </c>
      <c r="AA570" s="92">
        <v>14</v>
      </c>
      <c r="AB570" s="94" t="s">
        <v>835</v>
      </c>
      <c r="AC570" s="554"/>
      <c r="AD570" s="19" t="s">
        <v>833</v>
      </c>
      <c r="AE570" s="109">
        <v>2</v>
      </c>
    </row>
    <row r="571" spans="24:31" x14ac:dyDescent="0.25">
      <c r="X571" s="119" t="s">
        <v>400</v>
      </c>
      <c r="Y571" s="331">
        <v>41159</v>
      </c>
      <c r="Z571" s="19" t="s">
        <v>185</v>
      </c>
      <c r="AA571" s="92">
        <v>11.5</v>
      </c>
      <c r="AB571" s="19" t="s">
        <v>836</v>
      </c>
      <c r="AC571" s="19"/>
      <c r="AD571" s="19" t="s">
        <v>838</v>
      </c>
      <c r="AE571" s="93">
        <v>4</v>
      </c>
    </row>
    <row r="572" spans="24:31" x14ac:dyDescent="0.25">
      <c r="X572" s="119" t="s">
        <v>523</v>
      </c>
      <c r="Y572" s="331">
        <v>41159</v>
      </c>
      <c r="Z572" s="19" t="s">
        <v>186</v>
      </c>
      <c r="AA572" s="92">
        <v>4</v>
      </c>
      <c r="AB572" s="19" t="s">
        <v>844</v>
      </c>
      <c r="AC572" s="92"/>
      <c r="AD572" s="19" t="s">
        <v>833</v>
      </c>
      <c r="AE572" s="93">
        <v>2</v>
      </c>
    </row>
    <row r="573" spans="24:31" x14ac:dyDescent="0.25">
      <c r="X573" s="119" t="s">
        <v>523</v>
      </c>
      <c r="Y573" s="331">
        <v>41159</v>
      </c>
      <c r="Z573" s="19" t="s">
        <v>180</v>
      </c>
      <c r="AA573" s="92">
        <v>29</v>
      </c>
      <c r="AB573" s="94" t="s">
        <v>835</v>
      </c>
      <c r="AC573" s="19"/>
      <c r="AD573" s="19" t="s">
        <v>833</v>
      </c>
      <c r="AE573" s="93">
        <v>2</v>
      </c>
    </row>
    <row r="574" spans="24:31" x14ac:dyDescent="0.25">
      <c r="X574" s="119" t="s">
        <v>523</v>
      </c>
      <c r="Y574" s="331">
        <v>41159</v>
      </c>
      <c r="Z574" s="19" t="s">
        <v>251</v>
      </c>
      <c r="AA574" s="92">
        <v>51</v>
      </c>
      <c r="AB574" s="19" t="s">
        <v>843</v>
      </c>
      <c r="AD574" s="554" t="s">
        <v>833</v>
      </c>
      <c r="AE574" s="5">
        <v>3</v>
      </c>
    </row>
    <row r="575" spans="24:31" x14ac:dyDescent="0.25">
      <c r="X575" s="119" t="s">
        <v>523</v>
      </c>
      <c r="Y575" s="331">
        <v>41159</v>
      </c>
      <c r="Z575" s="108" t="s">
        <v>210</v>
      </c>
      <c r="AA575" s="92">
        <v>104</v>
      </c>
      <c r="AB575" s="94" t="s">
        <v>832</v>
      </c>
      <c r="AC575" s="19"/>
      <c r="AD575" s="554" t="s">
        <v>833</v>
      </c>
      <c r="AE575" s="93">
        <v>2</v>
      </c>
    </row>
    <row r="576" spans="24:31" x14ac:dyDescent="0.25">
      <c r="X576" s="119" t="s">
        <v>523</v>
      </c>
      <c r="Y576" s="331">
        <v>41159</v>
      </c>
      <c r="Z576" s="96" t="s">
        <v>181</v>
      </c>
      <c r="AA576" s="95">
        <v>11</v>
      </c>
      <c r="AB576" s="94" t="s">
        <v>835</v>
      </c>
      <c r="AC576" s="554"/>
      <c r="AD576" s="19" t="s">
        <v>833</v>
      </c>
      <c r="AE576" s="109">
        <v>2</v>
      </c>
    </row>
    <row r="577" spans="24:31" x14ac:dyDescent="0.25">
      <c r="X577" s="119" t="s">
        <v>523</v>
      </c>
      <c r="Y577" s="331">
        <v>41159</v>
      </c>
      <c r="Z577" s="19" t="s">
        <v>185</v>
      </c>
      <c r="AA577" s="103">
        <v>12.4</v>
      </c>
      <c r="AB577" s="19" t="s">
        <v>836</v>
      </c>
      <c r="AC577" s="19"/>
      <c r="AD577" s="19" t="s">
        <v>838</v>
      </c>
      <c r="AE577" s="93">
        <v>4</v>
      </c>
    </row>
    <row r="578" spans="24:31" x14ac:dyDescent="0.25">
      <c r="X578" s="119">
        <v>60</v>
      </c>
      <c r="Y578" s="331">
        <v>41159</v>
      </c>
      <c r="Z578" s="19" t="s">
        <v>186</v>
      </c>
      <c r="AA578" s="92">
        <v>63</v>
      </c>
      <c r="AB578" s="19" t="s">
        <v>844</v>
      </c>
      <c r="AC578" s="92"/>
      <c r="AD578" s="19" t="s">
        <v>833</v>
      </c>
      <c r="AE578" s="93">
        <v>2</v>
      </c>
    </row>
    <row r="579" spans="24:31" x14ac:dyDescent="0.25">
      <c r="X579" s="119">
        <v>60</v>
      </c>
      <c r="Y579" s="331">
        <v>41159</v>
      </c>
      <c r="Z579" s="19" t="s">
        <v>180</v>
      </c>
      <c r="AA579" s="92">
        <v>6</v>
      </c>
      <c r="AB579" s="94" t="s">
        <v>835</v>
      </c>
      <c r="AC579" s="19"/>
      <c r="AD579" s="19" t="s">
        <v>833</v>
      </c>
      <c r="AE579" s="93">
        <v>2</v>
      </c>
    </row>
    <row r="580" spans="24:31" x14ac:dyDescent="0.25">
      <c r="X580" s="119">
        <v>60</v>
      </c>
      <c r="Y580" s="331">
        <v>41159</v>
      </c>
      <c r="Z580" s="19" t="s">
        <v>251</v>
      </c>
      <c r="AA580" s="92">
        <v>26</v>
      </c>
      <c r="AB580" s="19" t="s">
        <v>843</v>
      </c>
      <c r="AD580" s="554" t="s">
        <v>833</v>
      </c>
      <c r="AE580" s="5">
        <v>3</v>
      </c>
    </row>
    <row r="581" spans="24:31" x14ac:dyDescent="0.25">
      <c r="X581" s="119">
        <v>60</v>
      </c>
      <c r="Y581" s="331">
        <v>41159</v>
      </c>
      <c r="Z581" s="108" t="s">
        <v>210</v>
      </c>
      <c r="AA581" s="92">
        <v>81</v>
      </c>
      <c r="AB581" s="94" t="s">
        <v>832</v>
      </c>
      <c r="AC581" s="19"/>
      <c r="AD581" s="554" t="s">
        <v>833</v>
      </c>
      <c r="AE581" s="93">
        <v>2</v>
      </c>
    </row>
    <row r="582" spans="24:31" x14ac:dyDescent="0.25">
      <c r="X582" s="119">
        <v>61</v>
      </c>
      <c r="Y582" s="331">
        <v>41159</v>
      </c>
      <c r="Z582" s="19" t="s">
        <v>186</v>
      </c>
      <c r="AA582" s="92">
        <v>5</v>
      </c>
      <c r="AB582" s="19" t="s">
        <v>844</v>
      </c>
      <c r="AC582" s="92"/>
      <c r="AD582" s="19" t="s">
        <v>833</v>
      </c>
      <c r="AE582" s="93">
        <v>2</v>
      </c>
    </row>
    <row r="583" spans="24:31" x14ac:dyDescent="0.25">
      <c r="X583" s="119">
        <v>61</v>
      </c>
      <c r="Y583" s="331">
        <v>41159</v>
      </c>
      <c r="Z583" s="19" t="s">
        <v>180</v>
      </c>
      <c r="AA583" s="92">
        <v>11</v>
      </c>
      <c r="AB583" s="94" t="s">
        <v>835</v>
      </c>
      <c r="AC583" s="19"/>
      <c r="AD583" s="19" t="s">
        <v>833</v>
      </c>
      <c r="AE583" s="93">
        <v>2</v>
      </c>
    </row>
    <row r="584" spans="24:31" x14ac:dyDescent="0.25">
      <c r="X584" s="119">
        <v>61</v>
      </c>
      <c r="Y584" s="331">
        <v>41159</v>
      </c>
      <c r="Z584" s="19" t="s">
        <v>251</v>
      </c>
      <c r="AA584" s="92">
        <v>17</v>
      </c>
      <c r="AB584" s="19" t="s">
        <v>843</v>
      </c>
      <c r="AC584" s="92"/>
      <c r="AD584" s="554" t="s">
        <v>833</v>
      </c>
      <c r="AE584" s="5">
        <v>3</v>
      </c>
    </row>
    <row r="585" spans="24:31" x14ac:dyDescent="0.25">
      <c r="X585" s="119">
        <v>61</v>
      </c>
      <c r="Y585" s="331">
        <v>41159</v>
      </c>
      <c r="Z585" s="108" t="s">
        <v>210</v>
      </c>
      <c r="AA585" s="92">
        <v>34</v>
      </c>
      <c r="AB585" s="94" t="s">
        <v>832</v>
      </c>
      <c r="AC585" s="19"/>
      <c r="AD585" s="554" t="s">
        <v>833</v>
      </c>
      <c r="AE585" s="93">
        <v>2</v>
      </c>
    </row>
    <row r="586" spans="24:31" x14ac:dyDescent="0.25">
      <c r="X586" s="119">
        <v>62</v>
      </c>
      <c r="Y586" s="331">
        <v>41159</v>
      </c>
      <c r="Z586" s="19" t="s">
        <v>186</v>
      </c>
      <c r="AA586" s="92">
        <v>6</v>
      </c>
      <c r="AB586" s="19" t="s">
        <v>844</v>
      </c>
      <c r="AC586" s="92"/>
      <c r="AD586" s="19" t="s">
        <v>833</v>
      </c>
      <c r="AE586" s="93">
        <v>2</v>
      </c>
    </row>
    <row r="587" spans="24:31" x14ac:dyDescent="0.25">
      <c r="X587" s="119">
        <v>62</v>
      </c>
      <c r="Y587" s="331">
        <v>41159</v>
      </c>
      <c r="Z587" s="19" t="s">
        <v>180</v>
      </c>
      <c r="AA587" s="92">
        <v>7</v>
      </c>
      <c r="AB587" s="94" t="s">
        <v>835</v>
      </c>
      <c r="AC587" s="19"/>
      <c r="AD587" s="19" t="s">
        <v>833</v>
      </c>
      <c r="AE587" s="93">
        <v>2</v>
      </c>
    </row>
    <row r="588" spans="24:31" x14ac:dyDescent="0.25">
      <c r="X588" s="119">
        <v>62</v>
      </c>
      <c r="Y588" s="331">
        <v>41159</v>
      </c>
      <c r="Z588" s="19" t="s">
        <v>251</v>
      </c>
      <c r="AA588" s="92">
        <v>19</v>
      </c>
      <c r="AB588" s="19" t="s">
        <v>843</v>
      </c>
      <c r="AD588" s="554" t="s">
        <v>833</v>
      </c>
      <c r="AE588" s="5">
        <v>3</v>
      </c>
    </row>
    <row r="589" spans="24:31" x14ac:dyDescent="0.25">
      <c r="X589" s="119">
        <v>62</v>
      </c>
      <c r="Y589" s="331">
        <v>41159</v>
      </c>
      <c r="Z589" s="108" t="s">
        <v>210</v>
      </c>
      <c r="AA589" s="92">
        <v>108</v>
      </c>
      <c r="AB589" s="94" t="s">
        <v>832</v>
      </c>
      <c r="AC589" s="19"/>
      <c r="AD589" s="554" t="s">
        <v>833</v>
      </c>
      <c r="AE589" s="93">
        <v>2</v>
      </c>
    </row>
    <row r="590" spans="24:31" x14ac:dyDescent="0.25">
      <c r="X590" s="119">
        <v>63</v>
      </c>
      <c r="Y590" s="331">
        <v>41159</v>
      </c>
      <c r="Z590" s="19" t="s">
        <v>186</v>
      </c>
      <c r="AA590" s="92">
        <v>4</v>
      </c>
      <c r="AB590" s="19" t="s">
        <v>844</v>
      </c>
      <c r="AC590" s="92"/>
      <c r="AD590" s="19" t="s">
        <v>833</v>
      </c>
      <c r="AE590" s="93">
        <v>2</v>
      </c>
    </row>
    <row r="591" spans="24:31" x14ac:dyDescent="0.25">
      <c r="X591" s="119">
        <v>63</v>
      </c>
      <c r="Y591" s="331">
        <v>41159</v>
      </c>
      <c r="Z591" s="19" t="s">
        <v>180</v>
      </c>
      <c r="AA591" s="92">
        <v>518</v>
      </c>
      <c r="AB591" s="94" t="s">
        <v>835</v>
      </c>
      <c r="AC591" s="19"/>
      <c r="AD591" s="19" t="s">
        <v>833</v>
      </c>
      <c r="AE591" s="93">
        <v>2</v>
      </c>
    </row>
    <row r="592" spans="24:31" x14ac:dyDescent="0.25">
      <c r="X592" s="119">
        <v>63</v>
      </c>
      <c r="Y592" s="331">
        <v>41159</v>
      </c>
      <c r="Z592" s="19" t="s">
        <v>251</v>
      </c>
      <c r="AA592" s="92">
        <v>22</v>
      </c>
      <c r="AB592" s="19" t="s">
        <v>843</v>
      </c>
      <c r="AD592" s="554" t="s">
        <v>833</v>
      </c>
      <c r="AE592" s="5">
        <v>3</v>
      </c>
    </row>
    <row r="593" spans="24:31" x14ac:dyDescent="0.25">
      <c r="X593" s="119">
        <v>63</v>
      </c>
      <c r="Y593" s="331">
        <v>41159</v>
      </c>
      <c r="Z593" s="108" t="s">
        <v>210</v>
      </c>
      <c r="AA593" s="92">
        <v>777</v>
      </c>
      <c r="AB593" s="94" t="s">
        <v>832</v>
      </c>
      <c r="AC593" s="19"/>
      <c r="AD593" s="554" t="s">
        <v>833</v>
      </c>
      <c r="AE593" s="93">
        <v>2</v>
      </c>
    </row>
    <row r="594" spans="24:31" x14ac:dyDescent="0.25">
      <c r="X594" s="119" t="s">
        <v>831</v>
      </c>
      <c r="Y594" s="331">
        <v>41162</v>
      </c>
      <c r="Z594" s="108" t="s">
        <v>210</v>
      </c>
      <c r="AA594" s="92">
        <v>984</v>
      </c>
      <c r="AB594" s="94" t="s">
        <v>832</v>
      </c>
      <c r="AC594" s="19"/>
      <c r="AD594" s="554" t="s">
        <v>833</v>
      </c>
      <c r="AE594" s="93">
        <v>2</v>
      </c>
    </row>
    <row r="595" spans="24:31" x14ac:dyDescent="0.25">
      <c r="X595" s="119" t="s">
        <v>831</v>
      </c>
      <c r="Y595" s="331">
        <v>41162</v>
      </c>
      <c r="Z595" s="19" t="s">
        <v>186</v>
      </c>
      <c r="AA595" s="92">
        <v>824</v>
      </c>
      <c r="AB595" s="19" t="s">
        <v>834</v>
      </c>
      <c r="AC595" s="92"/>
      <c r="AD595" s="19" t="s">
        <v>833</v>
      </c>
      <c r="AE595" s="93">
        <v>2</v>
      </c>
    </row>
    <row r="596" spans="24:31" x14ac:dyDescent="0.25">
      <c r="X596" s="119" t="s">
        <v>831</v>
      </c>
      <c r="Y596" s="331">
        <v>41162</v>
      </c>
      <c r="Z596" s="19" t="s">
        <v>180</v>
      </c>
      <c r="AA596" s="92">
        <v>9</v>
      </c>
      <c r="AB596" s="94" t="s">
        <v>835</v>
      </c>
      <c r="AC596" s="92"/>
      <c r="AD596" s="19" t="s">
        <v>833</v>
      </c>
      <c r="AE596" s="93">
        <v>2</v>
      </c>
    </row>
    <row r="597" spans="24:31" x14ac:dyDescent="0.25">
      <c r="X597" s="119" t="s">
        <v>831</v>
      </c>
      <c r="Y597" s="331">
        <v>41162</v>
      </c>
      <c r="Z597" s="96" t="s">
        <v>181</v>
      </c>
      <c r="AA597" s="95">
        <v>5</v>
      </c>
      <c r="AB597" s="94" t="s">
        <v>835</v>
      </c>
      <c r="AC597" s="554"/>
      <c r="AD597" s="19" t="s">
        <v>833</v>
      </c>
      <c r="AE597" s="109">
        <v>2</v>
      </c>
    </row>
    <row r="598" spans="24:31" x14ac:dyDescent="0.25">
      <c r="X598" s="119" t="s">
        <v>831</v>
      </c>
      <c r="Y598" s="331">
        <v>41162</v>
      </c>
      <c r="Z598" s="19" t="s">
        <v>185</v>
      </c>
      <c r="AA598" s="103">
        <v>11.1</v>
      </c>
      <c r="AB598" s="19" t="s">
        <v>836</v>
      </c>
      <c r="AC598" s="92"/>
      <c r="AD598" s="19" t="s">
        <v>838</v>
      </c>
      <c r="AE598" s="93">
        <v>4</v>
      </c>
    </row>
    <row r="599" spans="24:31" x14ac:dyDescent="0.25">
      <c r="X599" s="119" t="s">
        <v>839</v>
      </c>
      <c r="Y599" s="331">
        <v>41162</v>
      </c>
      <c r="Z599" s="96" t="s">
        <v>181</v>
      </c>
      <c r="AA599" s="95">
        <v>32</v>
      </c>
      <c r="AB599" s="94" t="s">
        <v>835</v>
      </c>
      <c r="AC599" s="554"/>
      <c r="AD599" s="19" t="s">
        <v>833</v>
      </c>
      <c r="AE599" s="109">
        <v>2</v>
      </c>
    </row>
    <row r="600" spans="24:31" x14ac:dyDescent="0.25">
      <c r="X600" s="119" t="s">
        <v>839</v>
      </c>
      <c r="Y600" s="331">
        <v>41162</v>
      </c>
      <c r="Z600" s="108" t="s">
        <v>210</v>
      </c>
      <c r="AA600" s="92">
        <v>2356</v>
      </c>
      <c r="AB600" s="94" t="s">
        <v>832</v>
      </c>
      <c r="AC600" s="19"/>
      <c r="AD600" s="554" t="s">
        <v>833</v>
      </c>
      <c r="AE600" s="93">
        <v>2</v>
      </c>
    </row>
    <row r="601" spans="24:31" x14ac:dyDescent="0.25">
      <c r="X601" s="119" t="s">
        <v>839</v>
      </c>
      <c r="Y601" s="331">
        <v>41162</v>
      </c>
      <c r="Z601" s="19" t="s">
        <v>186</v>
      </c>
      <c r="AA601" s="92">
        <v>2063</v>
      </c>
      <c r="AB601" s="19" t="s">
        <v>834</v>
      </c>
      <c r="AC601" s="92"/>
      <c r="AD601" s="19" t="s">
        <v>833</v>
      </c>
      <c r="AE601" s="93">
        <v>2</v>
      </c>
    </row>
    <row r="602" spans="24:31" x14ac:dyDescent="0.25">
      <c r="X602" s="119" t="s">
        <v>839</v>
      </c>
      <c r="Y602" s="331">
        <v>41162</v>
      </c>
      <c r="Z602" s="19" t="s">
        <v>180</v>
      </c>
      <c r="AA602" s="92">
        <v>40</v>
      </c>
      <c r="AB602" s="94" t="s">
        <v>835</v>
      </c>
      <c r="AC602" s="92"/>
      <c r="AD602" s="19" t="s">
        <v>833</v>
      </c>
      <c r="AE602" s="93">
        <v>2</v>
      </c>
    </row>
    <row r="603" spans="24:31" x14ac:dyDescent="0.25">
      <c r="X603" s="119" t="s">
        <v>839</v>
      </c>
      <c r="Y603" s="331">
        <v>41162</v>
      </c>
      <c r="Z603" s="19" t="s">
        <v>185</v>
      </c>
      <c r="AA603" s="103">
        <v>56.6</v>
      </c>
      <c r="AB603" s="19" t="s">
        <v>836</v>
      </c>
      <c r="AC603" s="19"/>
      <c r="AD603" s="19" t="s">
        <v>838</v>
      </c>
      <c r="AE603" s="93">
        <v>4</v>
      </c>
    </row>
    <row r="604" spans="24:31" x14ac:dyDescent="0.25">
      <c r="X604" s="119">
        <v>45</v>
      </c>
      <c r="Y604" s="331">
        <v>41162</v>
      </c>
      <c r="Z604" s="96" t="s">
        <v>181</v>
      </c>
      <c r="AA604" s="95">
        <v>73</v>
      </c>
      <c r="AB604" s="94" t="s">
        <v>835</v>
      </c>
      <c r="AC604" s="554"/>
      <c r="AD604" s="19" t="s">
        <v>833</v>
      </c>
      <c r="AE604" s="109">
        <v>2</v>
      </c>
    </row>
    <row r="605" spans="24:31" x14ac:dyDescent="0.25">
      <c r="X605" s="119">
        <v>45</v>
      </c>
      <c r="Y605" s="331">
        <v>41162</v>
      </c>
      <c r="Z605" s="19" t="s">
        <v>186</v>
      </c>
      <c r="AA605" s="92">
        <v>112</v>
      </c>
      <c r="AB605" s="19" t="s">
        <v>834</v>
      </c>
      <c r="AC605" s="92"/>
      <c r="AD605" s="19" t="s">
        <v>833</v>
      </c>
      <c r="AE605" s="93">
        <v>2</v>
      </c>
    </row>
    <row r="606" spans="24:31" x14ac:dyDescent="0.25">
      <c r="X606" s="119">
        <v>45</v>
      </c>
      <c r="Y606" s="331">
        <v>41162</v>
      </c>
      <c r="Z606" s="19" t="s">
        <v>180</v>
      </c>
      <c r="AA606" s="92">
        <v>100</v>
      </c>
      <c r="AB606" s="94" t="s">
        <v>835</v>
      </c>
      <c r="AC606" s="19"/>
      <c r="AD606" s="19" t="s">
        <v>833</v>
      </c>
      <c r="AE606" s="93">
        <v>2</v>
      </c>
    </row>
    <row r="607" spans="24:31" x14ac:dyDescent="0.25">
      <c r="X607" s="119">
        <v>45</v>
      </c>
      <c r="Y607" s="331">
        <v>41162</v>
      </c>
      <c r="Z607" s="19" t="s">
        <v>185</v>
      </c>
      <c r="AA607" s="103">
        <v>13</v>
      </c>
      <c r="AB607" s="19" t="s">
        <v>836</v>
      </c>
      <c r="AC607" s="19"/>
      <c r="AD607" s="19" t="s">
        <v>838</v>
      </c>
      <c r="AE607" s="93">
        <v>4</v>
      </c>
    </row>
    <row r="608" spans="24:31" x14ac:dyDescent="0.25">
      <c r="X608" s="119">
        <v>45</v>
      </c>
      <c r="Y608" s="331">
        <v>41162</v>
      </c>
      <c r="Z608" s="108" t="s">
        <v>210</v>
      </c>
      <c r="AA608" s="92">
        <v>848</v>
      </c>
      <c r="AB608" s="94" t="s">
        <v>832</v>
      </c>
      <c r="AC608" s="19"/>
      <c r="AD608" s="554" t="s">
        <v>833</v>
      </c>
      <c r="AE608" s="93">
        <v>2</v>
      </c>
    </row>
    <row r="609" spans="24:31" x14ac:dyDescent="0.25">
      <c r="X609" s="244" t="s">
        <v>840</v>
      </c>
      <c r="Y609" s="331">
        <v>41162</v>
      </c>
      <c r="Z609" s="96" t="s">
        <v>181</v>
      </c>
      <c r="AA609" s="95">
        <v>72</v>
      </c>
      <c r="AB609" s="94" t="s">
        <v>835</v>
      </c>
      <c r="AC609" s="554"/>
      <c r="AD609" s="19" t="s">
        <v>833</v>
      </c>
      <c r="AE609" s="109">
        <v>2</v>
      </c>
    </row>
    <row r="610" spans="24:31" x14ac:dyDescent="0.25">
      <c r="X610" s="244" t="s">
        <v>840</v>
      </c>
      <c r="Y610" s="331">
        <v>41162</v>
      </c>
      <c r="Z610" s="19" t="s">
        <v>186</v>
      </c>
      <c r="AA610" s="92">
        <v>32</v>
      </c>
      <c r="AB610" s="19" t="s">
        <v>834</v>
      </c>
      <c r="AC610" s="92"/>
      <c r="AD610" s="19" t="s">
        <v>833</v>
      </c>
      <c r="AE610" s="93">
        <v>2</v>
      </c>
    </row>
    <row r="611" spans="24:31" x14ac:dyDescent="0.25">
      <c r="X611" s="244" t="s">
        <v>840</v>
      </c>
      <c r="Y611" s="331">
        <v>41162</v>
      </c>
      <c r="Z611" s="19" t="s">
        <v>180</v>
      </c>
      <c r="AA611" s="92">
        <v>113</v>
      </c>
      <c r="AB611" s="94" t="s">
        <v>835</v>
      </c>
      <c r="AC611" s="19"/>
      <c r="AD611" s="19" t="s">
        <v>833</v>
      </c>
      <c r="AE611" s="93">
        <v>2</v>
      </c>
    </row>
    <row r="612" spans="24:31" x14ac:dyDescent="0.25">
      <c r="X612" s="244" t="s">
        <v>840</v>
      </c>
      <c r="Y612" s="331">
        <v>41162</v>
      </c>
      <c r="Z612" s="19" t="s">
        <v>185</v>
      </c>
      <c r="AA612" s="103">
        <v>7.3</v>
      </c>
      <c r="AB612" s="19" t="s">
        <v>836</v>
      </c>
      <c r="AC612" s="19"/>
      <c r="AD612" s="19" t="s">
        <v>838</v>
      </c>
      <c r="AE612" s="93">
        <v>4</v>
      </c>
    </row>
    <row r="613" spans="24:31" x14ac:dyDescent="0.25">
      <c r="X613" s="244" t="s">
        <v>840</v>
      </c>
      <c r="Y613" s="331">
        <v>41162</v>
      </c>
      <c r="Z613" s="108" t="s">
        <v>210</v>
      </c>
      <c r="AA613" s="92">
        <v>944</v>
      </c>
      <c r="AB613" s="94" t="s">
        <v>832</v>
      </c>
      <c r="AC613" s="19"/>
      <c r="AD613" s="554" t="s">
        <v>833</v>
      </c>
      <c r="AE613" s="93">
        <v>2</v>
      </c>
    </row>
    <row r="614" spans="24:31" x14ac:dyDescent="0.25">
      <c r="X614" s="119" t="s">
        <v>840</v>
      </c>
      <c r="Y614" s="331">
        <v>41162</v>
      </c>
      <c r="Z614" s="108" t="s">
        <v>182</v>
      </c>
      <c r="AA614" s="504">
        <v>20.3</v>
      </c>
      <c r="AB614" s="97" t="s">
        <v>841</v>
      </c>
      <c r="AC614" s="10"/>
      <c r="AD614" s="19" t="s">
        <v>833</v>
      </c>
      <c r="AE614" s="109">
        <v>0.1</v>
      </c>
    </row>
    <row r="615" spans="24:31" x14ac:dyDescent="0.25">
      <c r="X615" s="119" t="s">
        <v>840</v>
      </c>
      <c r="Y615" s="331">
        <v>41162</v>
      </c>
      <c r="Z615" s="108" t="s">
        <v>182</v>
      </c>
      <c r="AA615" s="504">
        <v>21.2</v>
      </c>
      <c r="AB615" s="97" t="s">
        <v>841</v>
      </c>
      <c r="AC615" s="10"/>
      <c r="AD615" s="19" t="s">
        <v>833</v>
      </c>
      <c r="AE615" s="109">
        <v>0.1</v>
      </c>
    </row>
    <row r="616" spans="24:31" x14ac:dyDescent="0.25">
      <c r="X616" s="119" t="s">
        <v>842</v>
      </c>
      <c r="Y616" s="331">
        <v>41162</v>
      </c>
      <c r="Z616" s="96" t="s">
        <v>181</v>
      </c>
      <c r="AA616" s="95">
        <v>73</v>
      </c>
      <c r="AB616" s="94" t="s">
        <v>835</v>
      </c>
      <c r="AC616" s="554"/>
      <c r="AD616" s="19" t="s">
        <v>833</v>
      </c>
      <c r="AE616" s="109">
        <v>2</v>
      </c>
    </row>
    <row r="617" spans="24:31" x14ac:dyDescent="0.25">
      <c r="X617" s="119" t="s">
        <v>842</v>
      </c>
      <c r="Y617" s="331">
        <v>41162</v>
      </c>
      <c r="Z617" s="19" t="s">
        <v>186</v>
      </c>
      <c r="AA617" s="92">
        <v>30</v>
      </c>
      <c r="AB617" s="19" t="s">
        <v>834</v>
      </c>
      <c r="AC617" s="92"/>
      <c r="AD617" s="19" t="s">
        <v>833</v>
      </c>
      <c r="AE617" s="93">
        <v>2</v>
      </c>
    </row>
    <row r="618" spans="24:31" x14ac:dyDescent="0.25">
      <c r="X618" s="119" t="s">
        <v>842</v>
      </c>
      <c r="Y618" s="331">
        <v>41162</v>
      </c>
      <c r="Z618" s="19" t="s">
        <v>180</v>
      </c>
      <c r="AA618" s="92">
        <v>106</v>
      </c>
      <c r="AB618" s="94" t="s">
        <v>835</v>
      </c>
      <c r="AC618" s="19"/>
      <c r="AD618" s="19" t="s">
        <v>833</v>
      </c>
      <c r="AE618" s="93">
        <v>2</v>
      </c>
    </row>
    <row r="619" spans="24:31" x14ac:dyDescent="0.25">
      <c r="X619" s="119" t="s">
        <v>842</v>
      </c>
      <c r="Y619" s="331">
        <v>41162</v>
      </c>
      <c r="Z619" s="19" t="s">
        <v>185</v>
      </c>
      <c r="AA619" s="103">
        <v>7.5</v>
      </c>
      <c r="AB619" s="19" t="s">
        <v>836</v>
      </c>
      <c r="AC619" s="19"/>
      <c r="AD619" s="19" t="s">
        <v>838</v>
      </c>
      <c r="AE619" s="93">
        <v>4</v>
      </c>
    </row>
    <row r="620" spans="24:31" x14ac:dyDescent="0.25">
      <c r="X620" s="119" t="s">
        <v>842</v>
      </c>
      <c r="Y620" s="331">
        <v>41162</v>
      </c>
      <c r="Z620" s="108" t="s">
        <v>210</v>
      </c>
      <c r="AA620" s="92">
        <v>931</v>
      </c>
      <c r="AB620" s="94" t="s">
        <v>832</v>
      </c>
      <c r="AC620" s="19"/>
      <c r="AD620" s="554" t="s">
        <v>833</v>
      </c>
      <c r="AE620" s="93">
        <v>2</v>
      </c>
    </row>
    <row r="621" spans="24:31" x14ac:dyDescent="0.25">
      <c r="X621" s="119">
        <v>58</v>
      </c>
      <c r="Y621" s="331">
        <v>41158</v>
      </c>
      <c r="Z621" s="19" t="s">
        <v>186</v>
      </c>
      <c r="AA621" s="92">
        <v>50</v>
      </c>
      <c r="AB621" s="19" t="s">
        <v>844</v>
      </c>
      <c r="AC621" s="92"/>
      <c r="AD621" s="19" t="s">
        <v>833</v>
      </c>
      <c r="AE621" s="93">
        <v>2</v>
      </c>
    </row>
    <row r="622" spans="24:31" x14ac:dyDescent="0.25">
      <c r="X622" s="119">
        <v>58</v>
      </c>
      <c r="Y622" s="331">
        <v>41158</v>
      </c>
      <c r="Z622" s="19" t="s">
        <v>180</v>
      </c>
      <c r="AA622" s="92">
        <v>15</v>
      </c>
      <c r="AB622" s="94" t="s">
        <v>835</v>
      </c>
      <c r="AC622" s="19"/>
      <c r="AD622" s="19" t="s">
        <v>833</v>
      </c>
      <c r="AE622" s="93">
        <v>2</v>
      </c>
    </row>
    <row r="623" spans="24:31" x14ac:dyDescent="0.25">
      <c r="X623" s="119">
        <v>58</v>
      </c>
      <c r="Y623" s="331">
        <v>41158</v>
      </c>
      <c r="Z623" s="19" t="s">
        <v>251</v>
      </c>
      <c r="AA623" s="92">
        <v>15</v>
      </c>
      <c r="AB623" s="19" t="s">
        <v>843</v>
      </c>
      <c r="AD623" s="554" t="s">
        <v>833</v>
      </c>
      <c r="AE623" s="5">
        <v>3</v>
      </c>
    </row>
    <row r="624" spans="24:31" x14ac:dyDescent="0.25">
      <c r="X624" s="119">
        <v>58</v>
      </c>
      <c r="Y624" s="331">
        <v>41158</v>
      </c>
      <c r="Z624" s="108" t="s">
        <v>210</v>
      </c>
      <c r="AA624" s="92">
        <v>67</v>
      </c>
      <c r="AB624" s="94" t="s">
        <v>832</v>
      </c>
      <c r="AC624" s="19"/>
      <c r="AD624" s="554" t="s">
        <v>833</v>
      </c>
      <c r="AE624" s="93">
        <v>2</v>
      </c>
    </row>
    <row r="625" spans="24:31" x14ac:dyDescent="0.25">
      <c r="X625" s="119">
        <v>25</v>
      </c>
      <c r="Y625" s="331">
        <v>41158</v>
      </c>
      <c r="Z625" s="19" t="s">
        <v>186</v>
      </c>
      <c r="AA625" s="92">
        <v>2</v>
      </c>
      <c r="AB625" s="19" t="s">
        <v>844</v>
      </c>
      <c r="AC625" s="92"/>
      <c r="AD625" s="19" t="s">
        <v>833</v>
      </c>
      <c r="AE625" s="93">
        <v>2</v>
      </c>
    </row>
    <row r="626" spans="24:31" x14ac:dyDescent="0.25">
      <c r="X626" s="119">
        <v>25</v>
      </c>
      <c r="Y626" s="331">
        <v>41158</v>
      </c>
      <c r="Z626" s="19" t="s">
        <v>180</v>
      </c>
      <c r="AA626" s="92">
        <v>17</v>
      </c>
      <c r="AB626" s="94" t="s">
        <v>835</v>
      </c>
      <c r="AC626" s="92"/>
      <c r="AD626" s="19" t="s">
        <v>833</v>
      </c>
      <c r="AE626" s="93">
        <v>2</v>
      </c>
    </row>
    <row r="627" spans="24:31" x14ac:dyDescent="0.25">
      <c r="X627" s="119">
        <v>25</v>
      </c>
      <c r="Y627" s="331">
        <v>41158</v>
      </c>
      <c r="Z627" s="19" t="s">
        <v>251</v>
      </c>
      <c r="AA627" s="92">
        <v>10</v>
      </c>
      <c r="AB627" s="19" t="s">
        <v>843</v>
      </c>
      <c r="AD627" s="554" t="s">
        <v>833</v>
      </c>
      <c r="AE627" s="5">
        <v>3</v>
      </c>
    </row>
    <row r="628" spans="24:31" x14ac:dyDescent="0.25">
      <c r="X628" s="119" t="s">
        <v>845</v>
      </c>
      <c r="Y628" s="331">
        <v>41158</v>
      </c>
      <c r="Z628" s="19" t="s">
        <v>186</v>
      </c>
      <c r="AA628" s="92">
        <v>36</v>
      </c>
      <c r="AB628" s="19" t="s">
        <v>844</v>
      </c>
      <c r="AC628" s="92"/>
      <c r="AD628" s="19" t="s">
        <v>833</v>
      </c>
      <c r="AE628" s="93">
        <v>2</v>
      </c>
    </row>
    <row r="629" spans="24:31" x14ac:dyDescent="0.25">
      <c r="X629" s="119" t="s">
        <v>845</v>
      </c>
      <c r="Y629" s="331">
        <v>41158</v>
      </c>
      <c r="Z629" s="19" t="s">
        <v>180</v>
      </c>
      <c r="AA629" s="92">
        <v>10</v>
      </c>
      <c r="AB629" s="94" t="s">
        <v>835</v>
      </c>
      <c r="AC629" s="19"/>
      <c r="AD629" s="19" t="s">
        <v>833</v>
      </c>
      <c r="AE629" s="93">
        <v>2</v>
      </c>
    </row>
    <row r="630" spans="24:31" x14ac:dyDescent="0.25">
      <c r="X630" s="119" t="s">
        <v>845</v>
      </c>
      <c r="Y630" s="331">
        <v>41158</v>
      </c>
      <c r="Z630" s="19" t="s">
        <v>251</v>
      </c>
      <c r="AA630" s="92">
        <v>19</v>
      </c>
      <c r="AB630" s="19" t="s">
        <v>843</v>
      </c>
      <c r="AD630" s="554" t="s">
        <v>833</v>
      </c>
      <c r="AE630" s="5">
        <v>3</v>
      </c>
    </row>
    <row r="631" spans="24:31" x14ac:dyDescent="0.25">
      <c r="X631" s="119" t="s">
        <v>845</v>
      </c>
      <c r="Y631" s="331">
        <v>41158</v>
      </c>
      <c r="Z631" s="108" t="s">
        <v>210</v>
      </c>
      <c r="AA631" s="92">
        <v>118</v>
      </c>
      <c r="AB631" s="94" t="s">
        <v>832</v>
      </c>
      <c r="AC631" s="19"/>
      <c r="AD631" s="554" t="s">
        <v>833</v>
      </c>
      <c r="AE631" s="93">
        <v>2</v>
      </c>
    </row>
    <row r="632" spans="24:31" x14ac:dyDescent="0.25">
      <c r="X632" s="119" t="s">
        <v>846</v>
      </c>
      <c r="Y632" s="331">
        <v>41158</v>
      </c>
      <c r="Z632" s="19" t="s">
        <v>186</v>
      </c>
      <c r="AA632" s="92">
        <v>12</v>
      </c>
      <c r="AB632" s="19" t="s">
        <v>844</v>
      </c>
      <c r="AC632" s="92"/>
      <c r="AD632" s="19" t="s">
        <v>833</v>
      </c>
      <c r="AE632" s="93">
        <v>2</v>
      </c>
    </row>
    <row r="633" spans="24:31" x14ac:dyDescent="0.25">
      <c r="X633" s="119" t="s">
        <v>846</v>
      </c>
      <c r="Y633" s="331">
        <v>41158</v>
      </c>
      <c r="Z633" s="19" t="s">
        <v>180</v>
      </c>
      <c r="AA633" s="92">
        <v>31</v>
      </c>
      <c r="AB633" s="94" t="s">
        <v>835</v>
      </c>
      <c r="AC633" s="19"/>
      <c r="AD633" s="19" t="s">
        <v>833</v>
      </c>
      <c r="AE633" s="93">
        <v>2</v>
      </c>
    </row>
    <row r="634" spans="24:31" x14ac:dyDescent="0.25">
      <c r="X634" s="119" t="s">
        <v>846</v>
      </c>
      <c r="Y634" s="331">
        <v>41158</v>
      </c>
      <c r="Z634" s="19" t="s">
        <v>251</v>
      </c>
      <c r="AA634" s="92">
        <v>15</v>
      </c>
      <c r="AB634" s="19" t="s">
        <v>843</v>
      </c>
      <c r="AD634" s="554" t="s">
        <v>833</v>
      </c>
      <c r="AE634" s="5">
        <v>3</v>
      </c>
    </row>
    <row r="635" spans="24:31" x14ac:dyDescent="0.25">
      <c r="X635" s="119" t="s">
        <v>846</v>
      </c>
      <c r="Y635" s="331">
        <v>41158</v>
      </c>
      <c r="Z635" s="108" t="s">
        <v>210</v>
      </c>
      <c r="AA635" s="92">
        <v>48</v>
      </c>
      <c r="AB635" s="94" t="s">
        <v>832</v>
      </c>
      <c r="AC635" s="19"/>
      <c r="AD635" s="554" t="s">
        <v>833</v>
      </c>
      <c r="AE635" s="93">
        <v>2</v>
      </c>
    </row>
    <row r="636" spans="24:31" x14ac:dyDescent="0.25">
      <c r="X636" s="119">
        <v>5</v>
      </c>
      <c r="Y636" s="331">
        <v>41158</v>
      </c>
      <c r="Z636" s="19" t="s">
        <v>186</v>
      </c>
      <c r="AA636" s="92">
        <v>18</v>
      </c>
      <c r="AB636" s="19" t="s">
        <v>844</v>
      </c>
      <c r="AC636" s="92"/>
      <c r="AD636" s="19" t="s">
        <v>833</v>
      </c>
      <c r="AE636" s="93">
        <v>2</v>
      </c>
    </row>
    <row r="637" spans="24:31" x14ac:dyDescent="0.25">
      <c r="X637" s="119">
        <v>5</v>
      </c>
      <c r="Y637" s="331">
        <v>41158</v>
      </c>
      <c r="Z637" s="19" t="s">
        <v>180</v>
      </c>
      <c r="AA637" s="92">
        <v>30</v>
      </c>
      <c r="AB637" s="94" t="s">
        <v>835</v>
      </c>
      <c r="AC637" s="19"/>
      <c r="AD637" s="19" t="s">
        <v>833</v>
      </c>
      <c r="AE637" s="93">
        <v>2</v>
      </c>
    </row>
    <row r="638" spans="24:31" x14ac:dyDescent="0.25">
      <c r="X638" s="119">
        <v>5</v>
      </c>
      <c r="Y638" s="331">
        <v>41158</v>
      </c>
      <c r="Z638" s="19" t="s">
        <v>251</v>
      </c>
      <c r="AA638" s="92">
        <v>35</v>
      </c>
      <c r="AB638" s="19" t="s">
        <v>843</v>
      </c>
      <c r="AD638" s="554" t="s">
        <v>833</v>
      </c>
      <c r="AE638" s="5">
        <v>3</v>
      </c>
    </row>
    <row r="639" spans="24:31" x14ac:dyDescent="0.25">
      <c r="X639" s="119" t="s">
        <v>574</v>
      </c>
      <c r="Y639" s="331">
        <v>41158</v>
      </c>
      <c r="Z639" s="19" t="s">
        <v>186</v>
      </c>
      <c r="AA639" s="92">
        <v>108</v>
      </c>
      <c r="AB639" s="19" t="s">
        <v>844</v>
      </c>
      <c r="AC639" s="92"/>
      <c r="AD639" s="19" t="s">
        <v>833</v>
      </c>
      <c r="AE639" s="93">
        <v>2</v>
      </c>
    </row>
    <row r="640" spans="24:31" x14ac:dyDescent="0.25">
      <c r="X640" s="119" t="s">
        <v>574</v>
      </c>
      <c r="Y640" s="331">
        <v>41158</v>
      </c>
      <c r="Z640" s="19" t="s">
        <v>180</v>
      </c>
      <c r="AA640" s="92">
        <v>81</v>
      </c>
      <c r="AB640" s="94" t="s">
        <v>835</v>
      </c>
      <c r="AC640" s="19"/>
      <c r="AD640" s="19" t="s">
        <v>833</v>
      </c>
      <c r="AE640" s="93">
        <v>2</v>
      </c>
    </row>
    <row r="641" spans="24:31" x14ac:dyDescent="0.25">
      <c r="X641" s="119" t="s">
        <v>574</v>
      </c>
      <c r="Y641" s="331">
        <v>41158</v>
      </c>
      <c r="Z641" s="19" t="s">
        <v>251</v>
      </c>
      <c r="AA641" s="92">
        <v>125</v>
      </c>
      <c r="AB641" s="19" t="s">
        <v>843</v>
      </c>
      <c r="AD641" s="554" t="s">
        <v>833</v>
      </c>
      <c r="AE641" s="5">
        <v>3</v>
      </c>
    </row>
    <row r="642" spans="24:31" x14ac:dyDescent="0.25">
      <c r="X642" s="119">
        <v>9</v>
      </c>
      <c r="Y642" s="331">
        <v>41158</v>
      </c>
      <c r="Z642" s="19" t="s">
        <v>186</v>
      </c>
      <c r="AA642" s="92">
        <v>103</v>
      </c>
      <c r="AB642" s="19" t="s">
        <v>844</v>
      </c>
      <c r="AC642" s="92"/>
      <c r="AD642" s="19" t="s">
        <v>833</v>
      </c>
      <c r="AE642" s="93">
        <v>2</v>
      </c>
    </row>
    <row r="643" spans="24:31" x14ac:dyDescent="0.25">
      <c r="X643" s="119">
        <v>9</v>
      </c>
      <c r="Y643" s="331">
        <v>41158</v>
      </c>
      <c r="Z643" s="19" t="s">
        <v>180</v>
      </c>
      <c r="AA643" s="92">
        <v>35</v>
      </c>
      <c r="AB643" s="94" t="s">
        <v>835</v>
      </c>
      <c r="AC643" s="19"/>
      <c r="AD643" s="19" t="s">
        <v>833</v>
      </c>
      <c r="AE643" s="93">
        <v>2</v>
      </c>
    </row>
    <row r="644" spans="24:31" x14ac:dyDescent="0.25">
      <c r="X644" s="119">
        <v>9</v>
      </c>
      <c r="Y644" s="331">
        <v>41158</v>
      </c>
      <c r="Z644" s="19" t="s">
        <v>251</v>
      </c>
      <c r="AA644" s="92">
        <v>28</v>
      </c>
      <c r="AB644" s="19" t="s">
        <v>843</v>
      </c>
      <c r="AD644" s="554" t="s">
        <v>833</v>
      </c>
      <c r="AE644" s="5">
        <v>3</v>
      </c>
    </row>
    <row r="645" spans="24:31" x14ac:dyDescent="0.25">
      <c r="X645" s="119">
        <v>9</v>
      </c>
      <c r="Y645" s="331">
        <v>41158</v>
      </c>
      <c r="Z645" s="108" t="s">
        <v>210</v>
      </c>
      <c r="AA645" s="92">
        <v>240</v>
      </c>
      <c r="AB645" s="94" t="s">
        <v>832</v>
      </c>
      <c r="AC645" s="19"/>
      <c r="AD645" s="554" t="s">
        <v>833</v>
      </c>
      <c r="AE645" s="93">
        <v>2</v>
      </c>
    </row>
    <row r="646" spans="24:31" x14ac:dyDescent="0.25">
      <c r="X646" s="119">
        <v>12</v>
      </c>
      <c r="Y646" s="331">
        <v>41158</v>
      </c>
      <c r="Z646" s="19" t="s">
        <v>186</v>
      </c>
      <c r="AA646" s="92">
        <v>523</v>
      </c>
      <c r="AB646" s="19" t="s">
        <v>844</v>
      </c>
      <c r="AC646" s="92"/>
      <c r="AD646" s="19" t="s">
        <v>833</v>
      </c>
      <c r="AE646" s="93">
        <v>2</v>
      </c>
    </row>
    <row r="647" spans="24:31" x14ac:dyDescent="0.25">
      <c r="X647" s="119">
        <v>12</v>
      </c>
      <c r="Y647" s="331">
        <v>41158</v>
      </c>
      <c r="Z647" s="19" t="s">
        <v>180</v>
      </c>
      <c r="AA647" s="92">
        <v>39</v>
      </c>
      <c r="AB647" s="94" t="s">
        <v>835</v>
      </c>
      <c r="AC647" s="19"/>
      <c r="AD647" s="19" t="s">
        <v>833</v>
      </c>
      <c r="AE647" s="93">
        <v>2</v>
      </c>
    </row>
    <row r="648" spans="24:31" x14ac:dyDescent="0.25">
      <c r="X648" s="119">
        <v>12</v>
      </c>
      <c r="Y648" s="331">
        <v>41158</v>
      </c>
      <c r="Z648" s="19" t="s">
        <v>251</v>
      </c>
      <c r="AA648" s="92">
        <v>23</v>
      </c>
      <c r="AB648" s="19" t="s">
        <v>843</v>
      </c>
      <c r="AD648" s="554" t="s">
        <v>833</v>
      </c>
      <c r="AE648" s="5">
        <v>3</v>
      </c>
    </row>
    <row r="649" spans="24:31" x14ac:dyDescent="0.25">
      <c r="X649" s="119" t="s">
        <v>575</v>
      </c>
      <c r="Y649" s="331">
        <v>41158</v>
      </c>
      <c r="Z649" s="19" t="s">
        <v>186</v>
      </c>
      <c r="AA649" s="92">
        <v>281</v>
      </c>
      <c r="AB649" s="19" t="s">
        <v>844</v>
      </c>
      <c r="AC649" s="92"/>
      <c r="AD649" s="19" t="s">
        <v>833</v>
      </c>
      <c r="AE649" s="93">
        <v>2</v>
      </c>
    </row>
    <row r="650" spans="24:31" x14ac:dyDescent="0.25">
      <c r="X650" s="119" t="s">
        <v>575</v>
      </c>
      <c r="Y650" s="331">
        <v>41158</v>
      </c>
      <c r="Z650" s="19" t="s">
        <v>180</v>
      </c>
      <c r="AA650" s="92">
        <v>46</v>
      </c>
      <c r="AB650" s="94" t="s">
        <v>835</v>
      </c>
      <c r="AC650" s="19"/>
      <c r="AD650" s="19" t="s">
        <v>833</v>
      </c>
      <c r="AE650" s="93">
        <v>2</v>
      </c>
    </row>
    <row r="651" spans="24:31" x14ac:dyDescent="0.25">
      <c r="X651" s="119" t="s">
        <v>575</v>
      </c>
      <c r="Y651" s="331">
        <v>41158</v>
      </c>
      <c r="Z651" s="19" t="s">
        <v>251</v>
      </c>
      <c r="AA651" s="92">
        <v>16</v>
      </c>
      <c r="AB651" s="19" t="s">
        <v>843</v>
      </c>
      <c r="AD651" s="554" t="s">
        <v>833</v>
      </c>
      <c r="AE651" s="5">
        <v>3</v>
      </c>
    </row>
    <row r="652" spans="24:31" x14ac:dyDescent="0.25">
      <c r="X652" s="119" t="s">
        <v>847</v>
      </c>
      <c r="Y652" s="331">
        <v>41158</v>
      </c>
      <c r="Z652" s="19" t="s">
        <v>186</v>
      </c>
      <c r="AA652" s="92">
        <v>256</v>
      </c>
      <c r="AB652" s="19" t="s">
        <v>844</v>
      </c>
      <c r="AC652" s="92"/>
      <c r="AD652" s="19" t="s">
        <v>833</v>
      </c>
      <c r="AE652" s="93">
        <v>2</v>
      </c>
    </row>
    <row r="653" spans="24:31" x14ac:dyDescent="0.25">
      <c r="X653" s="119" t="s">
        <v>847</v>
      </c>
      <c r="Y653" s="331">
        <v>41158</v>
      </c>
      <c r="Z653" s="19" t="s">
        <v>180</v>
      </c>
      <c r="AA653" s="92">
        <v>46</v>
      </c>
      <c r="AB653" s="94" t="s">
        <v>835</v>
      </c>
      <c r="AC653" s="19"/>
      <c r="AD653" s="19" t="s">
        <v>833</v>
      </c>
      <c r="AE653" s="93">
        <v>2</v>
      </c>
    </row>
    <row r="654" spans="24:31" x14ac:dyDescent="0.25">
      <c r="X654" s="119" t="s">
        <v>847</v>
      </c>
      <c r="Y654" s="331">
        <v>41158</v>
      </c>
      <c r="Z654" s="19" t="s">
        <v>251</v>
      </c>
      <c r="AA654" s="92">
        <v>14</v>
      </c>
      <c r="AB654" s="19" t="s">
        <v>843</v>
      </c>
      <c r="AD654" s="554" t="s">
        <v>833</v>
      </c>
      <c r="AE654" s="5">
        <v>3</v>
      </c>
    </row>
    <row r="655" spans="24:31" x14ac:dyDescent="0.25">
      <c r="X655" s="119" t="s">
        <v>847</v>
      </c>
      <c r="Y655" s="331">
        <v>41158</v>
      </c>
      <c r="Z655" s="108" t="s">
        <v>210</v>
      </c>
      <c r="AA655" s="92">
        <v>443</v>
      </c>
      <c r="AB655" s="94" t="s">
        <v>832</v>
      </c>
      <c r="AC655" s="19"/>
      <c r="AD655" s="554" t="s">
        <v>833</v>
      </c>
      <c r="AE655" s="93">
        <v>2</v>
      </c>
    </row>
    <row r="656" spans="24:31" x14ac:dyDescent="0.25">
      <c r="X656" s="119">
        <v>18</v>
      </c>
      <c r="Y656" s="331">
        <v>41158</v>
      </c>
      <c r="Z656" s="19" t="s">
        <v>186</v>
      </c>
      <c r="AA656" s="92">
        <v>6</v>
      </c>
      <c r="AB656" s="19" t="s">
        <v>844</v>
      </c>
      <c r="AC656" s="92"/>
      <c r="AD656" s="19" t="s">
        <v>833</v>
      </c>
      <c r="AE656" s="93">
        <v>2</v>
      </c>
    </row>
    <row r="657" spans="24:31" x14ac:dyDescent="0.25">
      <c r="X657" s="119">
        <v>18</v>
      </c>
      <c r="Y657" s="331">
        <v>41158</v>
      </c>
      <c r="Z657" s="19" t="s">
        <v>180</v>
      </c>
      <c r="AA657" s="92">
        <v>80</v>
      </c>
      <c r="AB657" s="94" t="s">
        <v>835</v>
      </c>
      <c r="AC657" s="19"/>
      <c r="AD657" s="19" t="s">
        <v>833</v>
      </c>
      <c r="AE657" s="93">
        <v>2</v>
      </c>
    </row>
    <row r="658" spans="24:31" x14ac:dyDescent="0.25">
      <c r="X658" s="119">
        <v>18</v>
      </c>
      <c r="Y658" s="331">
        <v>41158</v>
      </c>
      <c r="Z658" s="19" t="s">
        <v>251</v>
      </c>
      <c r="AA658" s="92">
        <v>18</v>
      </c>
      <c r="AB658" s="19" t="s">
        <v>843</v>
      </c>
      <c r="AC658" s="92"/>
      <c r="AD658" s="554" t="s">
        <v>833</v>
      </c>
      <c r="AE658" s="5">
        <v>3</v>
      </c>
    </row>
    <row r="659" spans="24:31" x14ac:dyDescent="0.25">
      <c r="X659" s="119">
        <v>19</v>
      </c>
      <c r="Y659" s="331">
        <v>41158</v>
      </c>
      <c r="Z659" s="19" t="s">
        <v>186</v>
      </c>
      <c r="AA659" s="92">
        <v>29</v>
      </c>
      <c r="AB659" s="19" t="s">
        <v>844</v>
      </c>
      <c r="AC659" s="92"/>
      <c r="AD659" s="19" t="s">
        <v>833</v>
      </c>
      <c r="AE659" s="93">
        <v>2</v>
      </c>
    </row>
    <row r="660" spans="24:31" x14ac:dyDescent="0.25">
      <c r="X660" s="119">
        <v>19</v>
      </c>
      <c r="Y660" s="331">
        <v>41158</v>
      </c>
      <c r="Z660" s="19" t="s">
        <v>180</v>
      </c>
      <c r="AA660" s="92">
        <v>29</v>
      </c>
      <c r="AB660" s="94" t="s">
        <v>835</v>
      </c>
      <c r="AC660" s="19"/>
      <c r="AD660" s="19" t="s">
        <v>833</v>
      </c>
      <c r="AE660" s="93">
        <v>2</v>
      </c>
    </row>
    <row r="661" spans="24:31" x14ac:dyDescent="0.25">
      <c r="X661" s="119">
        <v>19</v>
      </c>
      <c r="Y661" s="331">
        <v>41158</v>
      </c>
      <c r="Z661" s="19" t="s">
        <v>251</v>
      </c>
      <c r="AA661" s="92">
        <v>36</v>
      </c>
      <c r="AB661" s="19" t="s">
        <v>843</v>
      </c>
      <c r="AD661" s="554" t="s">
        <v>833</v>
      </c>
      <c r="AE661" s="5">
        <v>3</v>
      </c>
    </row>
    <row r="662" spans="24:31" x14ac:dyDescent="0.25">
      <c r="X662" s="119">
        <v>35</v>
      </c>
      <c r="Y662" s="331">
        <v>41158</v>
      </c>
      <c r="Z662" s="19" t="s">
        <v>186</v>
      </c>
      <c r="AA662" s="92">
        <v>136</v>
      </c>
      <c r="AB662" s="19" t="s">
        <v>844</v>
      </c>
      <c r="AC662" s="92"/>
      <c r="AD662" s="19" t="s">
        <v>833</v>
      </c>
      <c r="AE662" s="93">
        <v>2</v>
      </c>
    </row>
    <row r="663" spans="24:31" x14ac:dyDescent="0.25">
      <c r="X663" s="119">
        <v>35</v>
      </c>
      <c r="Y663" s="331">
        <v>41158</v>
      </c>
      <c r="Z663" s="19" t="s">
        <v>180</v>
      </c>
      <c r="AA663" s="92">
        <v>14</v>
      </c>
      <c r="AB663" s="94" t="s">
        <v>835</v>
      </c>
      <c r="AC663" s="19"/>
      <c r="AD663" s="19" t="s">
        <v>833</v>
      </c>
      <c r="AE663" s="93">
        <v>2</v>
      </c>
    </row>
    <row r="664" spans="24:31" x14ac:dyDescent="0.25">
      <c r="X664" s="119">
        <v>35</v>
      </c>
      <c r="Y664" s="331">
        <v>41158</v>
      </c>
      <c r="Z664" s="19" t="s">
        <v>251</v>
      </c>
      <c r="AA664" s="92">
        <v>16</v>
      </c>
      <c r="AB664" s="19" t="s">
        <v>843</v>
      </c>
      <c r="AD664" s="554" t="s">
        <v>833</v>
      </c>
      <c r="AE664" s="5">
        <v>3</v>
      </c>
    </row>
    <row r="665" spans="24:31" x14ac:dyDescent="0.25">
      <c r="X665" s="119">
        <v>50</v>
      </c>
      <c r="Y665" s="331">
        <v>41158</v>
      </c>
      <c r="Z665" s="19" t="s">
        <v>186</v>
      </c>
      <c r="AA665" s="92">
        <v>14</v>
      </c>
      <c r="AB665" s="19" t="s">
        <v>844</v>
      </c>
      <c r="AC665" s="92"/>
      <c r="AD665" s="19" t="s">
        <v>833</v>
      </c>
      <c r="AE665" s="93">
        <v>2</v>
      </c>
    </row>
    <row r="666" spans="24:31" x14ac:dyDescent="0.25">
      <c r="X666" s="119">
        <v>50</v>
      </c>
      <c r="Y666" s="331">
        <v>41158</v>
      </c>
      <c r="Z666" s="19" t="s">
        <v>180</v>
      </c>
      <c r="AA666" s="92">
        <v>17</v>
      </c>
      <c r="AB666" s="94" t="s">
        <v>835</v>
      </c>
      <c r="AC666" s="19"/>
      <c r="AD666" s="19" t="s">
        <v>833</v>
      </c>
      <c r="AE666" s="93">
        <v>2</v>
      </c>
    </row>
    <row r="667" spans="24:31" x14ac:dyDescent="0.25">
      <c r="X667" s="119">
        <v>50</v>
      </c>
      <c r="Y667" s="331">
        <v>41158</v>
      </c>
      <c r="Z667" s="19" t="s">
        <v>251</v>
      </c>
      <c r="AA667" s="92">
        <v>14</v>
      </c>
      <c r="AB667" s="19" t="s">
        <v>843</v>
      </c>
      <c r="AD667" s="554" t="s">
        <v>833</v>
      </c>
      <c r="AE667" s="5">
        <v>3</v>
      </c>
    </row>
    <row r="668" spans="24:31" x14ac:dyDescent="0.25">
      <c r="X668" t="s">
        <v>849</v>
      </c>
      <c r="Y668" s="331">
        <v>41158</v>
      </c>
      <c r="Z668" s="19" t="s">
        <v>186</v>
      </c>
      <c r="AA668" s="92">
        <v>107</v>
      </c>
      <c r="AB668" s="19" t="s">
        <v>844</v>
      </c>
      <c r="AD668" s="19" t="s">
        <v>833</v>
      </c>
      <c r="AE668" s="93">
        <v>2</v>
      </c>
    </row>
    <row r="669" spans="24:31" x14ac:dyDescent="0.25">
      <c r="X669" t="s">
        <v>850</v>
      </c>
      <c r="Y669" s="331">
        <v>41158</v>
      </c>
      <c r="Z669" s="19" t="s">
        <v>186</v>
      </c>
      <c r="AA669" s="92">
        <v>100</v>
      </c>
      <c r="AB669" s="19" t="s">
        <v>844</v>
      </c>
      <c r="AD669" s="19" t="s">
        <v>833</v>
      </c>
      <c r="AE669" s="93">
        <v>2</v>
      </c>
    </row>
    <row r="670" spans="24:31" x14ac:dyDescent="0.25">
      <c r="X670" t="s">
        <v>849</v>
      </c>
      <c r="Y670" s="331">
        <v>41158</v>
      </c>
      <c r="Z670" s="19" t="s">
        <v>251</v>
      </c>
      <c r="AA670" s="92">
        <v>42</v>
      </c>
      <c r="AB670" s="19" t="s">
        <v>843</v>
      </c>
      <c r="AD670" s="554" t="s">
        <v>833</v>
      </c>
      <c r="AE670" s="5">
        <v>3</v>
      </c>
    </row>
    <row r="671" spans="24:31" x14ac:dyDescent="0.25">
      <c r="X671" t="s">
        <v>850</v>
      </c>
      <c r="Y671" s="331">
        <v>41158</v>
      </c>
      <c r="Z671" s="19" t="s">
        <v>251</v>
      </c>
      <c r="AA671" s="92">
        <v>36</v>
      </c>
      <c r="AB671" s="19" t="s">
        <v>843</v>
      </c>
      <c r="AD671" s="554" t="s">
        <v>833</v>
      </c>
      <c r="AE671" s="5">
        <v>3</v>
      </c>
    </row>
    <row r="672" spans="24:31" x14ac:dyDescent="0.25">
      <c r="X672" t="s">
        <v>849</v>
      </c>
      <c r="Y672" s="331">
        <v>41158</v>
      </c>
      <c r="Z672" s="19" t="s">
        <v>180</v>
      </c>
      <c r="AA672" s="92">
        <v>11</v>
      </c>
      <c r="AB672" s="94" t="s">
        <v>835</v>
      </c>
      <c r="AC672" s="19"/>
      <c r="AD672" s="19" t="s">
        <v>833</v>
      </c>
      <c r="AE672" s="93">
        <v>2</v>
      </c>
    </row>
    <row r="673" spans="24:31" x14ac:dyDescent="0.25">
      <c r="X673" t="s">
        <v>850</v>
      </c>
      <c r="Y673" s="331">
        <v>41158</v>
      </c>
      <c r="Z673" s="19" t="s">
        <v>180</v>
      </c>
      <c r="AA673" s="92">
        <v>9</v>
      </c>
      <c r="AB673" s="94" t="s">
        <v>835</v>
      </c>
      <c r="AC673" s="19"/>
      <c r="AD673" s="19" t="s">
        <v>833</v>
      </c>
      <c r="AE673" s="93">
        <v>2</v>
      </c>
    </row>
    <row r="674" spans="24:31" x14ac:dyDescent="0.25">
      <c r="X674" s="119" t="s">
        <v>831</v>
      </c>
      <c r="Y674" s="331">
        <v>41177</v>
      </c>
      <c r="Z674" s="108" t="s">
        <v>210</v>
      </c>
      <c r="AA674" s="92">
        <v>489</v>
      </c>
      <c r="AB674" s="94" t="s">
        <v>832</v>
      </c>
    </row>
    <row r="675" spans="24:31" x14ac:dyDescent="0.25">
      <c r="X675" s="119" t="s">
        <v>831</v>
      </c>
      <c r="Y675" s="331">
        <v>41177</v>
      </c>
      <c r="Z675" s="19" t="s">
        <v>186</v>
      </c>
      <c r="AA675" s="92">
        <v>117</v>
      </c>
      <c r="AB675" s="19" t="s">
        <v>834</v>
      </c>
    </row>
    <row r="676" spans="24:31" x14ac:dyDescent="0.25">
      <c r="X676" s="119" t="s">
        <v>831</v>
      </c>
      <c r="Y676" s="331">
        <v>41177</v>
      </c>
      <c r="Z676" s="19" t="s">
        <v>180</v>
      </c>
      <c r="AA676" s="92">
        <v>95</v>
      </c>
      <c r="AB676" s="94" t="s">
        <v>835</v>
      </c>
    </row>
    <row r="677" spans="24:31" x14ac:dyDescent="0.25">
      <c r="X677" s="119" t="s">
        <v>831</v>
      </c>
      <c r="Y677" s="331">
        <v>41177</v>
      </c>
      <c r="Z677" s="96" t="s">
        <v>181</v>
      </c>
      <c r="AA677" s="95">
        <v>56</v>
      </c>
      <c r="AB677" s="94" t="s">
        <v>835</v>
      </c>
    </row>
    <row r="678" spans="24:31" x14ac:dyDescent="0.25">
      <c r="X678" s="119" t="s">
        <v>831</v>
      </c>
      <c r="Y678" s="331">
        <v>41177</v>
      </c>
      <c r="Z678" s="19" t="s">
        <v>185</v>
      </c>
      <c r="AA678" s="103">
        <v>11</v>
      </c>
      <c r="AB678" s="19" t="s">
        <v>836</v>
      </c>
    </row>
    <row r="679" spans="24:31" x14ac:dyDescent="0.25">
      <c r="X679" s="119" t="s">
        <v>839</v>
      </c>
      <c r="Y679" s="331">
        <v>41177</v>
      </c>
      <c r="Z679" s="96" t="s">
        <v>181</v>
      </c>
      <c r="AA679" s="95">
        <v>148</v>
      </c>
      <c r="AB679" s="94" t="s">
        <v>835</v>
      </c>
    </row>
    <row r="680" spans="24:31" x14ac:dyDescent="0.25">
      <c r="X680" s="119" t="s">
        <v>839</v>
      </c>
      <c r="Y680" s="331">
        <v>41177</v>
      </c>
      <c r="Z680" s="108" t="s">
        <v>210</v>
      </c>
      <c r="AA680" s="92">
        <v>3302</v>
      </c>
      <c r="AB680" s="94" t="s">
        <v>832</v>
      </c>
    </row>
    <row r="681" spans="24:31" x14ac:dyDescent="0.25">
      <c r="X681" s="119" t="s">
        <v>839</v>
      </c>
      <c r="Y681" s="331">
        <v>41177</v>
      </c>
      <c r="Z681" s="19" t="s">
        <v>186</v>
      </c>
      <c r="AA681" s="92">
        <v>2448</v>
      </c>
      <c r="AB681" s="19" t="s">
        <v>834</v>
      </c>
    </row>
    <row r="682" spans="24:31" x14ac:dyDescent="0.25">
      <c r="X682" s="119" t="s">
        <v>839</v>
      </c>
      <c r="Y682" s="331">
        <v>41177</v>
      </c>
      <c r="Z682" s="19" t="s">
        <v>180</v>
      </c>
      <c r="AA682" s="92">
        <v>153</v>
      </c>
      <c r="AB682" s="94" t="s">
        <v>835</v>
      </c>
    </row>
    <row r="683" spans="24:31" x14ac:dyDescent="0.25">
      <c r="X683" s="119" t="s">
        <v>839</v>
      </c>
      <c r="Y683" s="331">
        <v>41177</v>
      </c>
      <c r="Z683" s="19" t="s">
        <v>185</v>
      </c>
      <c r="AA683" s="103">
        <v>5</v>
      </c>
      <c r="AB683" s="19" t="s">
        <v>836</v>
      </c>
    </row>
    <row r="684" spans="24:31" x14ac:dyDescent="0.25">
      <c r="X684" s="119">
        <v>45</v>
      </c>
      <c r="Y684" s="331">
        <v>41177</v>
      </c>
      <c r="Z684" s="96" t="s">
        <v>181</v>
      </c>
      <c r="AA684" s="95">
        <v>117</v>
      </c>
      <c r="AB684" s="94" t="s">
        <v>835</v>
      </c>
    </row>
    <row r="685" spans="24:31" x14ac:dyDescent="0.25">
      <c r="X685" s="119">
        <v>45</v>
      </c>
      <c r="Y685" s="331">
        <v>41177</v>
      </c>
      <c r="Z685" s="19" t="s">
        <v>186</v>
      </c>
      <c r="AA685" s="92">
        <v>59</v>
      </c>
      <c r="AB685" s="19" t="s">
        <v>834</v>
      </c>
    </row>
    <row r="686" spans="24:31" x14ac:dyDescent="0.25">
      <c r="X686" s="119">
        <v>45</v>
      </c>
      <c r="Y686" s="331">
        <v>41177</v>
      </c>
      <c r="Z686" s="19" t="s">
        <v>180</v>
      </c>
      <c r="AA686" s="92">
        <v>138</v>
      </c>
      <c r="AB686" s="94" t="s">
        <v>835</v>
      </c>
    </row>
    <row r="687" spans="24:31" x14ac:dyDescent="0.25">
      <c r="X687" s="119">
        <v>45</v>
      </c>
      <c r="Y687" s="331">
        <v>41177</v>
      </c>
      <c r="Z687" s="19" t="s">
        <v>185</v>
      </c>
      <c r="AA687" s="103">
        <v>9.8000000000000007</v>
      </c>
      <c r="AB687" s="19" t="s">
        <v>836</v>
      </c>
    </row>
    <row r="688" spans="24:31" x14ac:dyDescent="0.25">
      <c r="X688" s="119">
        <v>45</v>
      </c>
      <c r="Y688" s="331">
        <v>41177</v>
      </c>
      <c r="Z688" s="108" t="s">
        <v>210</v>
      </c>
      <c r="AA688" s="92">
        <v>520</v>
      </c>
      <c r="AB688" s="94" t="s">
        <v>832</v>
      </c>
    </row>
    <row r="689" spans="24:28" x14ac:dyDescent="0.25">
      <c r="X689" s="244" t="s">
        <v>840</v>
      </c>
      <c r="Y689" s="331">
        <v>41177</v>
      </c>
      <c r="Z689" s="96" t="s">
        <v>181</v>
      </c>
      <c r="AA689" s="95">
        <v>53</v>
      </c>
      <c r="AB689" s="94" t="s">
        <v>835</v>
      </c>
    </row>
    <row r="690" spans="24:28" x14ac:dyDescent="0.25">
      <c r="X690" s="244" t="s">
        <v>840</v>
      </c>
      <c r="Y690" s="331">
        <v>41177</v>
      </c>
      <c r="Z690" s="19" t="s">
        <v>186</v>
      </c>
      <c r="AA690" s="92">
        <v>47</v>
      </c>
      <c r="AB690" s="19" t="s">
        <v>834</v>
      </c>
    </row>
    <row r="691" spans="24:28" x14ac:dyDescent="0.25">
      <c r="X691" s="244" t="s">
        <v>840</v>
      </c>
      <c r="Y691" s="331">
        <v>41177</v>
      </c>
      <c r="Z691" s="19" t="s">
        <v>180</v>
      </c>
      <c r="AA691" s="92">
        <v>117</v>
      </c>
      <c r="AB691" s="94" t="s">
        <v>835</v>
      </c>
    </row>
    <row r="692" spans="24:28" x14ac:dyDescent="0.25">
      <c r="X692" s="244" t="s">
        <v>840</v>
      </c>
      <c r="Y692" s="331">
        <v>41177</v>
      </c>
      <c r="Z692" s="19" t="s">
        <v>185</v>
      </c>
      <c r="AA692" s="103">
        <v>11.4</v>
      </c>
      <c r="AB692" s="19" t="s">
        <v>836</v>
      </c>
    </row>
    <row r="693" spans="24:28" x14ac:dyDescent="0.25">
      <c r="X693" s="244" t="s">
        <v>840</v>
      </c>
      <c r="Y693" s="331">
        <v>41177</v>
      </c>
      <c r="Z693" s="108" t="s">
        <v>210</v>
      </c>
      <c r="AA693" s="92">
        <v>380</v>
      </c>
      <c r="AB693" s="94" t="s">
        <v>832</v>
      </c>
    </row>
    <row r="694" spans="24:28" x14ac:dyDescent="0.25">
      <c r="X694" s="119" t="s">
        <v>840</v>
      </c>
      <c r="Y694" s="331">
        <v>41177</v>
      </c>
      <c r="Z694" s="108" t="s">
        <v>182</v>
      </c>
      <c r="AA694" s="504">
        <v>54.5</v>
      </c>
      <c r="AB694" s="97" t="s">
        <v>841</v>
      </c>
    </row>
    <row r="695" spans="24:28" x14ac:dyDescent="0.25">
      <c r="X695" s="119" t="s">
        <v>840</v>
      </c>
      <c r="Y695" s="331">
        <v>41177</v>
      </c>
      <c r="Z695" s="108" t="s">
        <v>182</v>
      </c>
      <c r="AA695" s="504">
        <v>50.4</v>
      </c>
      <c r="AB695" s="97" t="s">
        <v>841</v>
      </c>
    </row>
    <row r="696" spans="24:28" x14ac:dyDescent="0.25">
      <c r="X696" s="119" t="s">
        <v>842</v>
      </c>
      <c r="Y696" s="331">
        <v>41177</v>
      </c>
      <c r="Z696" s="96" t="s">
        <v>181</v>
      </c>
      <c r="AA696" s="95">
        <v>58</v>
      </c>
      <c r="AB696" s="94" t="s">
        <v>835</v>
      </c>
    </row>
    <row r="697" spans="24:28" x14ac:dyDescent="0.25">
      <c r="X697" s="119" t="s">
        <v>842</v>
      </c>
      <c r="Y697" s="331">
        <v>41177</v>
      </c>
      <c r="Z697" s="19" t="s">
        <v>186</v>
      </c>
      <c r="AA697" s="92">
        <v>38</v>
      </c>
      <c r="AB697" s="19" t="s">
        <v>834</v>
      </c>
    </row>
    <row r="698" spans="24:28" x14ac:dyDescent="0.25">
      <c r="X698" s="119" t="s">
        <v>842</v>
      </c>
      <c r="Y698" s="331">
        <v>41177</v>
      </c>
      <c r="Z698" s="19" t="s">
        <v>180</v>
      </c>
      <c r="AA698" s="92">
        <v>143</v>
      </c>
      <c r="AB698" s="94" t="s">
        <v>835</v>
      </c>
    </row>
    <row r="699" spans="24:28" x14ac:dyDescent="0.25">
      <c r="X699" s="119" t="s">
        <v>842</v>
      </c>
      <c r="Y699" s="331">
        <v>41177</v>
      </c>
      <c r="Z699" s="19" t="s">
        <v>185</v>
      </c>
      <c r="AA699" s="103">
        <v>13.4</v>
      </c>
      <c r="AB699" s="19" t="s">
        <v>836</v>
      </c>
    </row>
    <row r="700" spans="24:28" x14ac:dyDescent="0.25">
      <c r="X700" s="119" t="s">
        <v>842</v>
      </c>
      <c r="Y700" s="331">
        <v>41177</v>
      </c>
      <c r="Z700" s="108" t="s">
        <v>210</v>
      </c>
      <c r="AA700" s="92">
        <v>347</v>
      </c>
      <c r="AB700" s="94" t="s">
        <v>832</v>
      </c>
    </row>
    <row r="701" spans="24:28" x14ac:dyDescent="0.25">
      <c r="X701" s="119">
        <v>52</v>
      </c>
      <c r="Y701" s="331">
        <v>41177</v>
      </c>
      <c r="Z701" s="19" t="s">
        <v>186</v>
      </c>
      <c r="AA701" s="93">
        <v>313</v>
      </c>
      <c r="AB701" s="19" t="s">
        <v>834</v>
      </c>
    </row>
    <row r="702" spans="24:28" x14ac:dyDescent="0.25">
      <c r="X702" s="119">
        <v>52</v>
      </c>
      <c r="Y702" s="331">
        <v>41177</v>
      </c>
      <c r="Z702" s="19" t="s">
        <v>180</v>
      </c>
      <c r="AA702" s="92">
        <v>15</v>
      </c>
      <c r="AB702" s="94" t="s">
        <v>835</v>
      </c>
    </row>
    <row r="703" spans="24:28" x14ac:dyDescent="0.25">
      <c r="X703" s="119">
        <v>52</v>
      </c>
      <c r="Y703" s="331">
        <v>41177</v>
      </c>
      <c r="Z703" s="108" t="s">
        <v>210</v>
      </c>
      <c r="AA703" s="92">
        <v>325</v>
      </c>
      <c r="AB703" s="94" t="s">
        <v>832</v>
      </c>
    </row>
    <row r="704" spans="24:28" x14ac:dyDescent="0.25">
      <c r="X704" s="119">
        <v>52</v>
      </c>
      <c r="Y704" s="331">
        <v>41177</v>
      </c>
      <c r="Z704" s="19" t="s">
        <v>251</v>
      </c>
      <c r="AA704" s="92">
        <v>8</v>
      </c>
      <c r="AB704" s="19" t="s">
        <v>843</v>
      </c>
    </row>
    <row r="705" spans="24:28" x14ac:dyDescent="0.25">
      <c r="X705" s="119">
        <v>53</v>
      </c>
      <c r="Y705" s="331">
        <v>41177</v>
      </c>
      <c r="Z705" s="19" t="s">
        <v>186</v>
      </c>
      <c r="AA705" s="92">
        <v>73</v>
      </c>
      <c r="AB705" s="19" t="s">
        <v>834</v>
      </c>
    </row>
    <row r="706" spans="24:28" x14ac:dyDescent="0.25">
      <c r="X706" s="119">
        <v>53</v>
      </c>
      <c r="Y706" s="331">
        <v>41177</v>
      </c>
      <c r="Z706" s="19" t="s">
        <v>180</v>
      </c>
      <c r="AA706" s="92">
        <v>25</v>
      </c>
      <c r="AB706" s="94" t="s">
        <v>835</v>
      </c>
    </row>
    <row r="707" spans="24:28" x14ac:dyDescent="0.25">
      <c r="X707" s="119">
        <v>53</v>
      </c>
      <c r="Y707" s="331">
        <v>41177</v>
      </c>
      <c r="Z707" s="108" t="s">
        <v>210</v>
      </c>
      <c r="AA707" s="92">
        <v>147</v>
      </c>
      <c r="AB707" s="94" t="s">
        <v>832</v>
      </c>
    </row>
    <row r="708" spans="24:28" x14ac:dyDescent="0.25">
      <c r="X708" s="119">
        <v>53</v>
      </c>
      <c r="Y708" s="331">
        <v>41177</v>
      </c>
      <c r="Z708" s="19" t="s">
        <v>251</v>
      </c>
      <c r="AA708" s="92">
        <v>9</v>
      </c>
      <c r="AB708" s="19" t="s">
        <v>843</v>
      </c>
    </row>
    <row r="709" spans="24:28" x14ac:dyDescent="0.25">
      <c r="X709" s="119">
        <v>54</v>
      </c>
      <c r="Y709" s="331">
        <v>41177</v>
      </c>
      <c r="Z709" s="19" t="s">
        <v>186</v>
      </c>
      <c r="AA709" s="92">
        <v>7</v>
      </c>
      <c r="AB709" s="19" t="s">
        <v>834</v>
      </c>
    </row>
    <row r="710" spans="24:28" x14ac:dyDescent="0.25">
      <c r="X710" s="119">
        <v>54</v>
      </c>
      <c r="Y710" s="331">
        <v>41177</v>
      </c>
      <c r="Z710" s="19" t="s">
        <v>180</v>
      </c>
      <c r="AA710" s="92">
        <v>39</v>
      </c>
      <c r="AB710" s="94" t="s">
        <v>835</v>
      </c>
    </row>
    <row r="711" spans="24:28" x14ac:dyDescent="0.25">
      <c r="X711" s="119">
        <v>54</v>
      </c>
      <c r="Y711" s="331">
        <v>41177</v>
      </c>
      <c r="Z711" s="108" t="s">
        <v>210</v>
      </c>
      <c r="AA711" s="92">
        <v>3</v>
      </c>
      <c r="AB711" s="94" t="s">
        <v>832</v>
      </c>
    </row>
    <row r="712" spans="24:28" x14ac:dyDescent="0.25">
      <c r="X712" s="119">
        <v>54</v>
      </c>
      <c r="Y712" s="331">
        <v>41177</v>
      </c>
      <c r="Z712" s="19" t="s">
        <v>251</v>
      </c>
      <c r="AA712" s="92">
        <v>8</v>
      </c>
      <c r="AB712" s="19" t="s">
        <v>843</v>
      </c>
    </row>
    <row r="713" spans="24:28" x14ac:dyDescent="0.25">
      <c r="X713" s="119">
        <v>55</v>
      </c>
      <c r="Y713" s="331">
        <v>41177</v>
      </c>
      <c r="Z713" s="19" t="s">
        <v>186</v>
      </c>
      <c r="AA713" s="92">
        <v>10</v>
      </c>
      <c r="AB713" s="19" t="s">
        <v>834</v>
      </c>
    </row>
    <row r="714" spans="24:28" x14ac:dyDescent="0.25">
      <c r="X714" s="119">
        <v>55</v>
      </c>
      <c r="Y714" s="331">
        <v>41177</v>
      </c>
      <c r="Z714" s="19" t="s">
        <v>180</v>
      </c>
      <c r="AA714" s="92">
        <v>20</v>
      </c>
      <c r="AB714" s="94" t="s">
        <v>835</v>
      </c>
    </row>
    <row r="715" spans="24:28" x14ac:dyDescent="0.25">
      <c r="X715" s="119">
        <v>55</v>
      </c>
      <c r="Y715" s="331">
        <v>41177</v>
      </c>
      <c r="Z715" s="108" t="s">
        <v>210</v>
      </c>
      <c r="AA715" s="92">
        <v>81</v>
      </c>
      <c r="AB715" s="94" t="s">
        <v>832</v>
      </c>
    </row>
    <row r="716" spans="24:28" x14ac:dyDescent="0.25">
      <c r="X716" s="119">
        <v>55</v>
      </c>
      <c r="Y716" s="331">
        <v>41177</v>
      </c>
      <c r="Z716" s="19" t="s">
        <v>251</v>
      </c>
      <c r="AA716" s="92">
        <v>9</v>
      </c>
      <c r="AB716" s="19" t="s">
        <v>843</v>
      </c>
    </row>
  </sheetData>
  <mergeCells count="6">
    <mergeCell ref="A24:A29"/>
    <mergeCell ref="A1:R1"/>
    <mergeCell ref="A3:A7"/>
    <mergeCell ref="A8:A12"/>
    <mergeCell ref="A13:A18"/>
    <mergeCell ref="A19:A23"/>
  </mergeCells>
  <pageMargins left="0.7" right="0.7" top="0.75" bottom="0.75" header="0.3" footer="0.3"/>
  <pageSetup scale="88"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T114"/>
  <sheetViews>
    <sheetView workbookViewId="0">
      <selection sqref="A1:N31"/>
    </sheetView>
  </sheetViews>
  <sheetFormatPr defaultRowHeight="12.5" x14ac:dyDescent="0.25"/>
  <cols>
    <col min="1" max="1" width="6.54296875" bestFit="1" customWidth="1"/>
    <col min="2" max="2" width="40" style="230" bestFit="1" customWidth="1"/>
    <col min="3" max="3" width="7.54296875" customWidth="1"/>
    <col min="4" max="4" width="5.6328125" customWidth="1"/>
    <col min="5" max="5" width="8.453125" customWidth="1"/>
    <col min="6" max="6" width="6.453125" customWidth="1"/>
    <col min="7" max="7" width="8.36328125" customWidth="1"/>
    <col min="8" max="8" width="5.54296875" customWidth="1"/>
    <col min="9" max="9" width="8.54296875" customWidth="1"/>
    <col min="10" max="10" width="5.90625" bestFit="1" customWidth="1"/>
    <col min="11" max="11" width="8.36328125" customWidth="1"/>
    <col min="12" max="12" width="5.36328125" customWidth="1"/>
    <col min="13" max="13" width="8.6328125" customWidth="1"/>
    <col min="14" max="14" width="5.90625" bestFit="1" customWidth="1"/>
    <col min="15" max="15" width="7.90625" customWidth="1"/>
    <col min="18" max="18" width="25.54296875" bestFit="1" customWidth="1"/>
    <col min="19" max="19" width="26.6328125" bestFit="1" customWidth="1"/>
  </cols>
  <sheetData>
    <row r="1" spans="1:20" ht="12" customHeight="1" x14ac:dyDescent="0.25">
      <c r="A1" s="844" t="s">
        <v>266</v>
      </c>
      <c r="B1" s="842" t="s">
        <v>267</v>
      </c>
      <c r="C1" s="846">
        <v>41102</v>
      </c>
      <c r="D1" s="847"/>
      <c r="E1" s="847"/>
      <c r="F1" s="848"/>
      <c r="G1" s="846">
        <v>41130</v>
      </c>
      <c r="H1" s="847"/>
      <c r="I1" s="847"/>
      <c r="J1" s="848"/>
      <c r="K1" s="846">
        <v>41158</v>
      </c>
      <c r="L1" s="847"/>
      <c r="M1" s="847"/>
      <c r="N1" s="848"/>
      <c r="O1" s="335"/>
    </row>
    <row r="2" spans="1:20" ht="24.75" customHeight="1" x14ac:dyDescent="0.25">
      <c r="A2" s="845"/>
      <c r="B2" s="843"/>
      <c r="C2" s="222" t="s">
        <v>292</v>
      </c>
      <c r="D2" s="222" t="s">
        <v>384</v>
      </c>
      <c r="E2" s="222" t="s">
        <v>293</v>
      </c>
      <c r="F2" s="222" t="s">
        <v>294</v>
      </c>
      <c r="G2" s="222" t="s">
        <v>292</v>
      </c>
      <c r="H2" s="222" t="s">
        <v>384</v>
      </c>
      <c r="I2" s="222" t="s">
        <v>293</v>
      </c>
      <c r="J2" s="222" t="s">
        <v>294</v>
      </c>
      <c r="K2" s="222" t="s">
        <v>292</v>
      </c>
      <c r="L2" s="222" t="s">
        <v>384</v>
      </c>
      <c r="M2" s="222" t="s">
        <v>293</v>
      </c>
      <c r="N2" s="222" t="s">
        <v>294</v>
      </c>
      <c r="O2" s="336"/>
      <c r="P2" s="119"/>
      <c r="Q2" s="119"/>
      <c r="R2" s="331"/>
      <c r="S2" s="19"/>
      <c r="T2" s="92"/>
    </row>
    <row r="3" spans="1:20" ht="15" customHeight="1" x14ac:dyDescent="0.25">
      <c r="A3" s="852" t="s">
        <v>268</v>
      </c>
      <c r="B3" s="853"/>
      <c r="C3" s="853"/>
      <c r="D3" s="853"/>
      <c r="E3" s="853"/>
      <c r="F3" s="853"/>
      <c r="G3" s="853"/>
      <c r="H3" s="853"/>
      <c r="I3" s="853"/>
      <c r="J3" s="853"/>
      <c r="K3" s="853"/>
      <c r="L3" s="853"/>
      <c r="M3" s="853"/>
      <c r="N3" s="854"/>
      <c r="O3" s="337"/>
      <c r="P3" s="119"/>
      <c r="Q3" s="119"/>
      <c r="R3" s="331"/>
      <c r="S3" s="19"/>
      <c r="T3" s="92"/>
    </row>
    <row r="4" spans="1:20" x14ac:dyDescent="0.25">
      <c r="A4" s="345" t="s">
        <v>741</v>
      </c>
      <c r="B4" s="597" t="s">
        <v>863</v>
      </c>
      <c r="C4" s="322">
        <v>17</v>
      </c>
      <c r="D4" s="322">
        <v>132</v>
      </c>
      <c r="E4" s="322">
        <v>29</v>
      </c>
      <c r="F4" s="322">
        <v>22</v>
      </c>
      <c r="G4" s="322">
        <v>51</v>
      </c>
      <c r="H4" s="322">
        <v>171</v>
      </c>
      <c r="I4" s="322">
        <v>18</v>
      </c>
      <c r="J4" s="322">
        <v>16</v>
      </c>
      <c r="K4" s="322">
        <v>36</v>
      </c>
      <c r="L4" s="322">
        <v>118</v>
      </c>
      <c r="M4" s="322">
        <v>15</v>
      </c>
      <c r="N4" s="322">
        <v>10</v>
      </c>
      <c r="O4" s="338"/>
      <c r="P4" s="119"/>
      <c r="Q4" s="119"/>
      <c r="R4" s="331"/>
      <c r="S4" s="19"/>
      <c r="T4" s="92"/>
    </row>
    <row r="5" spans="1:20" x14ac:dyDescent="0.25">
      <c r="A5" s="345" t="s">
        <v>269</v>
      </c>
      <c r="B5" s="346" t="s">
        <v>270</v>
      </c>
      <c r="C5" s="322">
        <v>22</v>
      </c>
      <c r="D5" s="322">
        <v>208</v>
      </c>
      <c r="E5" s="322">
        <v>28</v>
      </c>
      <c r="F5" s="322">
        <v>32</v>
      </c>
      <c r="G5" s="322">
        <v>28</v>
      </c>
      <c r="H5" s="322">
        <v>199</v>
      </c>
      <c r="I5" s="322">
        <v>18</v>
      </c>
      <c r="J5" s="322">
        <v>16</v>
      </c>
      <c r="K5" s="322">
        <v>12</v>
      </c>
      <c r="L5" s="322">
        <v>48</v>
      </c>
      <c r="M5" s="322">
        <v>15</v>
      </c>
      <c r="N5" s="322">
        <v>31</v>
      </c>
      <c r="O5" s="338"/>
      <c r="P5" s="119"/>
      <c r="Q5" s="119"/>
      <c r="R5" s="331"/>
      <c r="S5" s="108"/>
      <c r="T5" s="92"/>
    </row>
    <row r="6" spans="1:20" ht="15" customHeight="1" x14ac:dyDescent="0.25">
      <c r="A6" s="849" t="s">
        <v>271</v>
      </c>
      <c r="B6" s="850"/>
      <c r="C6" s="850"/>
      <c r="D6" s="850"/>
      <c r="E6" s="850"/>
      <c r="F6" s="850"/>
      <c r="G6" s="850"/>
      <c r="H6" s="850"/>
      <c r="I6" s="850"/>
      <c r="J6" s="850"/>
      <c r="K6" s="850"/>
      <c r="L6" s="850"/>
      <c r="M6" s="850"/>
      <c r="N6" s="851"/>
      <c r="O6" s="337"/>
      <c r="P6" s="119"/>
      <c r="Q6" s="119"/>
      <c r="R6" s="331"/>
      <c r="S6" s="19"/>
      <c r="T6" s="92"/>
    </row>
    <row r="7" spans="1:20" x14ac:dyDescent="0.25">
      <c r="A7" s="345" t="s">
        <v>254</v>
      </c>
      <c r="B7" s="346" t="s">
        <v>388</v>
      </c>
      <c r="C7" s="322">
        <v>5</v>
      </c>
      <c r="D7" s="322">
        <v>395</v>
      </c>
      <c r="E7" s="322">
        <v>38</v>
      </c>
      <c r="F7" s="322">
        <v>30</v>
      </c>
      <c r="G7" s="322">
        <v>13</v>
      </c>
      <c r="H7" s="322">
        <v>390</v>
      </c>
      <c r="I7" s="322">
        <v>15</v>
      </c>
      <c r="J7" s="322">
        <v>48</v>
      </c>
      <c r="K7" s="322">
        <v>7</v>
      </c>
      <c r="L7" s="322">
        <v>135</v>
      </c>
      <c r="M7" s="322">
        <v>56</v>
      </c>
      <c r="N7" s="322">
        <v>33</v>
      </c>
      <c r="O7" s="338"/>
      <c r="P7" s="119"/>
      <c r="Q7" s="119"/>
      <c r="R7" s="331"/>
      <c r="S7" s="19"/>
      <c r="T7" s="92"/>
    </row>
    <row r="8" spans="1:20" x14ac:dyDescent="0.25">
      <c r="A8" s="345" t="s">
        <v>255</v>
      </c>
      <c r="B8" s="346" t="s">
        <v>387</v>
      </c>
      <c r="C8" s="322">
        <v>3</v>
      </c>
      <c r="D8" s="322">
        <v>474</v>
      </c>
      <c r="E8" s="322">
        <v>21</v>
      </c>
      <c r="F8" s="322">
        <v>44</v>
      </c>
      <c r="G8" s="322">
        <v>16</v>
      </c>
      <c r="H8" s="322">
        <v>335</v>
      </c>
      <c r="I8" s="322">
        <v>36</v>
      </c>
      <c r="J8" s="322">
        <v>37</v>
      </c>
      <c r="K8" s="322">
        <v>4</v>
      </c>
      <c r="L8" s="322">
        <v>104</v>
      </c>
      <c r="M8" s="322">
        <v>51</v>
      </c>
      <c r="N8" s="322">
        <v>29</v>
      </c>
      <c r="O8" s="338"/>
      <c r="P8" s="119"/>
      <c r="Q8" s="119"/>
      <c r="R8" s="331"/>
      <c r="S8" s="108"/>
      <c r="T8" s="92"/>
    </row>
    <row r="9" spans="1:20" x14ac:dyDescent="0.25">
      <c r="A9" s="849" t="s">
        <v>272</v>
      </c>
      <c r="B9" s="850"/>
      <c r="C9" s="850"/>
      <c r="D9" s="850"/>
      <c r="E9" s="850"/>
      <c r="F9" s="850"/>
      <c r="G9" s="850"/>
      <c r="H9" s="850"/>
      <c r="I9" s="850"/>
      <c r="J9" s="850"/>
      <c r="K9" s="850"/>
      <c r="L9" s="850"/>
      <c r="M9" s="850"/>
      <c r="N9" s="851"/>
      <c r="O9" s="337"/>
      <c r="Q9" s="119"/>
      <c r="R9" s="331"/>
      <c r="S9" s="19"/>
      <c r="T9" s="92"/>
    </row>
    <row r="10" spans="1:20" x14ac:dyDescent="0.25">
      <c r="A10" s="345" t="s">
        <v>187</v>
      </c>
      <c r="B10" s="346" t="s">
        <v>385</v>
      </c>
      <c r="C10" s="322">
        <v>3</v>
      </c>
      <c r="D10" s="322">
        <v>410</v>
      </c>
      <c r="E10" s="322">
        <v>25</v>
      </c>
      <c r="F10" s="322">
        <v>48</v>
      </c>
      <c r="G10" s="322">
        <v>15</v>
      </c>
      <c r="H10" s="322"/>
      <c r="I10" s="322">
        <v>18</v>
      </c>
      <c r="J10" s="322">
        <v>40</v>
      </c>
      <c r="K10" s="322">
        <v>18</v>
      </c>
      <c r="L10" s="322"/>
      <c r="M10" s="322">
        <v>35</v>
      </c>
      <c r="N10" s="322">
        <v>30</v>
      </c>
      <c r="O10" s="338"/>
      <c r="Q10" s="119"/>
      <c r="R10" s="331"/>
      <c r="S10" s="19"/>
      <c r="T10" s="92"/>
    </row>
    <row r="11" spans="1:20" x14ac:dyDescent="0.25">
      <c r="A11" s="345" t="s">
        <v>256</v>
      </c>
      <c r="B11" s="346" t="s">
        <v>274</v>
      </c>
      <c r="C11" s="322">
        <v>186</v>
      </c>
      <c r="D11" s="322">
        <v>598</v>
      </c>
      <c r="E11" s="322">
        <v>16</v>
      </c>
      <c r="F11" s="322">
        <v>53</v>
      </c>
      <c r="G11" s="322">
        <v>147</v>
      </c>
      <c r="H11" s="322"/>
      <c r="I11" s="322">
        <v>27</v>
      </c>
      <c r="J11" s="322">
        <v>36</v>
      </c>
      <c r="K11" s="322">
        <v>108</v>
      </c>
      <c r="L11" s="322"/>
      <c r="M11" s="322">
        <v>125</v>
      </c>
      <c r="N11" s="322">
        <v>81</v>
      </c>
      <c r="O11" s="338"/>
      <c r="Q11" s="119"/>
      <c r="R11" s="331"/>
      <c r="S11" s="19"/>
      <c r="T11" s="92"/>
    </row>
    <row r="12" spans="1:20" x14ac:dyDescent="0.25">
      <c r="A12" s="345" t="s">
        <v>257</v>
      </c>
      <c r="B12" s="346" t="s">
        <v>275</v>
      </c>
      <c r="C12" s="322">
        <v>200</v>
      </c>
      <c r="D12" s="322">
        <v>602</v>
      </c>
      <c r="E12" s="322">
        <v>38</v>
      </c>
      <c r="F12" s="322">
        <v>48</v>
      </c>
      <c r="G12" s="322">
        <v>60</v>
      </c>
      <c r="H12" s="322">
        <v>280</v>
      </c>
      <c r="I12" s="322">
        <v>20</v>
      </c>
      <c r="J12" s="322">
        <v>31</v>
      </c>
      <c r="K12" s="322">
        <v>103</v>
      </c>
      <c r="L12" s="322">
        <v>240</v>
      </c>
      <c r="M12" s="322">
        <v>28</v>
      </c>
      <c r="N12" s="322">
        <v>35</v>
      </c>
      <c r="O12" s="338"/>
      <c r="Q12" s="119"/>
      <c r="R12" s="331"/>
      <c r="S12" s="108"/>
      <c r="T12" s="92"/>
    </row>
    <row r="13" spans="1:20" ht="15" customHeight="1" x14ac:dyDescent="0.25">
      <c r="A13" s="345" t="s">
        <v>258</v>
      </c>
      <c r="B13" s="346" t="s">
        <v>276</v>
      </c>
      <c r="C13" s="322">
        <v>252</v>
      </c>
      <c r="D13" s="322">
        <v>603</v>
      </c>
      <c r="E13" s="322">
        <v>46</v>
      </c>
      <c r="F13" s="322">
        <v>60</v>
      </c>
      <c r="G13" s="322">
        <v>231</v>
      </c>
      <c r="H13" s="322"/>
      <c r="I13" s="322">
        <v>19</v>
      </c>
      <c r="J13" s="322">
        <v>42</v>
      </c>
      <c r="K13" s="322">
        <v>523</v>
      </c>
      <c r="L13" s="322"/>
      <c r="M13" s="322">
        <v>23</v>
      </c>
      <c r="N13" s="322">
        <v>39</v>
      </c>
      <c r="O13" s="338"/>
      <c r="Q13" s="119"/>
      <c r="R13" s="331"/>
      <c r="S13" s="19"/>
      <c r="T13" s="92"/>
    </row>
    <row r="14" spans="1:20" x14ac:dyDescent="0.25">
      <c r="A14" s="345" t="s">
        <v>259</v>
      </c>
      <c r="B14" s="346" t="s">
        <v>277</v>
      </c>
      <c r="C14" s="322">
        <v>292</v>
      </c>
      <c r="D14" s="322">
        <v>656</v>
      </c>
      <c r="E14" s="322">
        <v>46</v>
      </c>
      <c r="F14" s="322">
        <v>63</v>
      </c>
      <c r="G14" s="322">
        <v>132</v>
      </c>
      <c r="H14" s="322"/>
      <c r="I14" s="322">
        <v>22</v>
      </c>
      <c r="J14" s="322">
        <v>44</v>
      </c>
      <c r="K14" s="322">
        <v>281</v>
      </c>
      <c r="L14" s="322"/>
      <c r="M14" s="322">
        <v>16</v>
      </c>
      <c r="N14" s="322">
        <v>46</v>
      </c>
      <c r="O14" s="338"/>
      <c r="Q14" s="119"/>
      <c r="R14" s="331"/>
      <c r="S14" s="19"/>
      <c r="T14" s="92"/>
    </row>
    <row r="15" spans="1:20" ht="15" customHeight="1" x14ac:dyDescent="0.25">
      <c r="A15" s="345" t="s">
        <v>260</v>
      </c>
      <c r="B15" s="346" t="s">
        <v>386</v>
      </c>
      <c r="C15" s="322">
        <v>177</v>
      </c>
      <c r="D15" s="322">
        <v>433</v>
      </c>
      <c r="E15" s="322">
        <v>36</v>
      </c>
      <c r="F15" s="322">
        <v>60</v>
      </c>
      <c r="G15" s="322">
        <v>102</v>
      </c>
      <c r="H15" s="322">
        <v>385</v>
      </c>
      <c r="I15" s="322">
        <v>19</v>
      </c>
      <c r="J15" s="322">
        <v>43</v>
      </c>
      <c r="K15" s="322">
        <v>256</v>
      </c>
      <c r="L15" s="322">
        <v>443</v>
      </c>
      <c r="M15" s="322">
        <v>14</v>
      </c>
      <c r="N15" s="322">
        <v>45</v>
      </c>
      <c r="O15" s="338"/>
      <c r="Q15" s="119"/>
      <c r="R15" s="331"/>
      <c r="S15" s="19"/>
      <c r="T15" s="92"/>
    </row>
    <row r="16" spans="1:20" x14ac:dyDescent="0.25">
      <c r="A16" s="849" t="s">
        <v>279</v>
      </c>
      <c r="B16" s="850"/>
      <c r="C16" s="850"/>
      <c r="D16" s="850"/>
      <c r="E16" s="850"/>
      <c r="F16" s="850"/>
      <c r="G16" s="850"/>
      <c r="H16" s="850"/>
      <c r="I16" s="850"/>
      <c r="J16" s="850"/>
      <c r="K16" s="850"/>
      <c r="L16" s="850"/>
      <c r="M16" s="850"/>
      <c r="N16" s="851"/>
      <c r="O16" s="337"/>
      <c r="Q16" s="119"/>
      <c r="R16" s="331"/>
      <c r="S16" s="19"/>
      <c r="T16" s="92"/>
    </row>
    <row r="17" spans="1:20" ht="15" customHeight="1" x14ac:dyDescent="0.25">
      <c r="A17" s="345" t="s">
        <v>263</v>
      </c>
      <c r="B17" s="346" t="s">
        <v>280</v>
      </c>
      <c r="C17" s="322">
        <v>5</v>
      </c>
      <c r="D17" s="322">
        <v>92</v>
      </c>
      <c r="E17" s="322">
        <v>22</v>
      </c>
      <c r="F17" s="322">
        <v>12</v>
      </c>
      <c r="G17" s="322">
        <v>10</v>
      </c>
      <c r="H17" s="322"/>
      <c r="I17" s="322">
        <v>24</v>
      </c>
      <c r="J17" s="322">
        <v>14</v>
      </c>
      <c r="K17" s="322">
        <v>2</v>
      </c>
      <c r="L17" s="322"/>
      <c r="M17" s="322">
        <v>10</v>
      </c>
      <c r="N17" s="322">
        <v>17</v>
      </c>
      <c r="O17" s="338"/>
      <c r="Q17" s="119"/>
      <c r="R17" s="331"/>
      <c r="S17" s="19"/>
      <c r="T17" s="92"/>
    </row>
    <row r="18" spans="1:20" x14ac:dyDescent="0.25">
      <c r="A18" s="849" t="s">
        <v>281</v>
      </c>
      <c r="B18" s="850"/>
      <c r="C18" s="850"/>
      <c r="D18" s="850"/>
      <c r="E18" s="850"/>
      <c r="F18" s="850"/>
      <c r="G18" s="850"/>
      <c r="H18" s="850"/>
      <c r="I18" s="850"/>
      <c r="J18" s="850"/>
      <c r="K18" s="850"/>
      <c r="L18" s="850"/>
      <c r="M18" s="850"/>
      <c r="N18" s="851"/>
      <c r="O18" s="337"/>
      <c r="Q18" s="119"/>
      <c r="R18" s="331"/>
      <c r="S18" s="19"/>
      <c r="T18" s="92"/>
    </row>
    <row r="19" spans="1:20" ht="15" customHeight="1" x14ac:dyDescent="0.25">
      <c r="A19" s="345" t="s">
        <v>264</v>
      </c>
      <c r="B19" s="346" t="s">
        <v>283</v>
      </c>
      <c r="C19" s="322">
        <v>266</v>
      </c>
      <c r="D19" s="322">
        <v>397</v>
      </c>
      <c r="E19" s="322">
        <v>30</v>
      </c>
      <c r="F19" s="322">
        <v>16</v>
      </c>
      <c r="G19" s="348">
        <v>242</v>
      </c>
      <c r="H19" s="345"/>
      <c r="I19" s="348">
        <v>27</v>
      </c>
      <c r="J19" s="348">
        <v>14</v>
      </c>
      <c r="K19" s="322">
        <v>136</v>
      </c>
      <c r="L19" s="322"/>
      <c r="M19" s="322">
        <v>16</v>
      </c>
      <c r="N19" s="322">
        <v>14</v>
      </c>
      <c r="O19" s="338"/>
      <c r="Q19" s="119"/>
      <c r="R19" s="331"/>
      <c r="S19" s="19"/>
      <c r="T19" s="92"/>
    </row>
    <row r="20" spans="1:20" x14ac:dyDescent="0.25">
      <c r="A20" s="345" t="s">
        <v>265</v>
      </c>
      <c r="B20" s="346" t="s">
        <v>282</v>
      </c>
      <c r="C20" s="322">
        <v>175</v>
      </c>
      <c r="D20" s="322">
        <v>361</v>
      </c>
      <c r="E20" s="322">
        <v>24</v>
      </c>
      <c r="F20" s="322">
        <v>28</v>
      </c>
      <c r="G20" s="322">
        <v>9</v>
      </c>
      <c r="H20" s="322"/>
      <c r="I20" s="322">
        <v>16</v>
      </c>
      <c r="J20" s="322">
        <v>21</v>
      </c>
      <c r="K20" s="322">
        <v>14</v>
      </c>
      <c r="L20" s="322"/>
      <c r="M20" s="322">
        <v>14</v>
      </c>
      <c r="N20" s="322">
        <v>17</v>
      </c>
      <c r="O20" s="338"/>
      <c r="Q20" s="119"/>
      <c r="R20" s="331"/>
      <c r="S20" s="19"/>
      <c r="T20" s="92"/>
    </row>
    <row r="21" spans="1:20" ht="15" customHeight="1" x14ac:dyDescent="0.25">
      <c r="A21" s="849" t="s">
        <v>284</v>
      </c>
      <c r="B21" s="850"/>
      <c r="C21" s="850"/>
      <c r="D21" s="850"/>
      <c r="E21" s="850"/>
      <c r="F21" s="850"/>
      <c r="G21" s="850"/>
      <c r="H21" s="850"/>
      <c r="I21" s="850"/>
      <c r="J21" s="850"/>
      <c r="K21" s="850"/>
      <c r="L21" s="850"/>
      <c r="M21" s="850"/>
      <c r="N21" s="851"/>
      <c r="O21" s="337"/>
      <c r="Q21" s="119"/>
      <c r="R21" s="331"/>
      <c r="S21" s="19"/>
      <c r="T21" s="92"/>
    </row>
    <row r="22" spans="1:20" ht="21.65" customHeight="1" x14ac:dyDescent="0.25">
      <c r="A22" s="345" t="s">
        <v>261</v>
      </c>
      <c r="B22" s="346" t="s">
        <v>285</v>
      </c>
      <c r="C22" s="322">
        <v>36</v>
      </c>
      <c r="D22" s="322">
        <v>313</v>
      </c>
      <c r="E22" s="322">
        <v>40</v>
      </c>
      <c r="F22" s="322">
        <v>27</v>
      </c>
      <c r="G22" s="322">
        <v>8</v>
      </c>
      <c r="H22" s="322"/>
      <c r="I22" s="322">
        <v>32</v>
      </c>
      <c r="J22" s="322">
        <v>46</v>
      </c>
      <c r="K22" s="322">
        <v>6</v>
      </c>
      <c r="L22" s="322"/>
      <c r="M22" s="322">
        <v>18</v>
      </c>
      <c r="N22" s="322">
        <v>80</v>
      </c>
      <c r="O22" s="338"/>
      <c r="P22" s="119"/>
      <c r="Q22" s="119"/>
      <c r="R22" s="331"/>
      <c r="S22" s="108"/>
      <c r="T22" s="92"/>
    </row>
    <row r="23" spans="1:20" ht="15" customHeight="1" x14ac:dyDescent="0.25">
      <c r="A23" s="849" t="s">
        <v>286</v>
      </c>
      <c r="B23" s="850"/>
      <c r="C23" s="850"/>
      <c r="D23" s="850"/>
      <c r="E23" s="850"/>
      <c r="F23" s="850"/>
      <c r="G23" s="850"/>
      <c r="H23" s="850"/>
      <c r="I23" s="850"/>
      <c r="J23" s="850"/>
      <c r="K23" s="850"/>
      <c r="L23" s="850"/>
      <c r="M23" s="850"/>
      <c r="N23" s="851"/>
      <c r="O23" s="337"/>
      <c r="P23" s="119"/>
      <c r="Q23" s="119"/>
      <c r="R23" s="331"/>
      <c r="S23" s="19"/>
      <c r="T23" s="92"/>
    </row>
    <row r="24" spans="1:20" x14ac:dyDescent="0.25">
      <c r="A24" s="345" t="s">
        <v>262</v>
      </c>
      <c r="B24" s="346" t="s">
        <v>287</v>
      </c>
      <c r="C24" s="322">
        <v>12</v>
      </c>
      <c r="D24" s="322">
        <v>483</v>
      </c>
      <c r="E24" s="322">
        <v>41</v>
      </c>
      <c r="F24" s="322">
        <v>18</v>
      </c>
      <c r="G24" s="322">
        <v>16</v>
      </c>
      <c r="H24" s="322"/>
      <c r="I24" s="322">
        <v>26</v>
      </c>
      <c r="J24" s="322">
        <v>11</v>
      </c>
      <c r="K24" s="322">
        <v>29</v>
      </c>
      <c r="L24" s="322"/>
      <c r="M24" s="322">
        <v>36</v>
      </c>
      <c r="N24" s="322">
        <v>29</v>
      </c>
      <c r="O24" s="338"/>
      <c r="P24" s="119"/>
      <c r="Q24" s="119"/>
      <c r="R24" s="331"/>
      <c r="S24" s="19"/>
      <c r="T24" s="92"/>
    </row>
    <row r="25" spans="1:20" x14ac:dyDescent="0.25">
      <c r="A25" s="849" t="s">
        <v>288</v>
      </c>
      <c r="B25" s="850"/>
      <c r="C25" s="850"/>
      <c r="D25" s="850"/>
      <c r="E25" s="850"/>
      <c r="F25" s="850"/>
      <c r="G25" s="850"/>
      <c r="H25" s="850"/>
      <c r="I25" s="850"/>
      <c r="J25" s="850"/>
      <c r="K25" s="850"/>
      <c r="L25" s="850"/>
      <c r="M25" s="850"/>
      <c r="N25" s="851"/>
      <c r="O25" s="337"/>
      <c r="P25" s="119"/>
      <c r="Q25" s="119"/>
      <c r="R25" s="331"/>
      <c r="S25" s="19"/>
      <c r="T25" s="92"/>
    </row>
    <row r="26" spans="1:20" x14ac:dyDescent="0.25">
      <c r="A26" s="345" t="s">
        <v>250</v>
      </c>
      <c r="B26" s="346" t="s">
        <v>289</v>
      </c>
      <c r="C26" s="322">
        <v>3</v>
      </c>
      <c r="D26" s="322">
        <v>254</v>
      </c>
      <c r="E26" s="322">
        <v>25</v>
      </c>
      <c r="F26" s="322">
        <v>13</v>
      </c>
      <c r="G26" s="322">
        <v>24</v>
      </c>
      <c r="H26" s="322">
        <v>178</v>
      </c>
      <c r="I26" s="322">
        <v>21</v>
      </c>
      <c r="J26" s="322">
        <v>4</v>
      </c>
      <c r="K26" s="349">
        <v>141</v>
      </c>
      <c r="L26" s="349">
        <v>190</v>
      </c>
      <c r="M26" s="348">
        <v>24</v>
      </c>
      <c r="N26" s="348">
        <v>10</v>
      </c>
      <c r="O26" s="334"/>
      <c r="P26" s="119"/>
      <c r="Q26" s="119"/>
      <c r="R26" s="331"/>
      <c r="S26" s="19"/>
      <c r="T26" s="92"/>
    </row>
    <row r="27" spans="1:20" ht="20" x14ac:dyDescent="0.25">
      <c r="A27" s="345" t="s">
        <v>252</v>
      </c>
      <c r="B27" s="346" t="s">
        <v>295</v>
      </c>
      <c r="C27" s="322">
        <v>33</v>
      </c>
      <c r="D27" s="322"/>
      <c r="E27" s="322">
        <v>25</v>
      </c>
      <c r="F27" s="322">
        <v>9</v>
      </c>
      <c r="G27" s="322">
        <v>52</v>
      </c>
      <c r="H27" s="322"/>
      <c r="I27" s="322">
        <v>14</v>
      </c>
      <c r="J27" s="322">
        <v>8</v>
      </c>
      <c r="K27" s="322">
        <v>65</v>
      </c>
      <c r="L27" s="322">
        <v>189</v>
      </c>
      <c r="M27" s="322">
        <v>30</v>
      </c>
      <c r="N27" s="322">
        <v>7</v>
      </c>
      <c r="O27" s="334"/>
      <c r="P27" s="119"/>
      <c r="Q27" s="119"/>
      <c r="R27" s="331"/>
      <c r="S27" s="19"/>
      <c r="T27" s="92"/>
    </row>
    <row r="28" spans="1:20" x14ac:dyDescent="0.25">
      <c r="A28" s="345" t="s">
        <v>759</v>
      </c>
      <c r="B28" s="597" t="s">
        <v>864</v>
      </c>
      <c r="C28" s="350">
        <v>36</v>
      </c>
      <c r="D28" s="322">
        <v>182</v>
      </c>
      <c r="E28" s="322">
        <v>40</v>
      </c>
      <c r="F28" s="322">
        <v>19</v>
      </c>
      <c r="G28" s="322">
        <v>72</v>
      </c>
      <c r="H28" s="322">
        <v>185</v>
      </c>
      <c r="I28" s="322">
        <v>20</v>
      </c>
      <c r="J28" s="322">
        <v>9</v>
      </c>
      <c r="K28" s="322">
        <v>50</v>
      </c>
      <c r="L28" s="322">
        <v>67</v>
      </c>
      <c r="M28" s="322">
        <v>15</v>
      </c>
      <c r="N28" s="322">
        <v>15</v>
      </c>
      <c r="O28" s="334"/>
      <c r="P28" s="119"/>
      <c r="Q28" s="119"/>
      <c r="R28" s="331"/>
      <c r="S28" s="19"/>
      <c r="T28" s="92"/>
    </row>
    <row r="29" spans="1:20" x14ac:dyDescent="0.25">
      <c r="A29" s="841" t="s">
        <v>518</v>
      </c>
      <c r="B29" s="841"/>
      <c r="C29" s="841"/>
      <c r="D29" s="841"/>
      <c r="E29" s="841"/>
      <c r="F29" s="841"/>
      <c r="G29" s="841"/>
      <c r="H29" s="841"/>
      <c r="I29" s="841"/>
      <c r="J29" s="841"/>
      <c r="K29" s="841"/>
      <c r="L29" s="841"/>
      <c r="M29" s="841"/>
      <c r="N29" s="841"/>
      <c r="P29" s="119"/>
      <c r="Q29" s="119"/>
      <c r="R29" s="331"/>
      <c r="S29" s="19"/>
      <c r="T29" s="92"/>
    </row>
    <row r="30" spans="1:20" x14ac:dyDescent="0.25">
      <c r="A30" s="342" t="s">
        <v>519</v>
      </c>
      <c r="B30" s="347" t="s">
        <v>521</v>
      </c>
      <c r="C30" s="351">
        <v>178</v>
      </c>
      <c r="D30" s="352"/>
      <c r="E30" s="344">
        <v>22</v>
      </c>
      <c r="F30" s="353">
        <v>14</v>
      </c>
      <c r="G30" s="343">
        <v>51</v>
      </c>
      <c r="H30" s="344"/>
      <c r="I30" s="344">
        <v>20</v>
      </c>
      <c r="J30" s="344">
        <v>13</v>
      </c>
      <c r="K30" s="344">
        <v>107</v>
      </c>
      <c r="L30" s="344"/>
      <c r="M30" s="344">
        <v>42</v>
      </c>
      <c r="N30" s="344">
        <v>11</v>
      </c>
      <c r="P30" s="119"/>
      <c r="Q30" s="119"/>
      <c r="R30" s="331"/>
      <c r="S30" s="19"/>
      <c r="T30" s="92"/>
    </row>
    <row r="31" spans="1:20" ht="15" customHeight="1" x14ac:dyDescent="0.25">
      <c r="A31" s="342" t="s">
        <v>520</v>
      </c>
      <c r="B31" s="347" t="s">
        <v>522</v>
      </c>
      <c r="C31" s="351">
        <v>273</v>
      </c>
      <c r="D31" s="344"/>
      <c r="E31" s="344">
        <v>67</v>
      </c>
      <c r="F31" s="344">
        <v>22</v>
      </c>
      <c r="G31" s="343">
        <v>215</v>
      </c>
      <c r="H31" s="344"/>
      <c r="I31" s="344">
        <v>61</v>
      </c>
      <c r="J31" s="344">
        <v>18</v>
      </c>
      <c r="K31" s="344">
        <v>100</v>
      </c>
      <c r="L31" s="344"/>
      <c r="M31" s="344">
        <v>36</v>
      </c>
      <c r="N31" s="344">
        <v>9</v>
      </c>
      <c r="P31" s="119"/>
      <c r="Q31" s="119"/>
      <c r="R31" s="331"/>
      <c r="S31" s="19"/>
      <c r="T31" s="92"/>
    </row>
    <row r="32" spans="1:20" x14ac:dyDescent="0.25">
      <c r="A32" s="339"/>
      <c r="B32" s="331"/>
      <c r="C32" s="331"/>
      <c r="D32" s="19"/>
      <c r="E32" s="19"/>
      <c r="F32" s="94"/>
      <c r="G32" s="95"/>
      <c r="P32" s="119"/>
      <c r="Q32" s="119"/>
      <c r="R32" s="331"/>
      <c r="S32" s="108"/>
      <c r="T32" s="92"/>
    </row>
    <row r="33" spans="1:20" x14ac:dyDescent="0.25">
      <c r="A33" s="119"/>
      <c r="C33" s="331"/>
      <c r="D33" s="19"/>
      <c r="E33" s="19"/>
      <c r="F33" s="19"/>
      <c r="G33" s="92"/>
      <c r="H33" s="94"/>
      <c r="I33" s="341"/>
      <c r="P33" s="119"/>
      <c r="Q33" s="119"/>
      <c r="R33" s="331"/>
      <c r="S33" s="19"/>
      <c r="T33" s="92"/>
    </row>
    <row r="34" spans="1:20" x14ac:dyDescent="0.25">
      <c r="A34" s="119"/>
      <c r="B34" s="331"/>
      <c r="C34" s="331"/>
      <c r="D34" s="19"/>
      <c r="E34" s="19"/>
      <c r="F34" s="94"/>
      <c r="G34" s="92"/>
      <c r="H34" s="19"/>
      <c r="I34" s="341"/>
      <c r="P34" s="119"/>
      <c r="Q34" s="119"/>
      <c r="R34" s="331"/>
      <c r="S34" s="19"/>
      <c r="T34" s="92"/>
    </row>
    <row r="35" spans="1:20" x14ac:dyDescent="0.25">
      <c r="A35" s="119"/>
      <c r="B35" s="331"/>
      <c r="C35" s="331"/>
      <c r="D35" s="19"/>
      <c r="E35" s="19"/>
      <c r="F35" s="19"/>
      <c r="G35" s="92"/>
      <c r="H35" s="94"/>
      <c r="I35" s="341"/>
      <c r="P35" s="119"/>
      <c r="Q35" s="119"/>
      <c r="R35" s="331"/>
      <c r="S35" s="19"/>
      <c r="T35" s="92"/>
    </row>
    <row r="36" spans="1:20" x14ac:dyDescent="0.25">
      <c r="A36" s="119"/>
      <c r="B36" s="331"/>
      <c r="C36" s="331"/>
      <c r="D36" s="19"/>
      <c r="E36" s="19"/>
      <c r="F36" s="19"/>
      <c r="G36" s="92"/>
      <c r="I36" s="341"/>
      <c r="P36" s="119"/>
      <c r="Q36" s="119"/>
      <c r="R36" s="331"/>
      <c r="S36" s="19"/>
      <c r="T36" s="92"/>
    </row>
    <row r="37" spans="1:20" x14ac:dyDescent="0.25">
      <c r="A37" s="119"/>
      <c r="B37" s="331"/>
      <c r="C37" s="331"/>
      <c r="D37" s="19"/>
      <c r="E37" s="19"/>
      <c r="F37" s="94"/>
      <c r="G37" s="92"/>
      <c r="H37" s="94"/>
      <c r="I37" s="92"/>
      <c r="P37" s="119"/>
      <c r="Q37" s="119"/>
      <c r="R37" s="331"/>
      <c r="S37" s="19"/>
      <c r="T37" s="92"/>
    </row>
    <row r="38" spans="1:20" x14ac:dyDescent="0.25">
      <c r="A38" s="119"/>
      <c r="B38" s="331"/>
      <c r="C38" s="331"/>
      <c r="D38" s="19"/>
      <c r="E38" s="19"/>
      <c r="F38" s="19"/>
      <c r="G38" s="92"/>
      <c r="H38" s="94"/>
      <c r="I38" s="92"/>
      <c r="P38" s="119"/>
      <c r="Q38" s="119"/>
      <c r="R38" s="331"/>
      <c r="S38" s="19"/>
      <c r="T38" s="92"/>
    </row>
    <row r="39" spans="1:20" x14ac:dyDescent="0.25">
      <c r="A39" s="119"/>
      <c r="B39" s="331"/>
      <c r="C39" s="331"/>
      <c r="D39" s="19"/>
      <c r="E39" s="19"/>
      <c r="F39" s="94"/>
      <c r="G39" s="92"/>
      <c r="H39" s="19"/>
      <c r="I39" s="92"/>
      <c r="P39" s="119"/>
      <c r="Q39" s="119"/>
      <c r="R39" s="331"/>
      <c r="S39" s="19"/>
      <c r="T39" s="92"/>
    </row>
    <row r="40" spans="1:20" x14ac:dyDescent="0.25">
      <c r="A40" s="119"/>
      <c r="B40" s="331"/>
      <c r="C40" s="331"/>
      <c r="D40" s="19"/>
      <c r="E40" s="19"/>
      <c r="F40" s="19"/>
      <c r="G40" s="92"/>
      <c r="H40" s="94"/>
      <c r="I40" s="92"/>
      <c r="P40" s="119"/>
      <c r="Q40" s="119"/>
      <c r="R40" s="331"/>
      <c r="S40" s="19"/>
      <c r="T40" s="92"/>
    </row>
    <row r="41" spans="1:20" x14ac:dyDescent="0.25">
      <c r="A41" s="119"/>
      <c r="B41" s="331"/>
      <c r="C41" s="331"/>
      <c r="D41" s="19"/>
      <c r="E41" s="19"/>
      <c r="F41" s="19"/>
      <c r="G41" s="92"/>
      <c r="I41" s="92"/>
      <c r="P41" s="119"/>
      <c r="Q41" s="119"/>
      <c r="R41" s="331"/>
      <c r="S41" s="19"/>
      <c r="T41" s="92"/>
    </row>
    <row r="42" spans="1:20" x14ac:dyDescent="0.25">
      <c r="A42" s="119"/>
      <c r="B42" s="331"/>
      <c r="C42" s="331"/>
      <c r="D42" s="19"/>
      <c r="E42" s="19"/>
      <c r="F42" s="94"/>
      <c r="G42" s="92"/>
      <c r="I42" s="92"/>
      <c r="P42" s="119"/>
      <c r="Q42" s="119"/>
      <c r="R42" s="331"/>
      <c r="S42" s="19"/>
      <c r="T42" s="92"/>
    </row>
    <row r="43" spans="1:20" x14ac:dyDescent="0.25">
      <c r="A43" s="119"/>
      <c r="B43" s="331"/>
      <c r="C43" s="331"/>
      <c r="D43" s="19"/>
      <c r="E43" s="19"/>
      <c r="F43" s="19"/>
      <c r="G43" s="92"/>
      <c r="H43" s="94"/>
      <c r="I43" s="92"/>
      <c r="P43" s="119"/>
      <c r="Q43" s="119"/>
      <c r="R43" s="331"/>
      <c r="S43" s="19"/>
      <c r="T43" s="92"/>
    </row>
    <row r="44" spans="1:20" x14ac:dyDescent="0.25">
      <c r="A44" s="119"/>
      <c r="B44" s="331"/>
      <c r="C44" s="331"/>
      <c r="D44" s="19"/>
      <c r="E44" s="19"/>
      <c r="F44" s="19"/>
      <c r="G44" s="92"/>
      <c r="H44" s="19"/>
      <c r="I44" s="92"/>
      <c r="P44" s="119"/>
      <c r="Q44" s="119"/>
      <c r="R44" s="331"/>
      <c r="S44" s="19"/>
      <c r="T44" s="92"/>
    </row>
    <row r="45" spans="1:20" x14ac:dyDescent="0.25">
      <c r="A45" s="119"/>
      <c r="B45" s="331"/>
      <c r="C45" s="331"/>
      <c r="D45" s="19"/>
      <c r="E45" s="19"/>
      <c r="F45" s="94"/>
      <c r="G45" s="92"/>
      <c r="H45" s="94"/>
      <c r="I45" s="92"/>
      <c r="P45" s="119"/>
      <c r="R45" s="331"/>
      <c r="S45" s="19"/>
      <c r="T45" s="92"/>
    </row>
    <row r="46" spans="1:20" x14ac:dyDescent="0.25">
      <c r="A46" s="119"/>
      <c r="B46" s="331"/>
      <c r="C46" s="331"/>
      <c r="D46" s="19"/>
      <c r="E46" s="19"/>
      <c r="F46" s="19"/>
      <c r="G46" s="92"/>
      <c r="P46" s="119"/>
      <c r="R46" s="331"/>
      <c r="S46" s="19"/>
      <c r="T46" s="92"/>
    </row>
    <row r="47" spans="1:20" x14ac:dyDescent="0.25">
      <c r="A47" s="119"/>
      <c r="B47" s="331"/>
      <c r="C47" s="331"/>
      <c r="D47" s="19"/>
      <c r="E47" s="19"/>
      <c r="F47" s="19"/>
      <c r="G47" s="92"/>
      <c r="P47" s="119"/>
      <c r="R47" s="331"/>
      <c r="S47" s="19"/>
      <c r="T47" s="92"/>
    </row>
    <row r="48" spans="1:20" x14ac:dyDescent="0.25">
      <c r="A48" s="119"/>
      <c r="B48" s="331"/>
      <c r="C48" s="331"/>
      <c r="D48" s="19"/>
      <c r="E48" s="19"/>
      <c r="F48" s="94"/>
      <c r="G48" s="92"/>
      <c r="P48" s="119"/>
      <c r="R48" s="331"/>
      <c r="S48" s="19"/>
      <c r="T48" s="92"/>
    </row>
    <row r="49" spans="1:20" x14ac:dyDescent="0.25">
      <c r="A49" s="119"/>
      <c r="B49" s="331"/>
      <c r="C49" s="331"/>
      <c r="D49" s="19"/>
      <c r="E49" s="19"/>
      <c r="F49" s="19"/>
      <c r="G49" s="92"/>
      <c r="R49" s="331"/>
      <c r="S49" s="19"/>
      <c r="T49" s="92"/>
    </row>
    <row r="50" spans="1:20" x14ac:dyDescent="0.25">
      <c r="A50" s="119"/>
      <c r="B50" s="331"/>
      <c r="C50" s="331"/>
      <c r="D50" s="19"/>
      <c r="E50" s="19"/>
      <c r="F50" s="19"/>
      <c r="G50" s="92"/>
      <c r="R50" s="331"/>
      <c r="S50" s="19"/>
      <c r="T50" s="92"/>
    </row>
    <row r="51" spans="1:20" x14ac:dyDescent="0.25">
      <c r="A51" s="119"/>
      <c r="B51" s="331"/>
      <c r="C51" s="331"/>
      <c r="D51" s="19"/>
      <c r="E51" s="19"/>
      <c r="F51" s="94"/>
      <c r="G51" s="92"/>
      <c r="Q51" s="331"/>
      <c r="R51" s="19"/>
      <c r="S51" s="92"/>
    </row>
    <row r="52" spans="1:20" x14ac:dyDescent="0.25">
      <c r="A52" s="119"/>
      <c r="B52" s="331"/>
      <c r="C52" s="331"/>
      <c r="D52" s="19"/>
      <c r="E52" s="19"/>
      <c r="F52" s="19"/>
      <c r="G52" s="92"/>
      <c r="Q52" s="331"/>
      <c r="R52" s="19"/>
      <c r="S52" s="92"/>
    </row>
    <row r="53" spans="1:20" x14ac:dyDescent="0.25">
      <c r="A53" s="119"/>
      <c r="B53" s="331"/>
      <c r="C53" s="331"/>
      <c r="D53" s="19"/>
      <c r="E53" s="19"/>
      <c r="F53" s="19"/>
      <c r="G53" s="92"/>
      <c r="Q53" s="331"/>
      <c r="R53" s="19"/>
      <c r="S53" s="92"/>
    </row>
    <row r="54" spans="1:20" x14ac:dyDescent="0.25">
      <c r="A54" s="119"/>
      <c r="B54" s="331"/>
      <c r="C54" s="331"/>
      <c r="D54" s="19"/>
      <c r="E54" s="19"/>
      <c r="F54" s="94"/>
      <c r="G54" s="92"/>
      <c r="Q54" s="331"/>
      <c r="R54" s="19"/>
      <c r="S54" s="92"/>
    </row>
    <row r="55" spans="1:20" x14ac:dyDescent="0.25">
      <c r="A55" s="119"/>
      <c r="B55" s="331"/>
      <c r="C55" s="331"/>
      <c r="D55" s="19"/>
      <c r="E55" s="19"/>
      <c r="F55" s="19"/>
      <c r="G55" s="92"/>
      <c r="P55" s="119"/>
      <c r="Q55" s="331"/>
      <c r="R55" s="19"/>
      <c r="S55" s="92"/>
    </row>
    <row r="56" spans="1:20" x14ac:dyDescent="0.25">
      <c r="A56" s="119"/>
      <c r="B56" s="331"/>
      <c r="C56" s="331"/>
      <c r="D56" s="19"/>
      <c r="E56" s="19"/>
      <c r="F56" s="19"/>
      <c r="G56" s="92"/>
      <c r="P56" s="119"/>
      <c r="Q56" s="331"/>
      <c r="R56" s="19"/>
      <c r="S56" s="92"/>
    </row>
    <row r="57" spans="1:20" x14ac:dyDescent="0.25">
      <c r="A57" s="119"/>
      <c r="B57" s="331"/>
      <c r="C57" s="331"/>
      <c r="D57" s="19"/>
      <c r="E57" s="19"/>
      <c r="F57" s="94"/>
      <c r="G57" s="92"/>
      <c r="P57" s="119"/>
      <c r="Q57" s="331"/>
      <c r="R57" s="19"/>
      <c r="S57" s="92"/>
    </row>
    <row r="58" spans="1:20" x14ac:dyDescent="0.25">
      <c r="A58" s="119"/>
      <c r="B58" s="331"/>
      <c r="C58" s="331"/>
      <c r="D58" s="19"/>
      <c r="E58" s="19"/>
      <c r="F58" s="19"/>
      <c r="G58" s="92"/>
      <c r="P58" s="119"/>
      <c r="Q58" s="331"/>
      <c r="R58" s="108"/>
      <c r="S58" s="92"/>
    </row>
    <row r="59" spans="1:20" x14ac:dyDescent="0.25">
      <c r="A59" s="119"/>
      <c r="B59" s="331"/>
      <c r="C59" s="331"/>
      <c r="D59" s="19"/>
      <c r="E59" s="19"/>
      <c r="F59" s="19"/>
      <c r="G59" s="92"/>
      <c r="P59" s="119"/>
      <c r="Q59" s="331"/>
      <c r="R59" s="19"/>
      <c r="S59" s="92"/>
    </row>
    <row r="60" spans="1:20" x14ac:dyDescent="0.25">
      <c r="A60" s="119"/>
      <c r="B60" s="331"/>
      <c r="C60" s="331"/>
      <c r="D60" s="19"/>
      <c r="E60" s="19"/>
      <c r="F60" s="94"/>
      <c r="G60" s="92"/>
      <c r="P60" s="119"/>
      <c r="Q60" s="331"/>
      <c r="R60" s="19"/>
      <c r="S60" s="92"/>
    </row>
    <row r="61" spans="1:20" x14ac:dyDescent="0.25">
      <c r="A61" s="119"/>
      <c r="B61" s="331"/>
      <c r="C61" s="331"/>
      <c r="D61" s="19"/>
      <c r="E61" s="19"/>
      <c r="F61" s="19"/>
      <c r="G61" s="92"/>
      <c r="P61" s="119"/>
      <c r="Q61" s="331"/>
      <c r="R61" s="19"/>
      <c r="S61" s="92"/>
    </row>
    <row r="62" spans="1:20" x14ac:dyDescent="0.25">
      <c r="A62" s="119"/>
      <c r="B62" s="331"/>
      <c r="C62" s="331"/>
      <c r="D62" s="19"/>
      <c r="E62" s="19"/>
      <c r="F62" s="19"/>
      <c r="G62" s="92"/>
      <c r="P62" s="119"/>
      <c r="Q62" s="331"/>
      <c r="R62" s="19"/>
      <c r="S62" s="92"/>
    </row>
    <row r="63" spans="1:20" x14ac:dyDescent="0.25">
      <c r="A63" s="119"/>
      <c r="B63" s="331"/>
      <c r="C63" s="331"/>
      <c r="D63" s="19"/>
      <c r="E63" s="19"/>
      <c r="F63" s="94"/>
      <c r="G63" s="92"/>
      <c r="P63" s="119"/>
      <c r="Q63" s="331"/>
      <c r="R63" s="19"/>
      <c r="S63" s="92"/>
    </row>
    <row r="64" spans="1:20" x14ac:dyDescent="0.25">
      <c r="A64" s="119"/>
      <c r="B64" s="331"/>
      <c r="C64" s="331"/>
      <c r="D64" s="19"/>
      <c r="E64" s="19"/>
      <c r="F64" s="19"/>
      <c r="G64" s="92"/>
      <c r="P64" s="119"/>
      <c r="Q64" s="331"/>
      <c r="R64" s="19"/>
      <c r="S64" s="92"/>
    </row>
    <row r="65" spans="1:19" ht="12.75" customHeight="1" x14ac:dyDescent="0.25">
      <c r="A65" s="119"/>
      <c r="B65" s="331"/>
      <c r="C65" s="331"/>
      <c r="D65" s="19"/>
      <c r="E65" s="19"/>
      <c r="F65" s="19"/>
      <c r="G65" s="92"/>
      <c r="P65" s="119"/>
      <c r="Q65" s="331"/>
      <c r="R65" s="108"/>
      <c r="S65" s="92"/>
    </row>
    <row r="66" spans="1:19" x14ac:dyDescent="0.25">
      <c r="A66" s="119"/>
      <c r="B66" s="331"/>
      <c r="C66" s="331"/>
      <c r="D66" s="19"/>
      <c r="E66" s="19"/>
      <c r="F66" s="94"/>
      <c r="G66" s="92"/>
      <c r="P66" s="119"/>
      <c r="Q66" s="331"/>
      <c r="R66" s="96"/>
      <c r="S66" s="95"/>
    </row>
    <row r="67" spans="1:19" x14ac:dyDescent="0.25">
      <c r="A67" s="119"/>
      <c r="B67" s="331"/>
      <c r="C67" s="331"/>
      <c r="D67" s="19"/>
      <c r="E67" s="19"/>
      <c r="F67" s="94"/>
      <c r="G67" s="92"/>
      <c r="P67" s="119"/>
      <c r="Q67" s="331"/>
      <c r="R67" s="19"/>
      <c r="S67" s="103"/>
    </row>
    <row r="68" spans="1:19" x14ac:dyDescent="0.25">
      <c r="A68" s="119"/>
      <c r="B68" s="331"/>
      <c r="C68" s="331"/>
      <c r="D68" s="19"/>
      <c r="E68" s="19"/>
      <c r="F68" s="94"/>
      <c r="G68" s="92"/>
      <c r="P68" s="119"/>
      <c r="Q68" s="331"/>
      <c r="R68" s="19"/>
      <c r="S68" s="92"/>
    </row>
    <row r="69" spans="1:19" x14ac:dyDescent="0.25">
      <c r="A69" s="119"/>
      <c r="B69" s="331"/>
      <c r="C69" s="331"/>
      <c r="D69" s="19"/>
      <c r="E69" s="19"/>
      <c r="F69" s="94"/>
      <c r="G69" s="92"/>
      <c r="P69" s="119"/>
      <c r="Q69" s="331"/>
      <c r="R69" s="19"/>
      <c r="S69" s="92"/>
    </row>
    <row r="70" spans="1:19" x14ac:dyDescent="0.25">
      <c r="A70" s="119"/>
      <c r="B70" s="331"/>
      <c r="C70" s="331"/>
      <c r="D70" s="19"/>
      <c r="E70" s="19"/>
      <c r="F70" s="19"/>
      <c r="G70" s="92"/>
      <c r="P70" s="119"/>
      <c r="Q70" s="331"/>
      <c r="R70" s="19"/>
      <c r="S70" s="92"/>
    </row>
    <row r="71" spans="1:19" x14ac:dyDescent="0.25">
      <c r="A71" s="119"/>
      <c r="B71" s="331"/>
      <c r="C71" s="331"/>
      <c r="D71" s="19"/>
      <c r="E71" s="19"/>
      <c r="F71" s="19"/>
      <c r="G71" s="92"/>
      <c r="P71" s="119"/>
      <c r="Q71" s="331"/>
      <c r="R71" s="108"/>
      <c r="S71" s="92"/>
    </row>
    <row r="72" spans="1:19" ht="14.25" customHeight="1" x14ac:dyDescent="0.25">
      <c r="A72" s="119"/>
      <c r="B72" s="331"/>
      <c r="C72" s="331"/>
      <c r="D72" s="19"/>
      <c r="E72" s="19"/>
      <c r="F72" s="94"/>
      <c r="G72" s="92"/>
      <c r="P72" s="119"/>
      <c r="Q72" s="331"/>
      <c r="R72" s="96"/>
      <c r="S72" s="95"/>
    </row>
    <row r="73" spans="1:19" x14ac:dyDescent="0.25">
      <c r="A73" s="119"/>
      <c r="B73" s="331"/>
      <c r="C73" s="331"/>
      <c r="D73" s="19"/>
      <c r="E73" s="19"/>
      <c r="F73" s="19"/>
      <c r="G73" s="92"/>
      <c r="P73" s="119"/>
      <c r="Q73" s="331"/>
      <c r="R73" s="19"/>
      <c r="S73" s="103"/>
    </row>
    <row r="74" spans="1:19" x14ac:dyDescent="0.25">
      <c r="A74" s="340"/>
      <c r="B74" s="331"/>
      <c r="C74" s="331"/>
      <c r="D74" s="19"/>
      <c r="E74" s="19"/>
      <c r="F74" s="19"/>
      <c r="G74" s="92"/>
    </row>
    <row r="75" spans="1:19" x14ac:dyDescent="0.25">
      <c r="A75" s="340"/>
      <c r="B75" s="331"/>
      <c r="C75" s="331"/>
      <c r="D75" s="19"/>
      <c r="E75" s="19"/>
      <c r="F75" s="94"/>
      <c r="G75" s="92"/>
    </row>
    <row r="76" spans="1:19" x14ac:dyDescent="0.25">
      <c r="A76" s="340"/>
      <c r="B76" s="331"/>
      <c r="C76" s="331"/>
      <c r="D76" s="96"/>
      <c r="E76" s="19"/>
      <c r="F76" s="19"/>
      <c r="G76" s="29"/>
    </row>
    <row r="77" spans="1:19" x14ac:dyDescent="0.25">
      <c r="A77" s="340"/>
      <c r="B77" s="331"/>
      <c r="C77" s="331"/>
      <c r="D77" s="108"/>
      <c r="E77" s="19"/>
      <c r="F77" s="94"/>
      <c r="G77" s="92"/>
    </row>
    <row r="78" spans="1:19" x14ac:dyDescent="0.25">
      <c r="A78" s="340"/>
      <c r="B78" s="331"/>
      <c r="C78" s="331"/>
      <c r="D78" s="19"/>
      <c r="E78" s="19"/>
      <c r="F78" s="19"/>
      <c r="G78" s="92"/>
    </row>
    <row r="79" spans="1:19" x14ac:dyDescent="0.25">
      <c r="A79" s="340"/>
      <c r="B79" s="331"/>
      <c r="C79" s="331"/>
      <c r="D79" s="19"/>
      <c r="E79" s="19"/>
      <c r="F79" s="94"/>
      <c r="G79" s="92"/>
    </row>
    <row r="80" spans="1:19" x14ac:dyDescent="0.25">
      <c r="A80" s="340"/>
      <c r="B80" s="331"/>
      <c r="C80" s="331"/>
      <c r="D80" s="96"/>
      <c r="E80" s="19"/>
      <c r="F80" s="19"/>
      <c r="G80" s="29"/>
    </row>
    <row r="81" spans="1:7" x14ac:dyDescent="0.25">
      <c r="A81" s="340"/>
      <c r="B81" s="331"/>
      <c r="C81" s="331"/>
      <c r="D81" s="96"/>
      <c r="E81" s="19"/>
      <c r="F81" s="19"/>
      <c r="G81" s="29"/>
    </row>
    <row r="82" spans="1:7" x14ac:dyDescent="0.25">
      <c r="A82" s="340"/>
      <c r="B82" s="331"/>
      <c r="C82" s="331"/>
      <c r="D82" s="108"/>
      <c r="E82" s="19"/>
      <c r="F82" s="94"/>
      <c r="G82" s="92"/>
    </row>
    <row r="83" spans="1:7" x14ac:dyDescent="0.25">
      <c r="A83" s="340"/>
      <c r="B83" s="331"/>
      <c r="C83" s="331"/>
      <c r="D83" s="19"/>
      <c r="E83" s="19"/>
      <c r="F83" s="19"/>
      <c r="G83" s="92"/>
    </row>
    <row r="84" spans="1:7" x14ac:dyDescent="0.25">
      <c r="A84" s="340"/>
      <c r="B84" s="331"/>
      <c r="C84" s="331"/>
      <c r="D84" s="19"/>
      <c r="E84" s="19"/>
      <c r="F84" s="94"/>
      <c r="G84" s="92"/>
    </row>
    <row r="85" spans="1:7" x14ac:dyDescent="0.25">
      <c r="A85" s="340"/>
      <c r="B85" s="331"/>
      <c r="C85" s="331"/>
      <c r="D85" s="19"/>
      <c r="E85" s="19"/>
      <c r="F85" s="94"/>
      <c r="G85" s="92"/>
    </row>
    <row r="86" spans="1:7" x14ac:dyDescent="0.25">
      <c r="A86" s="340"/>
      <c r="B86" s="331"/>
      <c r="C86" s="331"/>
      <c r="D86" s="96"/>
      <c r="E86" s="19"/>
      <c r="F86" s="19"/>
      <c r="G86" s="29"/>
    </row>
    <row r="87" spans="1:7" x14ac:dyDescent="0.25">
      <c r="A87" s="340"/>
      <c r="B87" s="331"/>
      <c r="C87" s="331"/>
      <c r="D87" s="108"/>
      <c r="E87" s="19"/>
      <c r="F87" s="94"/>
      <c r="G87" s="92"/>
    </row>
    <row r="88" spans="1:7" ht="12.75" customHeight="1" x14ac:dyDescent="0.25">
      <c r="A88" s="340"/>
      <c r="B88" s="331"/>
      <c r="C88" s="331"/>
      <c r="D88" s="19"/>
      <c r="E88" s="19"/>
      <c r="F88" s="19"/>
      <c r="G88" s="92"/>
    </row>
    <row r="89" spans="1:7" x14ac:dyDescent="0.25">
      <c r="A89" s="340"/>
      <c r="B89" s="331"/>
      <c r="C89" s="331"/>
      <c r="D89" s="19"/>
      <c r="E89" s="19"/>
      <c r="F89" s="94"/>
      <c r="G89" s="92"/>
    </row>
    <row r="90" spans="1:7" x14ac:dyDescent="0.25">
      <c r="A90" s="340"/>
      <c r="B90" s="331"/>
      <c r="C90" s="331"/>
      <c r="D90" s="96"/>
      <c r="E90" s="19"/>
      <c r="F90" s="19"/>
      <c r="G90" s="29"/>
    </row>
    <row r="103" spans="1:7" x14ac:dyDescent="0.25">
      <c r="A103" s="340"/>
      <c r="B103" s="87"/>
      <c r="C103" s="87"/>
      <c r="D103" s="108"/>
      <c r="E103" s="19"/>
      <c r="F103" s="94"/>
      <c r="G103" s="92"/>
    </row>
    <row r="104" spans="1:7" x14ac:dyDescent="0.25">
      <c r="A104" s="340"/>
      <c r="B104" s="87"/>
      <c r="C104" s="87"/>
      <c r="D104" s="19"/>
      <c r="E104" s="19"/>
      <c r="F104" s="19"/>
      <c r="G104" s="92"/>
    </row>
    <row r="105" spans="1:7" x14ac:dyDescent="0.25">
      <c r="A105" s="340"/>
      <c r="B105" s="87"/>
      <c r="C105" s="87"/>
      <c r="D105" s="19"/>
      <c r="E105" s="19"/>
      <c r="F105" s="94"/>
      <c r="G105" s="92"/>
    </row>
    <row r="106" spans="1:7" x14ac:dyDescent="0.25">
      <c r="A106" s="340"/>
      <c r="B106" s="87"/>
      <c r="C106" s="87"/>
      <c r="G106" s="92"/>
    </row>
    <row r="107" spans="1:7" x14ac:dyDescent="0.25">
      <c r="A107" s="340"/>
      <c r="B107" s="87"/>
      <c r="C107" s="87"/>
      <c r="D107" s="108"/>
      <c r="E107" s="19"/>
      <c r="F107" s="94"/>
      <c r="G107" s="92"/>
    </row>
    <row r="108" spans="1:7" x14ac:dyDescent="0.25">
      <c r="A108" s="340"/>
      <c r="B108" s="87"/>
      <c r="C108" s="87"/>
      <c r="D108" s="19"/>
      <c r="E108" s="19"/>
      <c r="F108" s="19"/>
      <c r="G108" s="92"/>
    </row>
    <row r="109" spans="1:7" x14ac:dyDescent="0.25">
      <c r="A109" s="340"/>
      <c r="B109" s="87"/>
      <c r="C109" s="87"/>
      <c r="D109" s="19"/>
      <c r="E109" s="19"/>
      <c r="F109" s="94"/>
      <c r="G109" s="92"/>
    </row>
    <row r="110" spans="1:7" x14ac:dyDescent="0.25">
      <c r="A110" s="340"/>
      <c r="B110" s="87"/>
      <c r="C110" s="87"/>
      <c r="G110" s="92"/>
    </row>
    <row r="111" spans="1:7" x14ac:dyDescent="0.25">
      <c r="A111" s="340"/>
      <c r="B111" s="87"/>
      <c r="C111" s="87"/>
      <c r="G111" s="92"/>
    </row>
    <row r="112" spans="1:7" x14ac:dyDescent="0.25">
      <c r="A112" s="340"/>
      <c r="B112" s="87"/>
      <c r="C112" s="87"/>
      <c r="D112" s="108"/>
      <c r="E112" s="19"/>
      <c r="F112" s="94"/>
      <c r="G112" s="92"/>
    </row>
    <row r="113" spans="1:7" x14ac:dyDescent="0.25">
      <c r="A113" s="340"/>
      <c r="B113" s="87"/>
      <c r="C113" s="87"/>
      <c r="D113" s="19"/>
      <c r="E113" s="19"/>
      <c r="F113" s="19"/>
      <c r="G113" s="92"/>
    </row>
    <row r="114" spans="1:7" x14ac:dyDescent="0.25">
      <c r="A114" s="340"/>
      <c r="B114" s="87"/>
      <c r="C114" s="87"/>
      <c r="D114" s="19"/>
      <c r="E114" s="19"/>
      <c r="F114" s="94"/>
      <c r="G114" s="92"/>
    </row>
  </sheetData>
  <mergeCells count="14">
    <mergeCell ref="A29:N29"/>
    <mergeCell ref="B1:B2"/>
    <mergeCell ref="A1:A2"/>
    <mergeCell ref="C1:F1"/>
    <mergeCell ref="G1:J1"/>
    <mergeCell ref="K1:N1"/>
    <mergeCell ref="A21:N21"/>
    <mergeCell ref="A23:N23"/>
    <mergeCell ref="A25:N25"/>
    <mergeCell ref="A3:N3"/>
    <mergeCell ref="A6:N6"/>
    <mergeCell ref="A9:N9"/>
    <mergeCell ref="A16:N16"/>
    <mergeCell ref="A18:N18"/>
  </mergeCells>
  <pageMargins left="0.7" right="0.7" top="0.75" bottom="0.75"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65"/>
  <sheetViews>
    <sheetView topLeftCell="A16" workbookViewId="0">
      <selection activeCell="L54" sqref="L54"/>
    </sheetView>
  </sheetViews>
  <sheetFormatPr defaultRowHeight="12.5" x14ac:dyDescent="0.25"/>
  <cols>
    <col min="2" max="2" width="34.453125" customWidth="1"/>
    <col min="8" max="8" width="11" bestFit="1" customWidth="1"/>
    <col min="10" max="10" width="14.36328125" style="63" customWidth="1"/>
    <col min="11" max="11" width="12.90625" bestFit="1" customWidth="1"/>
  </cols>
  <sheetData>
    <row r="1" spans="1:11" ht="26" x14ac:dyDescent="0.35">
      <c r="A1" s="164" t="s">
        <v>11</v>
      </c>
      <c r="B1" s="164" t="s">
        <v>392</v>
      </c>
      <c r="C1" s="158" t="s">
        <v>151</v>
      </c>
      <c r="D1" s="164" t="s">
        <v>153</v>
      </c>
      <c r="E1" s="158" t="s">
        <v>157</v>
      </c>
      <c r="F1" s="233" t="s">
        <v>390</v>
      </c>
      <c r="G1" s="158" t="s">
        <v>391</v>
      </c>
      <c r="H1" s="467" t="s">
        <v>389</v>
      </c>
      <c r="I1" s="164" t="s">
        <v>480</v>
      </c>
      <c r="J1" s="613" t="s">
        <v>875</v>
      </c>
      <c r="K1" s="610" t="s">
        <v>876</v>
      </c>
    </row>
    <row r="2" spans="1:11" ht="14" x14ac:dyDescent="0.3">
      <c r="A2" s="866"/>
      <c r="B2" s="867"/>
      <c r="C2" s="861" t="s">
        <v>268</v>
      </c>
      <c r="D2" s="861"/>
      <c r="E2" s="861"/>
      <c r="F2" s="861"/>
      <c r="G2" s="861"/>
      <c r="H2" s="824"/>
      <c r="I2" s="463"/>
      <c r="J2" s="330"/>
      <c r="K2" s="56"/>
    </row>
    <row r="3" spans="1:11" x14ac:dyDescent="0.25">
      <c r="A3" s="855" t="s">
        <v>741</v>
      </c>
      <c r="B3" s="858" t="s">
        <v>863</v>
      </c>
      <c r="C3" s="219">
        <v>41102</v>
      </c>
      <c r="D3" s="231">
        <v>0.4375</v>
      </c>
      <c r="E3" s="228">
        <v>7.12</v>
      </c>
      <c r="F3" s="228">
        <v>16.3</v>
      </c>
      <c r="G3" s="228">
        <v>8</v>
      </c>
      <c r="H3" s="461">
        <v>5.3999999999999999E-2</v>
      </c>
      <c r="I3" s="330">
        <v>20</v>
      </c>
      <c r="J3" s="611">
        <v>0.05</v>
      </c>
      <c r="K3" s="98" t="s">
        <v>877</v>
      </c>
    </row>
    <row r="4" spans="1:11" x14ac:dyDescent="0.25">
      <c r="A4" s="856"/>
      <c r="B4" s="859"/>
      <c r="C4" s="219">
        <v>41130</v>
      </c>
      <c r="D4" s="231">
        <v>0.43888888888888888</v>
      </c>
      <c r="E4" s="228">
        <v>7.53</v>
      </c>
      <c r="F4" s="228">
        <v>14.9</v>
      </c>
      <c r="G4" s="228">
        <v>8.65</v>
      </c>
      <c r="H4" s="461">
        <v>4.8000000000000001E-2</v>
      </c>
      <c r="I4" s="330">
        <v>18</v>
      </c>
      <c r="J4" s="611">
        <v>0.15</v>
      </c>
      <c r="K4" s="98" t="s">
        <v>877</v>
      </c>
    </row>
    <row r="5" spans="1:11" x14ac:dyDescent="0.25">
      <c r="A5" s="856"/>
      <c r="B5" s="859"/>
      <c r="C5" s="219">
        <v>41158</v>
      </c>
      <c r="D5" s="231">
        <v>0.48749999999999999</v>
      </c>
      <c r="E5" s="330">
        <v>7.61</v>
      </c>
      <c r="F5" s="330">
        <v>13.4</v>
      </c>
      <c r="G5" s="565">
        <v>8.5500000000000007</v>
      </c>
      <c r="H5" s="330">
        <v>4.5999999999999999E-2</v>
      </c>
      <c r="I5" s="330">
        <v>17.100000000000001</v>
      </c>
      <c r="J5" s="611">
        <v>0.05</v>
      </c>
      <c r="K5" s="98" t="s">
        <v>877</v>
      </c>
    </row>
    <row r="6" spans="1:11" x14ac:dyDescent="0.25">
      <c r="A6" s="857"/>
      <c r="B6" s="860"/>
      <c r="C6" s="623">
        <v>41166</v>
      </c>
      <c r="D6" s="459">
        <v>0.45416666666666666</v>
      </c>
      <c r="E6" s="330">
        <v>7.64</v>
      </c>
      <c r="F6" s="330">
        <v>10.6</v>
      </c>
      <c r="G6" s="330">
        <v>9.61</v>
      </c>
      <c r="H6" s="330">
        <v>4.9000000000000002E-2</v>
      </c>
      <c r="I6" s="330"/>
      <c r="J6" s="330"/>
      <c r="K6" s="330"/>
    </row>
    <row r="7" spans="1:11" x14ac:dyDescent="0.25">
      <c r="A7" s="855" t="s">
        <v>269</v>
      </c>
      <c r="B7" s="858" t="s">
        <v>880</v>
      </c>
      <c r="C7" s="219">
        <v>41102</v>
      </c>
      <c r="D7" s="231">
        <v>0.45</v>
      </c>
      <c r="E7" s="228">
        <v>7.36</v>
      </c>
      <c r="F7" s="228">
        <v>16.2</v>
      </c>
      <c r="G7" s="228">
        <v>7.84</v>
      </c>
      <c r="H7" s="461">
        <v>6.0999999999999999E-2</v>
      </c>
      <c r="I7" s="330">
        <v>19</v>
      </c>
      <c r="J7" s="611">
        <v>0.15</v>
      </c>
      <c r="K7" s="98" t="s">
        <v>877</v>
      </c>
    </row>
    <row r="8" spans="1:11" x14ac:dyDescent="0.25">
      <c r="A8" s="856"/>
      <c r="B8" s="859"/>
      <c r="C8" s="219">
        <v>41130</v>
      </c>
      <c r="D8" s="231">
        <v>0.4291666666666667</v>
      </c>
      <c r="E8" s="228">
        <v>7.62</v>
      </c>
      <c r="F8" s="228">
        <v>14.3</v>
      </c>
      <c r="G8" s="228">
        <v>8.59</v>
      </c>
      <c r="H8" s="461">
        <v>5.1999999999999998E-2</v>
      </c>
      <c r="I8" s="330">
        <v>18</v>
      </c>
      <c r="J8" s="611">
        <v>0.2</v>
      </c>
      <c r="K8" s="98" t="s">
        <v>877</v>
      </c>
    </row>
    <row r="9" spans="1:11" x14ac:dyDescent="0.25">
      <c r="A9" s="856"/>
      <c r="B9" s="859"/>
      <c r="C9" s="219">
        <v>41158</v>
      </c>
      <c r="D9" s="231">
        <v>0.47361111111111115</v>
      </c>
      <c r="E9" s="228">
        <v>7.83</v>
      </c>
      <c r="F9" s="228">
        <v>12.7</v>
      </c>
      <c r="G9" s="228">
        <v>9.2899999999999991</v>
      </c>
      <c r="H9" s="461">
        <v>5.3999999999999999E-2</v>
      </c>
      <c r="I9" s="330">
        <v>11.8</v>
      </c>
      <c r="J9" s="611">
        <v>0.3</v>
      </c>
      <c r="K9" s="98" t="s">
        <v>877</v>
      </c>
    </row>
    <row r="10" spans="1:11" x14ac:dyDescent="0.25">
      <c r="A10" s="857"/>
      <c r="B10" s="860"/>
      <c r="C10" s="623">
        <v>41166</v>
      </c>
      <c r="D10" s="231">
        <v>0.43124999999999997</v>
      </c>
      <c r="E10" s="330">
        <v>7.62</v>
      </c>
      <c r="F10" s="330">
        <v>9.1999999999999993</v>
      </c>
      <c r="G10" s="330">
        <v>10.69</v>
      </c>
      <c r="H10" s="330">
        <v>5.3999999999999999E-2</v>
      </c>
      <c r="I10" s="330"/>
      <c r="J10" s="330"/>
      <c r="K10" s="330"/>
    </row>
    <row r="11" spans="1:11" ht="14" x14ac:dyDescent="0.3">
      <c r="A11" s="866"/>
      <c r="B11" s="867"/>
      <c r="C11" s="868" t="s">
        <v>272</v>
      </c>
      <c r="D11" s="868"/>
      <c r="E11" s="868"/>
      <c r="F11" s="868"/>
      <c r="G11" s="868"/>
      <c r="H11" s="869"/>
      <c r="I11" s="462"/>
      <c r="J11" s="330"/>
      <c r="K11" s="56"/>
    </row>
    <row r="12" spans="1:11" x14ac:dyDescent="0.25">
      <c r="A12" s="855" t="s">
        <v>187</v>
      </c>
      <c r="B12" s="858" t="s">
        <v>385</v>
      </c>
      <c r="C12" s="219">
        <v>41102</v>
      </c>
      <c r="D12" s="231">
        <v>6.9444444444444434E-2</v>
      </c>
      <c r="E12" s="228">
        <v>7.54</v>
      </c>
      <c r="F12" s="228">
        <v>18.8</v>
      </c>
      <c r="G12" s="228">
        <v>7.65</v>
      </c>
      <c r="H12" s="461">
        <v>8.2000000000000003E-2</v>
      </c>
      <c r="I12" s="330">
        <v>18</v>
      </c>
      <c r="J12" s="611">
        <v>0.2</v>
      </c>
      <c r="K12" s="98" t="s">
        <v>878</v>
      </c>
    </row>
    <row r="13" spans="1:11" x14ac:dyDescent="0.25">
      <c r="A13" s="856"/>
      <c r="B13" s="859"/>
      <c r="C13" s="219">
        <v>41130</v>
      </c>
      <c r="D13" s="231">
        <v>0.4236111111111111</v>
      </c>
      <c r="E13" s="228">
        <v>7.82</v>
      </c>
      <c r="F13" s="228">
        <v>18.899999999999999</v>
      </c>
      <c r="G13" s="228">
        <v>7.41</v>
      </c>
      <c r="H13" s="461">
        <v>6.0999999999999999E-2</v>
      </c>
      <c r="I13" s="330">
        <v>22</v>
      </c>
      <c r="J13" s="611">
        <v>0.2</v>
      </c>
      <c r="K13" s="98" t="s">
        <v>878</v>
      </c>
    </row>
    <row r="14" spans="1:11" x14ac:dyDescent="0.25">
      <c r="A14" s="856"/>
      <c r="B14" s="859"/>
      <c r="C14" s="219">
        <v>41158</v>
      </c>
      <c r="D14" s="231">
        <v>0.46180555555555558</v>
      </c>
      <c r="E14" s="330">
        <v>7.34</v>
      </c>
      <c r="F14" s="330">
        <v>17.5</v>
      </c>
      <c r="G14" s="330">
        <v>7.32</v>
      </c>
      <c r="H14" s="565">
        <v>6.4000000000000001E-2</v>
      </c>
      <c r="I14" s="330">
        <v>11.7</v>
      </c>
      <c r="J14" s="611">
        <v>0.2</v>
      </c>
      <c r="K14" s="98" t="s">
        <v>878</v>
      </c>
    </row>
    <row r="15" spans="1:11" x14ac:dyDescent="0.25">
      <c r="A15" s="857"/>
      <c r="B15" s="860"/>
      <c r="C15" s="219">
        <v>41165</v>
      </c>
      <c r="D15" s="231">
        <v>6.9444444444444434E-2</v>
      </c>
      <c r="E15" s="228">
        <v>7.62</v>
      </c>
      <c r="F15" s="228">
        <v>16.899999999999999</v>
      </c>
      <c r="G15" s="228">
        <v>7.55</v>
      </c>
      <c r="H15" s="461">
        <v>6.8000000000000005E-2</v>
      </c>
      <c r="I15" s="330"/>
      <c r="J15" s="611"/>
      <c r="K15" s="98"/>
    </row>
    <row r="16" spans="1:11" x14ac:dyDescent="0.25">
      <c r="A16" s="855" t="s">
        <v>256</v>
      </c>
      <c r="B16" s="858" t="s">
        <v>274</v>
      </c>
      <c r="C16" s="219">
        <v>41102</v>
      </c>
      <c r="D16" s="231">
        <v>6.25E-2</v>
      </c>
      <c r="E16" s="228">
        <v>7.94</v>
      </c>
      <c r="F16" s="228">
        <v>22.2</v>
      </c>
      <c r="G16" s="228">
        <v>6.92</v>
      </c>
      <c r="H16" s="461">
        <v>0.106</v>
      </c>
      <c r="I16" s="330">
        <v>18</v>
      </c>
      <c r="J16" s="611">
        <v>0.2</v>
      </c>
      <c r="K16" s="98" t="s">
        <v>878</v>
      </c>
    </row>
    <row r="17" spans="1:11" x14ac:dyDescent="0.25">
      <c r="A17" s="856"/>
      <c r="B17" s="859"/>
      <c r="C17" s="219">
        <v>41130</v>
      </c>
      <c r="D17" s="231">
        <v>0.41805555555555557</v>
      </c>
      <c r="E17" s="330">
        <v>7.81</v>
      </c>
      <c r="F17" s="330">
        <v>18.3</v>
      </c>
      <c r="G17" s="330">
        <v>76</v>
      </c>
      <c r="H17" s="330">
        <v>7.9000000000000001E-2</v>
      </c>
      <c r="I17" s="330">
        <v>20</v>
      </c>
      <c r="J17" s="611">
        <v>0.2</v>
      </c>
      <c r="K17" s="98" t="s">
        <v>878</v>
      </c>
    </row>
    <row r="18" spans="1:11" x14ac:dyDescent="0.25">
      <c r="A18" s="856"/>
      <c r="B18" s="859"/>
      <c r="C18" s="219">
        <v>41158</v>
      </c>
      <c r="D18" s="231">
        <v>0.45</v>
      </c>
      <c r="E18" s="330">
        <v>7.5</v>
      </c>
      <c r="F18" s="330">
        <v>16.2</v>
      </c>
      <c r="G18" s="330">
        <v>8.0500000000000007</v>
      </c>
      <c r="H18" s="565">
        <v>9.0999999999999998E-2</v>
      </c>
      <c r="I18" s="330">
        <v>10.1</v>
      </c>
      <c r="J18" s="611">
        <v>0.2</v>
      </c>
      <c r="K18" s="98" t="s">
        <v>877</v>
      </c>
    </row>
    <row r="19" spans="1:11" x14ac:dyDescent="0.25">
      <c r="A19" s="857"/>
      <c r="B19" s="860"/>
      <c r="C19" s="219">
        <v>41165</v>
      </c>
      <c r="D19" s="231">
        <v>5.2083333333333336E-2</v>
      </c>
      <c r="E19" s="228">
        <v>7.88</v>
      </c>
      <c r="F19" s="228">
        <v>17.100000000000001</v>
      </c>
      <c r="G19" s="228">
        <v>7.81</v>
      </c>
      <c r="H19" s="461">
        <v>0.08</v>
      </c>
      <c r="I19" s="330"/>
      <c r="J19" s="611"/>
      <c r="K19" s="98"/>
    </row>
    <row r="20" spans="1:11" x14ac:dyDescent="0.25">
      <c r="A20" s="855" t="s">
        <v>257</v>
      </c>
      <c r="B20" s="858" t="s">
        <v>275</v>
      </c>
      <c r="C20" s="219">
        <v>41102</v>
      </c>
      <c r="D20" s="232">
        <v>5.2777777777777778E-2</v>
      </c>
      <c r="E20" s="228">
        <v>7.96</v>
      </c>
      <c r="F20" s="228">
        <v>21.6</v>
      </c>
      <c r="G20" s="228">
        <v>7.2</v>
      </c>
      <c r="H20" s="461">
        <v>0.13400000000000001</v>
      </c>
      <c r="I20" s="330">
        <v>20</v>
      </c>
      <c r="J20" s="611">
        <v>0.2</v>
      </c>
      <c r="K20" s="98" t="s">
        <v>878</v>
      </c>
    </row>
    <row r="21" spans="1:11" x14ac:dyDescent="0.25">
      <c r="A21" s="856"/>
      <c r="B21" s="859"/>
      <c r="C21" s="219">
        <v>41130</v>
      </c>
      <c r="D21" s="231">
        <v>0.40833333333333338</v>
      </c>
      <c r="E21" s="228">
        <v>8.07</v>
      </c>
      <c r="F21" s="228">
        <v>16.7</v>
      </c>
      <c r="G21" s="228">
        <v>8.6300000000000008</v>
      </c>
      <c r="H21" s="461">
        <v>8.1000000000000003E-2</v>
      </c>
      <c r="I21" s="330">
        <v>20</v>
      </c>
      <c r="J21" s="611">
        <v>0.2</v>
      </c>
      <c r="K21" s="98" t="s">
        <v>878</v>
      </c>
    </row>
    <row r="22" spans="1:11" x14ac:dyDescent="0.25">
      <c r="A22" s="856"/>
      <c r="B22" s="859"/>
      <c r="C22" s="219">
        <v>41158</v>
      </c>
      <c r="D22" s="231">
        <v>0.4375</v>
      </c>
      <c r="E22" s="228">
        <v>7.86</v>
      </c>
      <c r="F22" s="228">
        <v>13.8</v>
      </c>
      <c r="G22" s="228">
        <v>9.06</v>
      </c>
      <c r="H22" s="461">
        <v>9.4E-2</v>
      </c>
      <c r="I22" s="330">
        <v>11.3</v>
      </c>
      <c r="J22" s="611">
        <v>0.1</v>
      </c>
      <c r="K22" s="98" t="s">
        <v>877</v>
      </c>
    </row>
    <row r="23" spans="1:11" x14ac:dyDescent="0.25">
      <c r="A23" s="857"/>
      <c r="B23" s="860"/>
      <c r="C23" s="623">
        <v>41165</v>
      </c>
      <c r="D23" s="231">
        <v>0.53125</v>
      </c>
      <c r="E23" s="330">
        <v>7.9</v>
      </c>
      <c r="F23" s="330">
        <v>15.3</v>
      </c>
      <c r="G23" s="330">
        <v>8.31</v>
      </c>
      <c r="H23" s="330">
        <v>0.105</v>
      </c>
      <c r="I23" s="330"/>
      <c r="J23" s="330"/>
      <c r="K23" s="330"/>
    </row>
    <row r="24" spans="1:11" x14ac:dyDescent="0.25">
      <c r="A24" s="855" t="s">
        <v>258</v>
      </c>
      <c r="B24" s="858" t="s">
        <v>276</v>
      </c>
      <c r="C24" s="219">
        <v>41102</v>
      </c>
      <c r="D24" s="231">
        <v>4.1666666666666664E-2</v>
      </c>
      <c r="E24" s="228">
        <v>7.61</v>
      </c>
      <c r="F24" s="228">
        <v>20.6</v>
      </c>
      <c r="G24" s="228">
        <v>7.26</v>
      </c>
      <c r="H24" s="461">
        <v>0.14399999999999999</v>
      </c>
      <c r="I24" s="330">
        <v>22</v>
      </c>
      <c r="J24" s="611">
        <v>0.2</v>
      </c>
      <c r="K24" s="98" t="s">
        <v>878</v>
      </c>
    </row>
    <row r="25" spans="1:11" x14ac:dyDescent="0.25">
      <c r="A25" s="856"/>
      <c r="B25" s="859"/>
      <c r="C25" s="219">
        <v>41130</v>
      </c>
      <c r="D25" s="231">
        <v>0.37847222222222227</v>
      </c>
      <c r="E25" s="228">
        <v>7.49</v>
      </c>
      <c r="F25" s="228">
        <v>15.2</v>
      </c>
      <c r="G25" s="228">
        <v>8.4499999999999993</v>
      </c>
      <c r="H25" s="461">
        <v>0.104</v>
      </c>
      <c r="I25" s="330">
        <v>20</v>
      </c>
      <c r="J25" s="611">
        <v>0.2</v>
      </c>
      <c r="K25" s="98" t="s">
        <v>877</v>
      </c>
    </row>
    <row r="26" spans="1:11" x14ac:dyDescent="0.25">
      <c r="A26" s="856"/>
      <c r="B26" s="859"/>
      <c r="C26" s="219">
        <v>41158</v>
      </c>
      <c r="D26" s="231">
        <v>0.40486111111111112</v>
      </c>
      <c r="E26" s="228">
        <v>8.01</v>
      </c>
      <c r="F26" s="228">
        <v>12.8</v>
      </c>
      <c r="G26" s="228">
        <v>8.7799999999999994</v>
      </c>
      <c r="H26" s="461">
        <v>0.13200000000000001</v>
      </c>
      <c r="I26" s="330">
        <v>6.9</v>
      </c>
      <c r="J26" s="611">
        <v>0.1</v>
      </c>
      <c r="K26" s="98" t="s">
        <v>877</v>
      </c>
    </row>
    <row r="27" spans="1:11" x14ac:dyDescent="0.25">
      <c r="A27" s="857"/>
      <c r="B27" s="860"/>
      <c r="C27" s="219">
        <v>41165</v>
      </c>
      <c r="D27" s="231">
        <v>0.52083333333333337</v>
      </c>
      <c r="E27" s="330">
        <v>7.84</v>
      </c>
      <c r="F27" s="330">
        <v>15.2</v>
      </c>
      <c r="G27" s="330">
        <v>8.48</v>
      </c>
      <c r="H27" s="330">
        <v>9.9000000000000005E-2</v>
      </c>
      <c r="I27" s="56"/>
      <c r="J27" s="330"/>
      <c r="K27" s="56"/>
    </row>
    <row r="28" spans="1:11" x14ac:dyDescent="0.25">
      <c r="A28" s="855" t="s">
        <v>259</v>
      </c>
      <c r="B28" s="858" t="s">
        <v>277</v>
      </c>
      <c r="C28" s="219">
        <v>41102</v>
      </c>
      <c r="D28" s="231">
        <v>0.52847222222222223</v>
      </c>
      <c r="E28" s="228">
        <v>7.81</v>
      </c>
      <c r="F28" s="228">
        <v>20.9</v>
      </c>
      <c r="G28" s="228">
        <v>7.13</v>
      </c>
      <c r="H28" s="461">
        <v>0.161</v>
      </c>
      <c r="I28" s="330">
        <v>20</v>
      </c>
      <c r="J28" s="611">
        <v>0.3</v>
      </c>
      <c r="K28" s="98" t="s">
        <v>878</v>
      </c>
    </row>
    <row r="29" spans="1:11" x14ac:dyDescent="0.25">
      <c r="A29" s="856"/>
      <c r="B29" s="859"/>
      <c r="C29" s="219">
        <v>41130</v>
      </c>
      <c r="D29" s="231">
        <v>0.37083333333333335</v>
      </c>
      <c r="E29" s="228">
        <v>7.68</v>
      </c>
      <c r="F29" s="228">
        <v>14.9</v>
      </c>
      <c r="G29" s="228">
        <v>9.06</v>
      </c>
      <c r="H29" s="461">
        <v>9.4E-2</v>
      </c>
      <c r="I29" s="330">
        <v>20</v>
      </c>
      <c r="J29" s="611">
        <v>0.2</v>
      </c>
      <c r="K29" s="98" t="s">
        <v>877</v>
      </c>
    </row>
    <row r="30" spans="1:11" x14ac:dyDescent="0.25">
      <c r="A30" s="856"/>
      <c r="B30" s="859"/>
      <c r="C30" s="623">
        <v>41158</v>
      </c>
      <c r="D30" s="231">
        <v>0.38680555555555557</v>
      </c>
      <c r="E30" s="330">
        <v>8.23</v>
      </c>
      <c r="F30" s="330">
        <v>11.7</v>
      </c>
      <c r="G30" s="330">
        <v>9.2899999999999991</v>
      </c>
      <c r="H30" s="330">
        <v>0.16700000000000001</v>
      </c>
      <c r="I30" s="330">
        <v>6.2</v>
      </c>
      <c r="J30" s="611">
        <v>0.2</v>
      </c>
      <c r="K30" s="320" t="s">
        <v>877</v>
      </c>
    </row>
    <row r="31" spans="1:11" x14ac:dyDescent="0.25">
      <c r="A31" s="857"/>
      <c r="B31" s="860"/>
      <c r="C31" s="623">
        <v>41165</v>
      </c>
      <c r="D31" s="231">
        <v>0.5</v>
      </c>
      <c r="E31" s="330">
        <v>7.65</v>
      </c>
      <c r="F31" s="330">
        <v>14.8</v>
      </c>
      <c r="G31" s="330">
        <v>8.4499999999999993</v>
      </c>
      <c r="H31" s="330">
        <v>0.104</v>
      </c>
      <c r="I31" s="330"/>
      <c r="J31" s="330"/>
      <c r="K31" s="330"/>
    </row>
    <row r="32" spans="1:11" x14ac:dyDescent="0.25">
      <c r="A32" s="855" t="s">
        <v>260</v>
      </c>
      <c r="B32" s="858" t="s">
        <v>386</v>
      </c>
      <c r="C32" s="219">
        <v>41102</v>
      </c>
      <c r="D32" s="231">
        <v>0.51736111111111105</v>
      </c>
      <c r="E32" s="228">
        <v>7.84</v>
      </c>
      <c r="F32" s="228">
        <v>19.5</v>
      </c>
      <c r="G32" s="228">
        <v>7.75</v>
      </c>
      <c r="H32" s="461">
        <v>0.14199999999999999</v>
      </c>
      <c r="I32" s="330">
        <v>18</v>
      </c>
      <c r="J32" s="611">
        <v>0.3</v>
      </c>
      <c r="K32" s="98" t="s">
        <v>878</v>
      </c>
    </row>
    <row r="33" spans="1:11" x14ac:dyDescent="0.25">
      <c r="A33" s="856"/>
      <c r="B33" s="859"/>
      <c r="C33" s="219">
        <v>41130</v>
      </c>
      <c r="D33" s="231">
        <v>0.35972222222222222</v>
      </c>
      <c r="E33" s="228">
        <v>7.33</v>
      </c>
      <c r="F33" s="228">
        <v>15.6</v>
      </c>
      <c r="G33" s="228">
        <v>8.64</v>
      </c>
      <c r="H33" s="461">
        <v>9.8000000000000004E-2</v>
      </c>
      <c r="I33" s="330">
        <v>18</v>
      </c>
      <c r="J33" s="611">
        <v>0.2</v>
      </c>
      <c r="K33" s="98" t="s">
        <v>878</v>
      </c>
    </row>
    <row r="34" spans="1:11" x14ac:dyDescent="0.25">
      <c r="A34" s="856"/>
      <c r="B34" s="859"/>
      <c r="C34" s="219">
        <v>41158</v>
      </c>
      <c r="D34" s="231">
        <v>0.3666666666666667</v>
      </c>
      <c r="E34" s="228">
        <v>8.33</v>
      </c>
      <c r="F34" s="228">
        <v>11.8</v>
      </c>
      <c r="G34" s="228">
        <v>9.57</v>
      </c>
      <c r="H34" s="461">
        <v>0.121</v>
      </c>
      <c r="I34" s="330">
        <v>7.8</v>
      </c>
      <c r="J34" s="611">
        <v>0.25</v>
      </c>
      <c r="K34" s="98" t="s">
        <v>877</v>
      </c>
    </row>
    <row r="35" spans="1:11" x14ac:dyDescent="0.25">
      <c r="A35" s="857"/>
      <c r="B35" s="860"/>
      <c r="C35" s="622">
        <v>41165</v>
      </c>
      <c r="D35" s="231">
        <v>0.45833333333333331</v>
      </c>
      <c r="E35" s="474">
        <v>7.38</v>
      </c>
      <c r="F35" s="474">
        <v>13.7</v>
      </c>
      <c r="G35" s="474">
        <v>8.77</v>
      </c>
      <c r="H35" s="474">
        <v>0.108</v>
      </c>
      <c r="I35" s="56"/>
      <c r="J35" s="330"/>
      <c r="K35" s="56"/>
    </row>
    <row r="36" spans="1:11" ht="14" x14ac:dyDescent="0.3">
      <c r="A36" s="866"/>
      <c r="B36" s="867"/>
      <c r="C36" s="861" t="s">
        <v>279</v>
      </c>
      <c r="D36" s="861"/>
      <c r="E36" s="861"/>
      <c r="F36" s="861"/>
      <c r="G36" s="861"/>
      <c r="H36" s="824"/>
      <c r="I36" s="463"/>
      <c r="J36" s="330"/>
      <c r="K36" s="56"/>
    </row>
    <row r="37" spans="1:11" x14ac:dyDescent="0.25">
      <c r="A37" s="855" t="s">
        <v>263</v>
      </c>
      <c r="B37" s="858" t="s">
        <v>280</v>
      </c>
      <c r="C37" s="219">
        <v>41102</v>
      </c>
      <c r="D37" s="231">
        <v>0.42777777777777781</v>
      </c>
      <c r="E37" s="228">
        <v>7.64</v>
      </c>
      <c r="F37" s="228">
        <v>14.6</v>
      </c>
      <c r="G37" s="228">
        <v>7.81</v>
      </c>
      <c r="H37" s="461">
        <v>7.6999999999999999E-2</v>
      </c>
      <c r="I37" s="330">
        <v>1.5</v>
      </c>
      <c r="J37" s="612">
        <v>0.05</v>
      </c>
      <c r="K37" s="98" t="s">
        <v>877</v>
      </c>
    </row>
    <row r="38" spans="1:11" x14ac:dyDescent="0.25">
      <c r="A38" s="856"/>
      <c r="B38" s="859"/>
      <c r="C38" s="219">
        <v>41130</v>
      </c>
      <c r="D38" s="231">
        <v>0.4465277777777778</v>
      </c>
      <c r="E38" s="228">
        <v>7.4</v>
      </c>
      <c r="F38" s="228">
        <v>15</v>
      </c>
      <c r="G38" s="228">
        <v>8.07</v>
      </c>
      <c r="H38" s="461">
        <v>7.4999999999999997E-2</v>
      </c>
      <c r="I38" s="330">
        <v>3</v>
      </c>
      <c r="J38" s="611">
        <v>0.15</v>
      </c>
      <c r="K38" s="98" t="s">
        <v>877</v>
      </c>
    </row>
    <row r="39" spans="1:11" x14ac:dyDescent="0.25">
      <c r="A39" s="857"/>
      <c r="B39" s="860"/>
      <c r="C39" s="219">
        <v>41158</v>
      </c>
      <c r="D39" s="231">
        <v>0.49305555555555558</v>
      </c>
      <c r="E39" s="228">
        <v>7.9</v>
      </c>
      <c r="F39" s="228">
        <v>13</v>
      </c>
      <c r="G39" s="228">
        <v>8.59</v>
      </c>
      <c r="H39" s="461">
        <v>7.1999999999999995E-2</v>
      </c>
      <c r="I39" s="330">
        <v>1.25</v>
      </c>
      <c r="J39" s="611">
        <v>0.1</v>
      </c>
      <c r="K39" s="98" t="s">
        <v>877</v>
      </c>
    </row>
    <row r="40" spans="1:11" ht="14" x14ac:dyDescent="0.3">
      <c r="A40" s="866"/>
      <c r="B40" s="867"/>
      <c r="C40" s="861" t="s">
        <v>281</v>
      </c>
      <c r="D40" s="861"/>
      <c r="E40" s="861"/>
      <c r="F40" s="861"/>
      <c r="G40" s="861"/>
      <c r="H40" s="824"/>
      <c r="I40" s="463"/>
      <c r="J40" s="330"/>
      <c r="K40" s="56"/>
    </row>
    <row r="41" spans="1:11" x14ac:dyDescent="0.25">
      <c r="A41" s="855" t="s">
        <v>264</v>
      </c>
      <c r="B41" s="858" t="s">
        <v>283</v>
      </c>
      <c r="C41" s="219">
        <v>41102</v>
      </c>
      <c r="D41" s="231">
        <v>0.46875</v>
      </c>
      <c r="E41" s="228">
        <v>7.84</v>
      </c>
      <c r="F41" s="228">
        <v>19.5</v>
      </c>
      <c r="G41" s="228">
        <v>7.75</v>
      </c>
      <c r="H41" s="461">
        <v>0.14199999999999999</v>
      </c>
      <c r="I41" s="330">
        <v>18</v>
      </c>
      <c r="J41" s="611">
        <v>0.3</v>
      </c>
      <c r="K41" s="98" t="s">
        <v>878</v>
      </c>
    </row>
    <row r="42" spans="1:11" x14ac:dyDescent="0.25">
      <c r="A42" s="856"/>
      <c r="B42" s="859"/>
      <c r="C42" s="219">
        <v>41130</v>
      </c>
      <c r="D42" s="231">
        <v>0.49374999999999997</v>
      </c>
      <c r="E42" s="228">
        <v>8.0399999999999991</v>
      </c>
      <c r="F42" s="228">
        <v>14.3</v>
      </c>
      <c r="G42" s="228">
        <v>8.32</v>
      </c>
      <c r="H42" s="461">
        <v>0.14699999999999999</v>
      </c>
      <c r="I42" s="330">
        <v>0.05</v>
      </c>
      <c r="J42" s="611">
        <v>0.05</v>
      </c>
      <c r="K42" s="98" t="s">
        <v>877</v>
      </c>
    </row>
    <row r="43" spans="1:11" x14ac:dyDescent="0.25">
      <c r="A43" s="857"/>
      <c r="B43" s="860"/>
      <c r="C43" s="219">
        <v>41158</v>
      </c>
      <c r="D43" s="231">
        <v>4.3750000000000004E-2</v>
      </c>
      <c r="E43" s="228">
        <v>7.77</v>
      </c>
      <c r="F43" s="228">
        <v>11.7</v>
      </c>
      <c r="G43" s="228">
        <v>9.19</v>
      </c>
      <c r="H43" s="461">
        <v>0.13100000000000001</v>
      </c>
      <c r="I43" s="330">
        <v>0.2</v>
      </c>
      <c r="J43" s="611">
        <v>0.05</v>
      </c>
      <c r="K43" s="98" t="s">
        <v>877</v>
      </c>
    </row>
    <row r="44" spans="1:11" x14ac:dyDescent="0.25">
      <c r="A44" s="863" t="s">
        <v>265</v>
      </c>
      <c r="B44" s="858" t="s">
        <v>282</v>
      </c>
      <c r="C44" s="219">
        <v>41102</v>
      </c>
      <c r="D44" s="231">
        <v>0.4604166666666667</v>
      </c>
      <c r="E44" s="228">
        <v>7.55</v>
      </c>
      <c r="F44" s="228">
        <v>10</v>
      </c>
      <c r="G44" s="228">
        <v>8.2200000000000006</v>
      </c>
      <c r="H44" s="461">
        <v>0.26300000000000001</v>
      </c>
      <c r="I44" s="330">
        <v>2.5</v>
      </c>
      <c r="J44" s="611">
        <v>0.05</v>
      </c>
      <c r="K44" s="98" t="s">
        <v>877</v>
      </c>
    </row>
    <row r="45" spans="1:11" x14ac:dyDescent="0.25">
      <c r="A45" s="863"/>
      <c r="B45" s="859"/>
      <c r="C45" s="219">
        <v>41130</v>
      </c>
      <c r="D45" s="231">
        <v>0.4861111111111111</v>
      </c>
      <c r="E45" s="330">
        <v>8.23</v>
      </c>
      <c r="F45" s="330">
        <v>16.2</v>
      </c>
      <c r="G45" s="330">
        <v>8.59</v>
      </c>
      <c r="H45" s="565">
        <v>0.249</v>
      </c>
      <c r="I45" s="330">
        <v>1.5</v>
      </c>
      <c r="J45" s="611">
        <v>0.15</v>
      </c>
      <c r="K45" s="98" t="s">
        <v>877</v>
      </c>
    </row>
    <row r="46" spans="1:11" x14ac:dyDescent="0.25">
      <c r="A46" s="863"/>
      <c r="B46" s="860"/>
      <c r="C46" s="219">
        <v>41158</v>
      </c>
      <c r="D46" s="231">
        <v>0.53472222222222221</v>
      </c>
      <c r="E46" s="231">
        <v>7.8</v>
      </c>
      <c r="F46" s="330">
        <v>15.3</v>
      </c>
      <c r="G46" s="330">
        <v>7.37</v>
      </c>
      <c r="H46" s="330">
        <v>0.29099999999999998</v>
      </c>
      <c r="I46" s="330">
        <v>0.12</v>
      </c>
      <c r="J46" s="611">
        <v>0.25</v>
      </c>
      <c r="K46" s="98" t="s">
        <v>877</v>
      </c>
    </row>
    <row r="47" spans="1:11" ht="14" x14ac:dyDescent="0.3">
      <c r="A47" s="866"/>
      <c r="B47" s="867"/>
      <c r="C47" s="861" t="s">
        <v>284</v>
      </c>
      <c r="D47" s="861"/>
      <c r="E47" s="861"/>
      <c r="F47" s="861"/>
      <c r="G47" s="861"/>
      <c r="H47" s="824"/>
      <c r="I47" s="463"/>
      <c r="J47" s="330"/>
      <c r="K47" s="56"/>
    </row>
    <row r="48" spans="1:11" x14ac:dyDescent="0.25">
      <c r="A48" s="855" t="s">
        <v>261</v>
      </c>
      <c r="B48" s="858" t="s">
        <v>285</v>
      </c>
      <c r="C48" s="219">
        <v>41102</v>
      </c>
      <c r="D48" s="231">
        <v>0.50069444444444444</v>
      </c>
      <c r="E48" s="330">
        <v>7.27</v>
      </c>
      <c r="F48" s="330">
        <v>17.5</v>
      </c>
      <c r="G48" s="330">
        <v>6.67</v>
      </c>
      <c r="H48" s="565">
        <v>1.39</v>
      </c>
      <c r="I48" s="330">
        <v>0.01</v>
      </c>
      <c r="J48" s="611">
        <v>1</v>
      </c>
      <c r="K48" s="98" t="s">
        <v>879</v>
      </c>
    </row>
    <row r="49" spans="1:11" x14ac:dyDescent="0.25">
      <c r="A49" s="856"/>
      <c r="B49" s="859"/>
      <c r="C49" s="219">
        <v>41130</v>
      </c>
      <c r="D49" s="231">
        <v>0.51388888888888895</v>
      </c>
      <c r="E49" s="228">
        <v>7.33</v>
      </c>
      <c r="F49" s="228">
        <v>15.9</v>
      </c>
      <c r="G49" s="228">
        <v>4.1100000000000003</v>
      </c>
      <c r="H49" s="461">
        <v>1.32</v>
      </c>
      <c r="I49" s="330">
        <v>0</v>
      </c>
      <c r="J49" s="611">
        <v>1</v>
      </c>
      <c r="K49" s="98" t="s">
        <v>879</v>
      </c>
    </row>
    <row r="50" spans="1:11" x14ac:dyDescent="0.25">
      <c r="A50" s="857"/>
      <c r="B50" s="860"/>
      <c r="C50" s="219">
        <v>41158</v>
      </c>
      <c r="D50" s="231">
        <v>6.9444444444444434E-2</v>
      </c>
      <c r="E50" s="228">
        <v>8.66</v>
      </c>
      <c r="F50" s="228">
        <v>15.8</v>
      </c>
      <c r="G50" s="228">
        <v>13.2</v>
      </c>
      <c r="H50" s="461">
        <v>1.2</v>
      </c>
      <c r="I50" s="330">
        <v>0</v>
      </c>
      <c r="J50" s="611">
        <v>1</v>
      </c>
      <c r="K50" s="98" t="s">
        <v>879</v>
      </c>
    </row>
    <row r="51" spans="1:11" ht="14" x14ac:dyDescent="0.3">
      <c r="A51" s="866"/>
      <c r="B51" s="867"/>
      <c r="C51" s="861" t="s">
        <v>286</v>
      </c>
      <c r="D51" s="861"/>
      <c r="E51" s="861"/>
      <c r="F51" s="861"/>
      <c r="G51" s="861"/>
      <c r="H51" s="824"/>
      <c r="I51" s="463"/>
      <c r="J51" s="330"/>
      <c r="K51" s="56"/>
    </row>
    <row r="52" spans="1:11" x14ac:dyDescent="0.25">
      <c r="A52" s="855" t="s">
        <v>262</v>
      </c>
      <c r="B52" s="858" t="s">
        <v>287</v>
      </c>
      <c r="C52" s="219">
        <v>41102</v>
      </c>
      <c r="D52" s="231">
        <v>0.4909722222222222</v>
      </c>
      <c r="E52" s="228">
        <v>7.42</v>
      </c>
      <c r="F52" s="228">
        <v>15.9</v>
      </c>
      <c r="G52" s="228">
        <v>7.51</v>
      </c>
      <c r="H52" s="461">
        <v>0.71</v>
      </c>
      <c r="I52" s="330">
        <v>0.4</v>
      </c>
      <c r="J52" s="611">
        <v>0.9</v>
      </c>
      <c r="K52" s="98" t="s">
        <v>878</v>
      </c>
    </row>
    <row r="53" spans="1:11" x14ac:dyDescent="0.25">
      <c r="A53" s="856"/>
      <c r="B53" s="859"/>
      <c r="C53" s="219">
        <v>41130</v>
      </c>
      <c r="D53" s="231">
        <v>0.51944444444444449</v>
      </c>
      <c r="E53" s="228">
        <v>7.85</v>
      </c>
      <c r="F53" s="228">
        <v>14.7</v>
      </c>
      <c r="G53" s="228">
        <v>7.97</v>
      </c>
      <c r="H53" s="461">
        <v>0.73</v>
      </c>
      <c r="I53" s="330">
        <v>1</v>
      </c>
      <c r="J53" s="611">
        <v>1</v>
      </c>
      <c r="K53" s="98" t="s">
        <v>877</v>
      </c>
    </row>
    <row r="54" spans="1:11" x14ac:dyDescent="0.25">
      <c r="A54" s="857"/>
      <c r="B54" s="860"/>
      <c r="C54" s="219">
        <v>41158</v>
      </c>
      <c r="D54" s="231">
        <v>6.0416666666666667E-2</v>
      </c>
      <c r="E54" s="228">
        <v>7.65</v>
      </c>
      <c r="F54" s="228">
        <v>12.5</v>
      </c>
      <c r="G54" s="228">
        <v>8.4</v>
      </c>
      <c r="H54" s="461">
        <v>1.04</v>
      </c>
      <c r="I54" s="330">
        <v>0.1</v>
      </c>
      <c r="J54" s="615">
        <v>1</v>
      </c>
      <c r="K54" s="98" t="s">
        <v>877</v>
      </c>
    </row>
    <row r="55" spans="1:11" ht="14" x14ac:dyDescent="0.3">
      <c r="A55" s="864"/>
      <c r="B55" s="865"/>
      <c r="C55" s="861" t="s">
        <v>288</v>
      </c>
      <c r="D55" s="861"/>
      <c r="E55" s="861"/>
      <c r="F55" s="861"/>
      <c r="G55" s="861"/>
      <c r="H55" s="824"/>
      <c r="I55" s="463"/>
      <c r="J55" s="330"/>
      <c r="K55" s="56"/>
    </row>
    <row r="56" spans="1:11" x14ac:dyDescent="0.25">
      <c r="A56" s="863" t="s">
        <v>250</v>
      </c>
      <c r="B56" s="862" t="s">
        <v>289</v>
      </c>
      <c r="C56" s="219">
        <v>41102</v>
      </c>
      <c r="D56" s="231">
        <v>0.40138888888888885</v>
      </c>
      <c r="E56" s="228">
        <v>7.57</v>
      </c>
      <c r="F56" s="228">
        <v>10.3</v>
      </c>
      <c r="G56" s="228">
        <v>11.34</v>
      </c>
      <c r="H56" s="461">
        <v>2.1000000000000001E-2</v>
      </c>
      <c r="I56" s="330">
        <v>3</v>
      </c>
      <c r="J56" s="611">
        <v>0.01</v>
      </c>
      <c r="K56" s="98" t="s">
        <v>877</v>
      </c>
    </row>
    <row r="57" spans="1:11" x14ac:dyDescent="0.25">
      <c r="A57" s="863"/>
      <c r="B57" s="862"/>
      <c r="C57" s="219">
        <v>41130</v>
      </c>
      <c r="D57" s="231">
        <v>0.40208333333333335</v>
      </c>
      <c r="E57" s="330">
        <v>9.42</v>
      </c>
      <c r="F57" s="330">
        <v>10.8</v>
      </c>
      <c r="G57" s="330">
        <v>6.8</v>
      </c>
      <c r="H57" s="461">
        <v>2.3E-2</v>
      </c>
      <c r="I57" s="330">
        <v>2</v>
      </c>
      <c r="J57" s="611">
        <v>0.2</v>
      </c>
      <c r="K57" s="98" t="s">
        <v>877</v>
      </c>
    </row>
    <row r="58" spans="1:11" x14ac:dyDescent="0.25">
      <c r="A58" s="863"/>
      <c r="B58" s="862"/>
      <c r="C58" s="219">
        <v>41158</v>
      </c>
      <c r="D58" s="231">
        <v>0.41666666666666669</v>
      </c>
      <c r="E58" s="228">
        <v>7.83</v>
      </c>
      <c r="F58" s="228">
        <v>7.3</v>
      </c>
      <c r="G58" s="228">
        <v>7.21</v>
      </c>
      <c r="H58" s="461">
        <v>0.02</v>
      </c>
      <c r="I58" s="330">
        <v>0.9</v>
      </c>
      <c r="J58" s="611">
        <v>0</v>
      </c>
      <c r="K58" s="98" t="s">
        <v>877</v>
      </c>
    </row>
    <row r="59" spans="1:11" x14ac:dyDescent="0.25">
      <c r="A59" s="863" t="s">
        <v>252</v>
      </c>
      <c r="B59" s="862" t="s">
        <v>295</v>
      </c>
      <c r="C59" s="219">
        <v>41102</v>
      </c>
      <c r="D59" s="231">
        <v>0.4152777777777778</v>
      </c>
      <c r="E59" s="228">
        <v>6.9</v>
      </c>
      <c r="F59" s="228">
        <v>10.4</v>
      </c>
      <c r="G59" s="228">
        <v>10.52</v>
      </c>
      <c r="H59" s="461">
        <v>2.1000000000000001E-2</v>
      </c>
      <c r="I59" s="330">
        <v>3.5</v>
      </c>
      <c r="J59" s="611">
        <v>0.15</v>
      </c>
      <c r="K59" s="98" t="s">
        <v>877</v>
      </c>
    </row>
    <row r="60" spans="1:11" x14ac:dyDescent="0.25">
      <c r="A60" s="863"/>
      <c r="B60" s="862"/>
      <c r="C60" s="219">
        <v>41130</v>
      </c>
      <c r="D60" s="231">
        <v>0.40763888888888888</v>
      </c>
      <c r="E60" s="330">
        <v>8.25</v>
      </c>
      <c r="F60" s="330">
        <v>11.1</v>
      </c>
      <c r="G60" s="330">
        <v>6.92</v>
      </c>
      <c r="H60" s="461">
        <v>0.02</v>
      </c>
      <c r="I60" s="330">
        <v>2</v>
      </c>
      <c r="J60" s="611">
        <v>0.2</v>
      </c>
      <c r="K60" s="98" t="s">
        <v>877</v>
      </c>
    </row>
    <row r="61" spans="1:11" x14ac:dyDescent="0.25">
      <c r="A61" s="863"/>
      <c r="B61" s="862"/>
      <c r="C61" s="219">
        <v>41158</v>
      </c>
      <c r="D61" s="231">
        <v>0.40625</v>
      </c>
      <c r="E61" s="228">
        <v>7.37</v>
      </c>
      <c r="F61" s="228">
        <v>6.8</v>
      </c>
      <c r="G61" s="228">
        <v>8.0500000000000007</v>
      </c>
      <c r="H61" s="461">
        <v>2.1000000000000001E-2</v>
      </c>
      <c r="I61" s="330">
        <v>1</v>
      </c>
      <c r="J61" s="611">
        <v>0.4</v>
      </c>
      <c r="K61" s="98" t="s">
        <v>877</v>
      </c>
    </row>
    <row r="62" spans="1:11" x14ac:dyDescent="0.25">
      <c r="A62" s="855" t="s">
        <v>759</v>
      </c>
      <c r="B62" s="858" t="s">
        <v>864</v>
      </c>
      <c r="C62" s="219">
        <v>41102</v>
      </c>
      <c r="D62" s="231">
        <v>0.38541666666666669</v>
      </c>
      <c r="E62" s="228">
        <v>6.61</v>
      </c>
      <c r="F62" s="228">
        <v>10.6</v>
      </c>
      <c r="G62" s="228">
        <v>9.3000000000000007</v>
      </c>
      <c r="H62" s="461">
        <v>4.2999999999999997E-2</v>
      </c>
      <c r="I62" s="330">
        <v>21</v>
      </c>
      <c r="J62" s="611">
        <v>0.05</v>
      </c>
      <c r="K62" s="98" t="s">
        <v>877</v>
      </c>
    </row>
    <row r="63" spans="1:11" x14ac:dyDescent="0.25">
      <c r="A63" s="856"/>
      <c r="B63" s="859"/>
      <c r="C63" s="219">
        <v>41130</v>
      </c>
      <c r="D63" s="231">
        <v>0.45902777777777781</v>
      </c>
      <c r="E63" s="228">
        <v>7.43</v>
      </c>
      <c r="F63" s="228">
        <v>11.1</v>
      </c>
      <c r="G63" s="228">
        <v>9.6999999999999993</v>
      </c>
      <c r="H63" s="461">
        <v>4.2000000000000003E-2</v>
      </c>
      <c r="I63" s="330">
        <v>16</v>
      </c>
      <c r="J63" s="611">
        <v>0.15</v>
      </c>
      <c r="K63" s="98" t="s">
        <v>877</v>
      </c>
    </row>
    <row r="64" spans="1:11" x14ac:dyDescent="0.25">
      <c r="A64" s="856"/>
      <c r="B64" s="859"/>
      <c r="C64" s="219">
        <v>41158</v>
      </c>
      <c r="D64" s="231">
        <v>0.50972222222222219</v>
      </c>
      <c r="E64" s="330">
        <v>7.64</v>
      </c>
      <c r="F64" s="330">
        <v>9.6999999999999993</v>
      </c>
      <c r="G64" s="330">
        <v>9.2799999999999994</v>
      </c>
      <c r="H64" s="330">
        <v>4.1000000000000002E-2</v>
      </c>
      <c r="I64" s="330">
        <v>13.8</v>
      </c>
      <c r="J64" s="611">
        <v>0.15</v>
      </c>
      <c r="K64" s="98" t="s">
        <v>877</v>
      </c>
    </row>
    <row r="65" spans="1:11" x14ac:dyDescent="0.25">
      <c r="A65" s="857"/>
      <c r="B65" s="860"/>
      <c r="C65" s="623">
        <v>41166</v>
      </c>
      <c r="D65" s="231">
        <v>0.47916666666666669</v>
      </c>
      <c r="E65" s="330">
        <v>7.71</v>
      </c>
      <c r="F65" s="330">
        <v>7.6</v>
      </c>
      <c r="G65" s="330">
        <v>10.1</v>
      </c>
      <c r="H65" s="330">
        <v>4.1000000000000002E-2</v>
      </c>
      <c r="I65" s="330"/>
      <c r="J65" s="330"/>
      <c r="K65" s="330"/>
    </row>
  </sheetData>
  <mergeCells count="46">
    <mergeCell ref="C2:H2"/>
    <mergeCell ref="A2:B2"/>
    <mergeCell ref="B24:B27"/>
    <mergeCell ref="B37:B39"/>
    <mergeCell ref="A37:A39"/>
    <mergeCell ref="A11:B11"/>
    <mergeCell ref="B3:B6"/>
    <mergeCell ref="B7:B10"/>
    <mergeCell ref="A7:A10"/>
    <mergeCell ref="A3:A6"/>
    <mergeCell ref="C11:H11"/>
    <mergeCell ref="C36:H36"/>
    <mergeCell ref="C40:H40"/>
    <mergeCell ref="C47:H47"/>
    <mergeCell ref="A12:A15"/>
    <mergeCell ref="A16:A19"/>
    <mergeCell ref="A20:A23"/>
    <mergeCell ref="B12:B15"/>
    <mergeCell ref="B16:B19"/>
    <mergeCell ref="B20:B23"/>
    <mergeCell ref="A36:B36"/>
    <mergeCell ref="A40:B40"/>
    <mergeCell ref="A47:B47"/>
    <mergeCell ref="B28:B31"/>
    <mergeCell ref="A24:A27"/>
    <mergeCell ref="A28:A31"/>
    <mergeCell ref="B32:B35"/>
    <mergeCell ref="A32:A35"/>
    <mergeCell ref="A41:A43"/>
    <mergeCell ref="B41:B43"/>
    <mergeCell ref="B44:B46"/>
    <mergeCell ref="A44:A46"/>
    <mergeCell ref="A59:A61"/>
    <mergeCell ref="A56:A58"/>
    <mergeCell ref="A48:A50"/>
    <mergeCell ref="A52:A54"/>
    <mergeCell ref="B52:B54"/>
    <mergeCell ref="A55:B55"/>
    <mergeCell ref="A51:B51"/>
    <mergeCell ref="A62:A65"/>
    <mergeCell ref="B62:B65"/>
    <mergeCell ref="B48:B50"/>
    <mergeCell ref="C51:H51"/>
    <mergeCell ref="C55:H55"/>
    <mergeCell ref="B59:B61"/>
    <mergeCell ref="B56:B58"/>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S102"/>
  <sheetViews>
    <sheetView topLeftCell="D1" workbookViewId="0">
      <selection activeCell="J22" sqref="J22"/>
    </sheetView>
  </sheetViews>
  <sheetFormatPr defaultColWidth="9.08984375" defaultRowHeight="12.5" x14ac:dyDescent="0.25"/>
  <cols>
    <col min="1" max="1" width="9.08984375" style="59"/>
    <col min="2" max="2" width="9.08984375" style="59" bestFit="1" customWidth="1"/>
    <col min="3" max="3" width="17.54296875" style="59" customWidth="1"/>
    <col min="4" max="4" width="6.90625" bestFit="1" customWidth="1"/>
    <col min="5" max="5" width="48.08984375" bestFit="1" customWidth="1"/>
    <col min="6" max="8" width="8.90625" customWidth="1"/>
    <col min="9" max="16384" width="9.08984375" style="59"/>
  </cols>
  <sheetData>
    <row r="1" spans="1:19" ht="14" x14ac:dyDescent="0.3">
      <c r="A1" s="586"/>
      <c r="B1" s="586"/>
      <c r="C1" s="586"/>
      <c r="D1" s="874" t="s">
        <v>266</v>
      </c>
      <c r="E1" s="874" t="s">
        <v>267</v>
      </c>
      <c r="F1" s="770" t="s">
        <v>393</v>
      </c>
      <c r="G1" s="875"/>
      <c r="H1" s="771"/>
      <c r="I1" s="586"/>
      <c r="J1" s="596"/>
      <c r="K1" s="596"/>
      <c r="L1" s="596"/>
      <c r="M1" s="596"/>
      <c r="N1" s="596"/>
      <c r="O1" s="596"/>
      <c r="P1" s="596"/>
      <c r="Q1" s="586"/>
      <c r="R1" s="586"/>
      <c r="S1" s="586"/>
    </row>
    <row r="2" spans="1:19" ht="14" x14ac:dyDescent="0.3">
      <c r="A2" s="586"/>
      <c r="B2" s="586"/>
      <c r="C2" s="586"/>
      <c r="D2" s="874"/>
      <c r="E2" s="874"/>
      <c r="F2" s="617">
        <v>41102</v>
      </c>
      <c r="G2" s="236">
        <v>41130</v>
      </c>
      <c r="H2" s="235">
        <v>41158</v>
      </c>
      <c r="I2" s="586"/>
      <c r="J2" t="s">
        <v>170</v>
      </c>
      <c r="K2" t="s">
        <v>171</v>
      </c>
      <c r="L2" t="s">
        <v>172</v>
      </c>
      <c r="M2" t="s">
        <v>173</v>
      </c>
      <c r="N2" t="s">
        <v>853</v>
      </c>
      <c r="O2" s="596"/>
      <c r="P2" s="596"/>
      <c r="Q2" s="586"/>
      <c r="R2" s="586"/>
      <c r="S2" s="586"/>
    </row>
    <row r="3" spans="1:19" ht="14" x14ac:dyDescent="0.3">
      <c r="A3" s="586"/>
      <c r="B3" s="587"/>
      <c r="C3" s="586"/>
      <c r="D3" s="872" t="s">
        <v>268</v>
      </c>
      <c r="E3" s="873"/>
      <c r="F3" s="598"/>
      <c r="G3" s="598"/>
      <c r="H3" s="598"/>
      <c r="I3" s="586"/>
      <c r="J3" s="573">
        <v>2</v>
      </c>
      <c r="K3" s="572"/>
      <c r="L3" s="572"/>
      <c r="M3" s="572">
        <f>K3*3</f>
        <v>0</v>
      </c>
      <c r="N3" s="572">
        <f>L3*M3</f>
        <v>0</v>
      </c>
      <c r="O3" s="596"/>
      <c r="P3" s="596"/>
      <c r="Q3" s="586"/>
      <c r="R3" s="586"/>
      <c r="S3" s="586"/>
    </row>
    <row r="4" spans="1:19" ht="14" x14ac:dyDescent="0.3">
      <c r="A4" s="586"/>
      <c r="B4" s="587"/>
      <c r="C4" s="586"/>
      <c r="D4" s="221" t="s">
        <v>741</v>
      </c>
      <c r="E4" s="597" t="s">
        <v>863</v>
      </c>
      <c r="F4" s="330">
        <v>20</v>
      </c>
      <c r="G4" s="330">
        <v>18</v>
      </c>
      <c r="H4" s="330">
        <v>17.100000000000001</v>
      </c>
      <c r="I4" s="586"/>
      <c r="J4" s="574">
        <v>4</v>
      </c>
      <c r="K4" s="6"/>
      <c r="L4" s="6"/>
      <c r="M4" s="572">
        <f>K4*2</f>
        <v>0</v>
      </c>
      <c r="N4" s="572">
        <f t="shared" ref="N4:N6" si="0">L4*M4</f>
        <v>0</v>
      </c>
      <c r="O4" s="596"/>
      <c r="P4" s="596"/>
      <c r="Q4" s="586"/>
      <c r="R4" s="586"/>
      <c r="S4" s="586"/>
    </row>
    <row r="5" spans="1:19" ht="14" x14ac:dyDescent="0.3">
      <c r="A5" s="588"/>
      <c r="B5" s="588"/>
      <c r="C5" s="588"/>
      <c r="D5" s="221" t="s">
        <v>269</v>
      </c>
      <c r="E5" s="597" t="s">
        <v>270</v>
      </c>
      <c r="F5" s="330">
        <v>19</v>
      </c>
      <c r="G5" s="614">
        <v>18</v>
      </c>
      <c r="H5" s="614">
        <v>11.8</v>
      </c>
      <c r="I5" s="595"/>
      <c r="J5" s="573">
        <v>6</v>
      </c>
      <c r="K5" s="6"/>
      <c r="L5" s="6"/>
      <c r="M5" s="572">
        <f>K5*2</f>
        <v>0</v>
      </c>
      <c r="N5" s="572">
        <f t="shared" si="0"/>
        <v>0</v>
      </c>
      <c r="O5" s="596"/>
      <c r="P5" s="596"/>
      <c r="Q5" s="870"/>
      <c r="R5" s="870"/>
      <c r="S5" s="870"/>
    </row>
    <row r="6" spans="1:19" ht="14" x14ac:dyDescent="0.3">
      <c r="A6" s="586"/>
      <c r="B6" s="589"/>
      <c r="C6" s="586"/>
      <c r="D6" s="872" t="s">
        <v>272</v>
      </c>
      <c r="E6" s="873"/>
      <c r="F6" s="598"/>
      <c r="G6" s="598"/>
      <c r="H6" s="598"/>
      <c r="I6" s="586"/>
      <c r="J6" s="574">
        <v>8</v>
      </c>
      <c r="K6" s="6"/>
      <c r="L6" s="6"/>
      <c r="M6" s="572">
        <f>K6*2</f>
        <v>0</v>
      </c>
      <c r="N6" s="572">
        <f t="shared" si="0"/>
        <v>0</v>
      </c>
      <c r="O6" s="596"/>
      <c r="P6" s="596"/>
      <c r="Q6" s="586"/>
      <c r="R6" s="589"/>
      <c r="S6" s="586"/>
    </row>
    <row r="7" spans="1:19" ht="14" x14ac:dyDescent="0.3">
      <c r="A7" s="586"/>
      <c r="B7" s="871"/>
      <c r="C7" s="871"/>
      <c r="D7" s="221" t="s">
        <v>187</v>
      </c>
      <c r="E7" s="597" t="s">
        <v>273</v>
      </c>
      <c r="F7" s="330">
        <v>18</v>
      </c>
      <c r="G7" s="330">
        <v>22</v>
      </c>
      <c r="H7" s="330">
        <v>11.7</v>
      </c>
      <c r="I7" s="586"/>
      <c r="J7" s="573">
        <v>10</v>
      </c>
      <c r="K7" s="6"/>
      <c r="L7" s="6"/>
      <c r="M7" s="572">
        <f t="shared" ref="M7:M8" si="1">K7*2</f>
        <v>0</v>
      </c>
      <c r="N7" s="572">
        <f>L6*M7</f>
        <v>0</v>
      </c>
      <c r="O7" s="596"/>
      <c r="P7" s="596"/>
      <c r="Q7" s="586"/>
      <c r="R7" s="586"/>
      <c r="S7" s="586"/>
    </row>
    <row r="8" spans="1:19" ht="14" x14ac:dyDescent="0.3">
      <c r="A8" s="586"/>
      <c r="B8" s="588"/>
      <c r="C8" s="590"/>
      <c r="D8" s="221" t="s">
        <v>256</v>
      </c>
      <c r="E8" s="597" t="s">
        <v>274</v>
      </c>
      <c r="F8" s="330">
        <v>18</v>
      </c>
      <c r="G8" s="330">
        <v>20</v>
      </c>
      <c r="H8" s="614">
        <v>10.1</v>
      </c>
      <c r="I8" s="594"/>
      <c r="J8" s="574">
        <v>12</v>
      </c>
      <c r="K8" s="6"/>
      <c r="L8" s="6"/>
      <c r="M8" s="572">
        <f t="shared" si="1"/>
        <v>0</v>
      </c>
      <c r="N8" s="572">
        <f>L7*M8</f>
        <v>0</v>
      </c>
      <c r="O8" s="596"/>
      <c r="P8" s="596"/>
      <c r="Q8" s="586"/>
      <c r="R8" s="871"/>
      <c r="S8" s="871"/>
    </row>
    <row r="9" spans="1:19" ht="14" x14ac:dyDescent="0.3">
      <c r="A9" s="586"/>
      <c r="B9" s="586"/>
      <c r="C9" s="586"/>
      <c r="D9" s="221" t="s">
        <v>257</v>
      </c>
      <c r="E9" s="597" t="s">
        <v>275</v>
      </c>
      <c r="F9" s="330">
        <v>20</v>
      </c>
      <c r="G9" s="330">
        <v>20</v>
      </c>
      <c r="H9" s="330">
        <v>11.3</v>
      </c>
      <c r="I9" s="590"/>
      <c r="J9" s="573">
        <v>14</v>
      </c>
      <c r="K9" s="6"/>
      <c r="L9" s="6"/>
      <c r="M9" s="572">
        <f>K9*2</f>
        <v>0</v>
      </c>
      <c r="N9" s="572">
        <f>L8*M9</f>
        <v>0</v>
      </c>
      <c r="O9" s="596"/>
      <c r="P9" s="596"/>
      <c r="Q9" s="586"/>
      <c r="R9" s="588"/>
      <c r="S9" s="590"/>
    </row>
    <row r="10" spans="1:19" ht="14" x14ac:dyDescent="0.3">
      <c r="A10" s="586"/>
      <c r="B10" s="586"/>
      <c r="C10" s="586"/>
      <c r="D10" s="221" t="s">
        <v>258</v>
      </c>
      <c r="E10" s="597" t="s">
        <v>276</v>
      </c>
      <c r="F10" s="330">
        <v>22</v>
      </c>
      <c r="G10" s="330">
        <v>20</v>
      </c>
      <c r="H10" s="330">
        <v>6.9</v>
      </c>
      <c r="I10" s="586"/>
      <c r="J10" s="574">
        <v>16</v>
      </c>
      <c r="K10" s="6"/>
      <c r="L10" s="6"/>
      <c r="M10" s="572">
        <f>K10*2</f>
        <v>0</v>
      </c>
      <c r="N10" s="572">
        <f>L9*M10</f>
        <v>0</v>
      </c>
      <c r="O10" s="596"/>
      <c r="P10" s="596"/>
      <c r="Q10" s="586"/>
      <c r="R10" s="586"/>
      <c r="S10" s="586"/>
    </row>
    <row r="11" spans="1:19" ht="14" x14ac:dyDescent="0.3">
      <c r="A11" s="586"/>
      <c r="B11" s="586"/>
      <c r="C11" s="586"/>
      <c r="D11" s="221" t="s">
        <v>259</v>
      </c>
      <c r="E11" s="597" t="s">
        <v>277</v>
      </c>
      <c r="F11" s="330">
        <v>20</v>
      </c>
      <c r="G11" s="330">
        <v>20</v>
      </c>
      <c r="H11" s="330">
        <v>6.2</v>
      </c>
      <c r="I11" s="586"/>
      <c r="J11" s="573">
        <v>18</v>
      </c>
      <c r="K11" s="6"/>
      <c r="L11" s="6"/>
      <c r="M11" s="572">
        <f t="shared" ref="M11:M17" si="2">K11*2</f>
        <v>0</v>
      </c>
      <c r="N11" s="572">
        <f t="shared" ref="N11:N17" si="3">L11*M11</f>
        <v>0</v>
      </c>
      <c r="O11" s="596"/>
      <c r="P11" s="596"/>
      <c r="Q11" s="586"/>
      <c r="R11" s="586"/>
      <c r="S11" s="586"/>
    </row>
    <row r="12" spans="1:19" ht="14" x14ac:dyDescent="0.3">
      <c r="A12" s="586"/>
      <c r="B12" s="586"/>
      <c r="C12" s="586"/>
      <c r="D12" s="221" t="s">
        <v>260</v>
      </c>
      <c r="E12" s="597" t="s">
        <v>278</v>
      </c>
      <c r="F12" s="330">
        <v>18</v>
      </c>
      <c r="G12" s="330">
        <v>18</v>
      </c>
      <c r="H12" s="330">
        <v>7.8</v>
      </c>
      <c r="I12" s="586"/>
      <c r="J12" s="574">
        <v>20</v>
      </c>
      <c r="K12" s="6"/>
      <c r="L12" s="6"/>
      <c r="M12" s="572">
        <f>K12*2</f>
        <v>0</v>
      </c>
      <c r="N12" s="572">
        <f t="shared" si="3"/>
        <v>0</v>
      </c>
      <c r="O12" s="596"/>
      <c r="P12" s="596"/>
      <c r="Q12" s="586"/>
      <c r="R12" s="586"/>
      <c r="S12" s="586"/>
    </row>
    <row r="13" spans="1:19" ht="14" x14ac:dyDescent="0.3">
      <c r="A13" s="586"/>
      <c r="B13" s="586"/>
      <c r="C13" s="586"/>
      <c r="D13" s="872" t="s">
        <v>279</v>
      </c>
      <c r="E13" s="873"/>
      <c r="F13" s="598"/>
      <c r="G13" s="598"/>
      <c r="H13" s="598"/>
      <c r="I13" s="586"/>
      <c r="J13" s="573">
        <v>22</v>
      </c>
      <c r="K13" s="6"/>
      <c r="L13" s="6"/>
      <c r="M13" s="572">
        <f t="shared" si="2"/>
        <v>0</v>
      </c>
      <c r="N13" s="572">
        <f t="shared" si="3"/>
        <v>0</v>
      </c>
      <c r="O13" s="596"/>
      <c r="P13" s="596"/>
      <c r="Q13" s="586"/>
      <c r="R13" s="586"/>
      <c r="S13" s="586"/>
    </row>
    <row r="14" spans="1:19" ht="14" x14ac:dyDescent="0.3">
      <c r="A14" s="586"/>
      <c r="B14" s="586"/>
      <c r="C14" s="586"/>
      <c r="D14" s="221" t="s">
        <v>263</v>
      </c>
      <c r="E14" s="597" t="s">
        <v>280</v>
      </c>
      <c r="F14" s="330">
        <v>1.5</v>
      </c>
      <c r="G14" s="330">
        <v>0.3</v>
      </c>
      <c r="H14" s="330">
        <v>1.25</v>
      </c>
      <c r="I14" s="586"/>
      <c r="J14" s="574">
        <v>24</v>
      </c>
      <c r="K14" s="6"/>
      <c r="L14" s="6"/>
      <c r="M14" s="572">
        <f t="shared" si="2"/>
        <v>0</v>
      </c>
      <c r="N14" s="572">
        <f t="shared" si="3"/>
        <v>0</v>
      </c>
      <c r="O14" s="596"/>
      <c r="P14" s="596"/>
      <c r="Q14" s="586"/>
      <c r="R14" s="586"/>
      <c r="S14" s="586"/>
    </row>
    <row r="15" spans="1:19" ht="14" x14ac:dyDescent="0.3">
      <c r="A15" s="870"/>
      <c r="B15" s="870"/>
      <c r="C15" s="870"/>
      <c r="D15" s="872" t="s">
        <v>281</v>
      </c>
      <c r="E15" s="873"/>
      <c r="F15" s="598"/>
      <c r="G15" s="598"/>
      <c r="H15" s="598"/>
      <c r="I15" s="586"/>
      <c r="J15" s="573">
        <v>26</v>
      </c>
      <c r="K15"/>
      <c r="L15"/>
      <c r="M15" s="572">
        <f t="shared" si="2"/>
        <v>0</v>
      </c>
      <c r="N15" s="572">
        <f t="shared" si="3"/>
        <v>0</v>
      </c>
      <c r="O15" s="596"/>
      <c r="P15" s="596"/>
      <c r="Q15" s="586"/>
      <c r="R15" s="586"/>
      <c r="S15" s="586"/>
    </row>
    <row r="16" spans="1:19" ht="14" x14ac:dyDescent="0.3">
      <c r="A16" s="586"/>
      <c r="B16" s="589"/>
      <c r="C16" s="587"/>
      <c r="D16" s="221" t="s">
        <v>264</v>
      </c>
      <c r="E16" s="597" t="s">
        <v>283</v>
      </c>
      <c r="F16" s="330">
        <v>0.5</v>
      </c>
      <c r="G16" s="330">
        <v>0.05</v>
      </c>
      <c r="H16" s="330">
        <v>0.2</v>
      </c>
      <c r="I16" s="586"/>
      <c r="J16" s="574">
        <v>28</v>
      </c>
      <c r="K16"/>
      <c r="L16"/>
      <c r="M16" s="572">
        <f t="shared" si="2"/>
        <v>0</v>
      </c>
      <c r="N16" s="572">
        <f t="shared" si="3"/>
        <v>0</v>
      </c>
      <c r="O16" s="596"/>
      <c r="P16" s="596"/>
      <c r="Q16" s="586"/>
      <c r="R16" s="586"/>
      <c r="S16" s="586"/>
    </row>
    <row r="17" spans="1:19" ht="14" x14ac:dyDescent="0.3">
      <c r="A17" s="586"/>
      <c r="B17" s="586"/>
      <c r="C17" s="586"/>
      <c r="D17" s="221" t="s">
        <v>265</v>
      </c>
      <c r="E17" s="597" t="s">
        <v>282</v>
      </c>
      <c r="F17" s="330">
        <v>2.5</v>
      </c>
      <c r="G17" s="330">
        <v>1.3</v>
      </c>
      <c r="H17" s="330">
        <v>0.12</v>
      </c>
      <c r="I17" s="586"/>
      <c r="J17" s="573">
        <v>30</v>
      </c>
      <c r="K17"/>
      <c r="L17"/>
      <c r="M17" s="572">
        <f t="shared" si="2"/>
        <v>0</v>
      </c>
      <c r="N17" s="572">
        <f t="shared" si="3"/>
        <v>0</v>
      </c>
      <c r="O17" s="596"/>
      <c r="P17" s="596"/>
      <c r="Q17" s="586"/>
      <c r="R17" s="586"/>
      <c r="S17" s="586"/>
    </row>
    <row r="18" spans="1:19" ht="14" x14ac:dyDescent="0.3">
      <c r="A18" s="586"/>
      <c r="B18" s="588"/>
      <c r="C18" s="590"/>
      <c r="D18" s="872" t="s">
        <v>284</v>
      </c>
      <c r="E18" s="873"/>
      <c r="F18" s="598"/>
      <c r="G18" s="598"/>
      <c r="H18" s="598"/>
      <c r="I18" s="586"/>
      <c r="J18" s="596"/>
      <c r="K18" s="596"/>
      <c r="L18" s="596"/>
      <c r="M18" s="596"/>
      <c r="N18" s="596"/>
      <c r="O18" s="596"/>
      <c r="P18" s="596"/>
      <c r="Q18" s="586"/>
      <c r="R18" s="586"/>
      <c r="S18" s="586"/>
    </row>
    <row r="19" spans="1:19" ht="14" x14ac:dyDescent="0.3">
      <c r="A19" s="586"/>
      <c r="B19" s="586"/>
      <c r="C19" s="586"/>
      <c r="D19" s="221" t="s">
        <v>261</v>
      </c>
      <c r="E19" s="597" t="s">
        <v>285</v>
      </c>
      <c r="F19" s="330">
        <v>0.4</v>
      </c>
      <c r="G19" s="330">
        <v>0</v>
      </c>
      <c r="H19" s="330">
        <v>0</v>
      </c>
      <c r="I19" s="586"/>
      <c r="J19" s="596"/>
      <c r="K19" s="596"/>
      <c r="L19" s="596"/>
      <c r="M19" s="596"/>
      <c r="N19" s="616">
        <f>SUM(N3:N18)</f>
        <v>0</v>
      </c>
      <c r="O19" s="596"/>
      <c r="P19" s="596"/>
      <c r="Q19" s="586"/>
      <c r="R19" s="586"/>
      <c r="S19" s="586"/>
    </row>
    <row r="20" spans="1:19" ht="14" x14ac:dyDescent="0.3">
      <c r="A20" s="586"/>
      <c r="B20" s="586"/>
      <c r="C20" s="586"/>
      <c r="D20" s="872" t="s">
        <v>286</v>
      </c>
      <c r="E20" s="873"/>
      <c r="F20" s="598"/>
      <c r="G20" s="598"/>
      <c r="H20" s="598"/>
      <c r="I20" s="586"/>
      <c r="J20" s="596"/>
      <c r="K20" s="596"/>
      <c r="L20" s="596"/>
      <c r="M20" s="596"/>
      <c r="N20" s="596"/>
      <c r="O20" s="596"/>
      <c r="P20" s="596"/>
      <c r="Q20" s="586"/>
      <c r="R20" s="586"/>
      <c r="S20" s="586"/>
    </row>
    <row r="21" spans="1:19" ht="14" x14ac:dyDescent="0.3">
      <c r="A21" s="586"/>
      <c r="B21" s="586"/>
      <c r="C21" s="586"/>
      <c r="D21" s="221" t="s">
        <v>262</v>
      </c>
      <c r="E21" s="597" t="s">
        <v>287</v>
      </c>
      <c r="F21" s="330">
        <v>0.5</v>
      </c>
      <c r="G21" s="330">
        <v>1</v>
      </c>
      <c r="H21" s="330">
        <v>0.1</v>
      </c>
      <c r="I21" s="586"/>
      <c r="J21" s="596"/>
      <c r="K21" s="596"/>
      <c r="L21" s="596"/>
      <c r="M21" s="596"/>
      <c r="N21" s="596"/>
      <c r="O21" s="596"/>
      <c r="P21" s="596"/>
      <c r="Q21" s="586"/>
      <c r="R21" s="586"/>
      <c r="S21" s="586"/>
    </row>
    <row r="22" spans="1:19" ht="14" x14ac:dyDescent="0.3">
      <c r="A22" s="586"/>
      <c r="B22" s="586"/>
      <c r="C22" s="586"/>
      <c r="D22" s="872" t="s">
        <v>288</v>
      </c>
      <c r="E22" s="873"/>
      <c r="F22" s="598"/>
      <c r="G22" s="598"/>
      <c r="H22" s="598"/>
      <c r="I22" s="586"/>
      <c r="J22" s="596"/>
      <c r="K22" s="596"/>
      <c r="L22" s="596"/>
      <c r="M22" s="596"/>
      <c r="N22" s="596"/>
      <c r="O22" s="596"/>
      <c r="P22" s="596"/>
      <c r="Q22" s="586"/>
      <c r="R22" s="586"/>
      <c r="S22" s="586"/>
    </row>
    <row r="23" spans="1:19" ht="14" x14ac:dyDescent="0.3">
      <c r="A23" s="586"/>
      <c r="B23" s="586"/>
      <c r="C23" s="586"/>
      <c r="D23" s="221" t="s">
        <v>250</v>
      </c>
      <c r="E23" s="597" t="s">
        <v>289</v>
      </c>
      <c r="F23" s="599">
        <v>3</v>
      </c>
      <c r="G23" s="599">
        <v>2</v>
      </c>
      <c r="H23" s="599">
        <v>0.88</v>
      </c>
      <c r="I23" s="586"/>
      <c r="J23" s="596"/>
      <c r="K23" s="596"/>
      <c r="L23" s="596"/>
      <c r="M23" s="596"/>
      <c r="N23" s="596"/>
      <c r="O23" s="596"/>
      <c r="P23" s="596"/>
      <c r="Q23" s="586"/>
      <c r="R23" s="586"/>
      <c r="S23" s="586"/>
    </row>
    <row r="24" spans="1:19" ht="14" x14ac:dyDescent="0.3">
      <c r="A24" s="586"/>
      <c r="B24" s="586"/>
      <c r="C24" s="586"/>
      <c r="D24" s="221" t="s">
        <v>252</v>
      </c>
      <c r="E24" s="597" t="s">
        <v>295</v>
      </c>
      <c r="F24" s="330">
        <v>3.5</v>
      </c>
      <c r="G24" s="330">
        <v>2</v>
      </c>
      <c r="H24" s="58">
        <v>1</v>
      </c>
      <c r="I24" s="586"/>
      <c r="J24" s="596"/>
      <c r="K24" s="596"/>
      <c r="L24" s="596"/>
      <c r="M24" s="596"/>
      <c r="N24" s="596"/>
      <c r="O24" s="596"/>
      <c r="P24" s="596"/>
      <c r="Q24" s="586"/>
      <c r="R24" s="586"/>
      <c r="S24" s="586"/>
    </row>
    <row r="25" spans="1:19" ht="14" x14ac:dyDescent="0.3">
      <c r="A25" s="586"/>
      <c r="B25" s="586"/>
      <c r="C25" s="586"/>
      <c r="D25" s="221" t="s">
        <v>759</v>
      </c>
      <c r="E25" s="597" t="s">
        <v>864</v>
      </c>
      <c r="F25" s="330">
        <v>21</v>
      </c>
      <c r="G25" s="330">
        <v>16</v>
      </c>
      <c r="H25" s="330">
        <v>13.8</v>
      </c>
      <c r="I25" s="586"/>
      <c r="J25" s="596"/>
      <c r="K25" s="596"/>
      <c r="L25" s="596"/>
      <c r="M25" s="596"/>
      <c r="N25" s="596"/>
      <c r="O25" s="596"/>
      <c r="P25" s="596"/>
      <c r="Q25" s="586"/>
      <c r="R25" s="586"/>
      <c r="S25" s="586"/>
    </row>
    <row r="26" spans="1:19" ht="14" x14ac:dyDescent="0.3">
      <c r="A26" s="586"/>
      <c r="B26" s="586"/>
      <c r="C26" s="586"/>
      <c r="I26" s="586"/>
      <c r="K26" s="586"/>
      <c r="L26" s="586"/>
      <c r="M26" s="586"/>
      <c r="N26" s="586"/>
      <c r="O26" s="586"/>
      <c r="P26" s="586"/>
      <c r="Q26" s="586"/>
      <c r="R26" s="586"/>
      <c r="S26" s="586"/>
    </row>
    <row r="27" spans="1:19" ht="14" x14ac:dyDescent="0.3">
      <c r="A27" s="586"/>
      <c r="B27" s="586"/>
      <c r="C27" s="586"/>
      <c r="I27" s="586"/>
      <c r="K27" s="586"/>
      <c r="L27" s="586"/>
      <c r="M27" s="586"/>
      <c r="N27" s="586"/>
      <c r="O27" s="586"/>
      <c r="P27" s="586"/>
      <c r="Q27" s="586"/>
      <c r="R27" s="586"/>
      <c r="S27" s="586"/>
    </row>
    <row r="28" spans="1:19" ht="14" x14ac:dyDescent="0.3">
      <c r="A28" s="870"/>
      <c r="B28" s="870"/>
      <c r="C28" s="870"/>
      <c r="I28" s="586"/>
      <c r="K28" s="870"/>
      <c r="L28" s="870"/>
      <c r="M28" s="870"/>
      <c r="N28" s="586"/>
      <c r="O28" s="586"/>
      <c r="P28" s="586"/>
      <c r="Q28" s="586"/>
      <c r="R28" s="586"/>
      <c r="S28" s="586"/>
    </row>
    <row r="29" spans="1:19" ht="14" x14ac:dyDescent="0.3">
      <c r="A29" s="586"/>
      <c r="B29" s="587"/>
      <c r="C29" s="586"/>
      <c r="G29" s="870"/>
      <c r="H29" s="870"/>
      <c r="I29" s="870"/>
      <c r="K29" s="586"/>
      <c r="L29" s="589"/>
      <c r="M29" s="586"/>
      <c r="N29" s="586"/>
      <c r="O29" s="586"/>
      <c r="P29" s="586"/>
      <c r="Q29" s="870"/>
      <c r="R29" s="870"/>
      <c r="S29" s="870"/>
    </row>
    <row r="30" spans="1:19" ht="14" x14ac:dyDescent="0.3">
      <c r="A30" s="586"/>
      <c r="B30" s="586"/>
      <c r="C30" s="586"/>
      <c r="I30" s="586"/>
      <c r="K30" s="586"/>
      <c r="L30" s="586"/>
      <c r="M30" s="586"/>
      <c r="N30" s="586"/>
      <c r="O30" s="586"/>
      <c r="P30" s="586"/>
      <c r="Q30" s="586"/>
      <c r="R30" s="586"/>
      <c r="S30" s="586"/>
    </row>
    <row r="31" spans="1:19" ht="14" x14ac:dyDescent="0.3">
      <c r="A31" s="586"/>
      <c r="B31" s="586"/>
      <c r="C31" s="586"/>
      <c r="I31" s="586"/>
      <c r="K31" s="586"/>
      <c r="L31" s="586"/>
      <c r="M31" s="586"/>
      <c r="N31" s="586"/>
      <c r="O31" s="586"/>
      <c r="P31" s="586"/>
      <c r="Q31" s="586"/>
      <c r="R31" s="586"/>
      <c r="S31" s="586"/>
    </row>
    <row r="32" spans="1:19" ht="14" x14ac:dyDescent="0.3">
      <c r="A32" s="870"/>
      <c r="B32" s="870"/>
      <c r="C32" s="870"/>
      <c r="I32" s="586"/>
      <c r="K32" s="870"/>
      <c r="L32" s="870"/>
      <c r="M32" s="870"/>
      <c r="N32" s="586"/>
      <c r="O32" s="586"/>
      <c r="P32" s="586"/>
      <c r="Q32" s="586"/>
      <c r="R32" s="586"/>
      <c r="S32" s="586"/>
    </row>
    <row r="33" spans="1:19" ht="14" x14ac:dyDescent="0.3">
      <c r="A33" s="586"/>
      <c r="B33" s="589"/>
      <c r="C33" s="586"/>
      <c r="I33" s="586"/>
      <c r="K33" s="586"/>
      <c r="L33" s="589"/>
      <c r="M33" s="586"/>
      <c r="N33" s="586"/>
      <c r="O33" s="586"/>
      <c r="P33" s="586"/>
      <c r="Q33" s="586"/>
      <c r="R33" s="586"/>
      <c r="S33" s="586"/>
    </row>
    <row r="34" spans="1:19" ht="14" x14ac:dyDescent="0.3">
      <c r="A34" s="586"/>
      <c r="B34" s="586"/>
      <c r="C34" s="586"/>
      <c r="I34" s="586"/>
      <c r="K34" s="586"/>
      <c r="L34" s="586"/>
      <c r="M34" s="586"/>
      <c r="N34" s="586"/>
      <c r="O34" s="586"/>
      <c r="P34" s="586"/>
      <c r="Q34" s="586"/>
      <c r="R34" s="586"/>
      <c r="S34" s="586"/>
    </row>
    <row r="35" spans="1:19" ht="14" x14ac:dyDescent="0.3">
      <c r="A35" s="586"/>
      <c r="B35" s="586"/>
      <c r="C35" s="586"/>
      <c r="G35" s="870"/>
      <c r="H35" s="870"/>
      <c r="I35" s="870"/>
      <c r="K35" s="586"/>
      <c r="L35" s="586"/>
      <c r="M35" s="586"/>
      <c r="N35" s="586"/>
      <c r="O35" s="586"/>
      <c r="P35" s="586"/>
      <c r="Q35" s="870"/>
      <c r="R35" s="870"/>
      <c r="S35" s="870"/>
    </row>
    <row r="36" spans="1:19" ht="14" x14ac:dyDescent="0.3">
      <c r="A36" s="590"/>
      <c r="B36" s="588"/>
      <c r="C36" s="590"/>
      <c r="I36" s="586"/>
      <c r="K36" s="590"/>
      <c r="L36" s="588"/>
      <c r="M36" s="590"/>
      <c r="N36" s="870"/>
      <c r="O36" s="870"/>
      <c r="P36" s="870"/>
      <c r="Q36" s="586"/>
      <c r="R36" s="589"/>
      <c r="S36" s="586"/>
    </row>
    <row r="37" spans="1:19" ht="14" x14ac:dyDescent="0.3">
      <c r="A37" s="586"/>
      <c r="B37" s="586"/>
      <c r="C37" s="586"/>
      <c r="I37" s="586"/>
      <c r="K37" s="586"/>
      <c r="L37" s="586"/>
      <c r="M37" s="586"/>
      <c r="N37" s="586"/>
      <c r="O37" s="589"/>
      <c r="P37" s="586"/>
      <c r="Q37" s="586"/>
      <c r="R37" s="586"/>
      <c r="S37" s="586"/>
    </row>
    <row r="38" spans="1:19" ht="14" x14ac:dyDescent="0.3">
      <c r="A38" s="586"/>
      <c r="B38" s="586"/>
      <c r="C38" s="586"/>
      <c r="I38" s="586"/>
      <c r="K38" s="586"/>
      <c r="L38" s="586"/>
      <c r="M38" s="586"/>
      <c r="N38" s="586"/>
      <c r="O38" s="586"/>
      <c r="P38" s="586"/>
      <c r="Q38" s="586"/>
      <c r="R38" s="586"/>
      <c r="S38" s="586"/>
    </row>
    <row r="39" spans="1:19" ht="14" x14ac:dyDescent="0.3">
      <c r="A39" s="586"/>
      <c r="B39" s="586"/>
      <c r="C39" s="586"/>
      <c r="I39" s="590"/>
      <c r="K39" s="586"/>
      <c r="L39" s="586"/>
      <c r="M39" s="586"/>
      <c r="N39" s="586"/>
      <c r="O39" s="586"/>
      <c r="P39" s="586"/>
      <c r="Q39" s="586"/>
      <c r="R39" s="588"/>
      <c r="S39" s="590"/>
    </row>
    <row r="40" spans="1:19" ht="14" x14ac:dyDescent="0.3">
      <c r="A40" s="586"/>
      <c r="B40" s="586"/>
      <c r="C40" s="586"/>
      <c r="I40" s="586"/>
      <c r="K40" s="586"/>
      <c r="L40" s="586"/>
      <c r="M40" s="586"/>
      <c r="N40" s="586"/>
      <c r="O40" s="588"/>
      <c r="P40" s="590"/>
      <c r="Q40" s="586"/>
      <c r="R40" s="586"/>
      <c r="S40" s="586"/>
    </row>
    <row r="41" spans="1:19" ht="14" x14ac:dyDescent="0.3">
      <c r="A41" s="586"/>
      <c r="B41" s="586"/>
      <c r="C41" s="586"/>
      <c r="I41" s="586"/>
      <c r="K41" s="586"/>
      <c r="L41" s="586"/>
      <c r="M41" s="586"/>
      <c r="N41" s="586"/>
      <c r="O41" s="586"/>
      <c r="P41" s="586"/>
      <c r="Q41" s="586"/>
      <c r="R41" s="586"/>
      <c r="S41" s="586"/>
    </row>
    <row r="42" spans="1:19" ht="14" x14ac:dyDescent="0.3">
      <c r="A42" s="586"/>
      <c r="B42" s="586"/>
      <c r="C42" s="586"/>
      <c r="I42" s="586"/>
      <c r="K42" s="586"/>
      <c r="L42" s="586"/>
      <c r="M42" s="586"/>
      <c r="N42" s="586"/>
      <c r="O42" s="586"/>
      <c r="P42" s="586"/>
      <c r="Q42" s="586"/>
      <c r="R42" s="586"/>
      <c r="S42" s="586"/>
    </row>
    <row r="43" spans="1:19" ht="14" x14ac:dyDescent="0.3">
      <c r="A43" s="586"/>
      <c r="B43" s="586"/>
      <c r="C43" s="586"/>
      <c r="I43" s="586"/>
      <c r="K43" s="586"/>
      <c r="L43" s="586"/>
      <c r="M43" s="586"/>
      <c r="N43" s="586"/>
      <c r="O43" s="586"/>
      <c r="P43" s="586"/>
      <c r="Q43" s="586"/>
      <c r="R43" s="586"/>
      <c r="S43" s="586"/>
    </row>
    <row r="44" spans="1:19" ht="14" x14ac:dyDescent="0.3">
      <c r="A44" s="870"/>
      <c r="B44" s="870"/>
      <c r="C44" s="870"/>
      <c r="I44" s="586"/>
      <c r="K44" s="870"/>
      <c r="L44" s="870"/>
      <c r="M44" s="870"/>
      <c r="N44" s="586"/>
      <c r="O44" s="586"/>
      <c r="P44" s="586"/>
      <c r="Q44" s="586"/>
      <c r="R44" s="586"/>
      <c r="S44" s="586"/>
    </row>
    <row r="45" spans="1:19" ht="14" x14ac:dyDescent="0.3">
      <c r="A45" s="586"/>
      <c r="B45" s="589"/>
      <c r="C45" s="587"/>
      <c r="I45" s="586"/>
      <c r="K45" s="586"/>
      <c r="L45" s="589"/>
      <c r="M45" s="587"/>
      <c r="N45" s="586"/>
      <c r="O45" s="586"/>
      <c r="P45" s="586"/>
      <c r="Q45" s="586"/>
      <c r="R45" s="586"/>
      <c r="S45" s="586"/>
    </row>
    <row r="46" spans="1:19" ht="14" x14ac:dyDescent="0.3">
      <c r="A46" s="586"/>
      <c r="B46" s="586"/>
      <c r="C46" s="586"/>
      <c r="I46" s="586"/>
      <c r="K46" s="586"/>
      <c r="L46" s="586"/>
      <c r="M46" s="586"/>
      <c r="N46" s="586"/>
      <c r="O46" s="586"/>
      <c r="P46" s="586"/>
      <c r="Q46" s="586"/>
      <c r="R46" s="586"/>
      <c r="S46" s="586"/>
    </row>
    <row r="47" spans="1:19" ht="14" x14ac:dyDescent="0.3">
      <c r="A47" s="586"/>
      <c r="B47" s="586"/>
      <c r="C47" s="591"/>
      <c r="I47" s="586"/>
      <c r="K47" s="586"/>
      <c r="L47" s="586"/>
      <c r="M47" s="586"/>
      <c r="N47" s="586"/>
      <c r="O47" s="586"/>
      <c r="P47" s="586"/>
      <c r="Q47" s="586"/>
      <c r="R47" s="586"/>
      <c r="S47" s="586"/>
    </row>
    <row r="48" spans="1:19" ht="14" x14ac:dyDescent="0.3">
      <c r="A48" s="586"/>
      <c r="B48" s="588"/>
      <c r="C48" s="590"/>
      <c r="I48" s="586"/>
      <c r="K48" s="586"/>
      <c r="L48" s="588"/>
      <c r="M48" s="590"/>
      <c r="N48" s="586"/>
      <c r="O48" s="586"/>
      <c r="P48" s="586"/>
      <c r="Q48" s="586"/>
      <c r="R48" s="586"/>
      <c r="S48" s="586"/>
    </row>
    <row r="49" spans="1:19" ht="14" x14ac:dyDescent="0.3">
      <c r="A49" s="586"/>
      <c r="B49" s="586"/>
      <c r="C49" s="586"/>
      <c r="I49" s="586"/>
      <c r="K49" s="586"/>
      <c r="L49" s="586"/>
      <c r="M49" s="586"/>
      <c r="N49" s="586"/>
      <c r="O49" s="586"/>
      <c r="P49" s="586"/>
      <c r="Q49" s="586"/>
      <c r="R49" s="586"/>
      <c r="S49" s="586"/>
    </row>
    <row r="50" spans="1:19" ht="14" x14ac:dyDescent="0.3">
      <c r="A50" s="586"/>
      <c r="B50" s="586"/>
      <c r="C50" s="586"/>
      <c r="I50" s="586"/>
      <c r="K50" s="586"/>
      <c r="L50" s="586"/>
      <c r="M50" s="586"/>
      <c r="N50" s="586"/>
      <c r="O50" s="586"/>
      <c r="P50" s="586"/>
      <c r="Q50" s="586"/>
      <c r="R50" s="586"/>
      <c r="S50" s="586"/>
    </row>
    <row r="51" spans="1:19" ht="14" x14ac:dyDescent="0.3">
      <c r="A51" s="586"/>
      <c r="B51" s="586"/>
      <c r="C51" s="586"/>
      <c r="I51" s="586"/>
      <c r="K51" s="586"/>
      <c r="L51" s="586"/>
      <c r="M51" s="586"/>
      <c r="N51" s="586"/>
      <c r="O51" s="586"/>
      <c r="P51" s="586"/>
      <c r="Q51" s="586"/>
      <c r="R51" s="586"/>
      <c r="S51" s="586"/>
    </row>
    <row r="52" spans="1:19" ht="14" x14ac:dyDescent="0.3">
      <c r="A52" s="586"/>
      <c r="B52" s="586"/>
      <c r="C52" s="586"/>
      <c r="I52" s="586"/>
      <c r="K52" s="586"/>
      <c r="L52" s="586"/>
      <c r="M52" s="586"/>
      <c r="N52" s="586"/>
      <c r="O52" s="586"/>
      <c r="P52" s="586"/>
      <c r="Q52" s="586"/>
      <c r="R52" s="586"/>
      <c r="S52" s="586"/>
    </row>
    <row r="53" spans="1:19" ht="14" x14ac:dyDescent="0.3">
      <c r="A53" s="586"/>
      <c r="B53" s="586"/>
      <c r="C53" s="586"/>
      <c r="I53" s="586"/>
      <c r="K53" s="586"/>
      <c r="L53" s="586"/>
      <c r="M53" s="586"/>
      <c r="N53" s="586"/>
      <c r="O53" s="586"/>
      <c r="P53" s="586"/>
      <c r="Q53" s="586"/>
      <c r="R53" s="586"/>
      <c r="S53" s="586"/>
    </row>
    <row r="54" spans="1:19" ht="14" x14ac:dyDescent="0.3">
      <c r="A54" s="586"/>
      <c r="B54" s="586"/>
      <c r="C54" s="586"/>
      <c r="I54" s="586"/>
      <c r="K54" s="586"/>
      <c r="L54" s="586"/>
      <c r="M54" s="586"/>
      <c r="N54" s="586"/>
      <c r="O54" s="586"/>
      <c r="P54" s="586"/>
      <c r="Q54" s="586"/>
      <c r="R54" s="586"/>
      <c r="S54" s="586"/>
    </row>
    <row r="55" spans="1:19" ht="14" x14ac:dyDescent="0.3">
      <c r="A55" s="586"/>
      <c r="B55" s="586"/>
      <c r="C55" s="586"/>
      <c r="I55" s="586"/>
      <c r="K55" s="586"/>
      <c r="L55" s="586"/>
      <c r="M55" s="586"/>
      <c r="N55" s="586"/>
      <c r="O55" s="586"/>
      <c r="P55" s="586"/>
      <c r="Q55" s="586"/>
      <c r="R55" s="586"/>
      <c r="S55" s="586"/>
    </row>
    <row r="56" spans="1:19" ht="14" x14ac:dyDescent="0.3">
      <c r="A56" s="586"/>
      <c r="B56" s="586"/>
      <c r="C56" s="586"/>
      <c r="I56" s="586"/>
      <c r="K56" s="586"/>
      <c r="L56" s="586"/>
      <c r="M56" s="586"/>
      <c r="N56" s="586"/>
      <c r="O56" s="586"/>
      <c r="P56" s="586"/>
      <c r="Q56" s="586"/>
      <c r="R56" s="586"/>
      <c r="S56" s="586"/>
    </row>
    <row r="57" spans="1:19" ht="14" x14ac:dyDescent="0.3">
      <c r="A57" s="586"/>
      <c r="B57" s="586"/>
      <c r="C57" s="586"/>
      <c r="I57" s="586"/>
      <c r="K57" s="586"/>
      <c r="L57" s="586"/>
      <c r="M57" s="586"/>
      <c r="N57" s="586"/>
      <c r="O57" s="586"/>
      <c r="P57" s="586"/>
      <c r="Q57" s="586"/>
      <c r="R57" s="586"/>
      <c r="S57" s="586"/>
    </row>
    <row r="58" spans="1:19" ht="14" x14ac:dyDescent="0.3">
      <c r="A58" s="586"/>
      <c r="B58" s="586"/>
      <c r="C58" s="586"/>
      <c r="I58" s="586"/>
      <c r="K58" s="586"/>
      <c r="L58" s="586"/>
      <c r="M58" s="586"/>
      <c r="N58" s="586"/>
      <c r="O58" s="586"/>
      <c r="P58" s="586"/>
      <c r="Q58" s="586"/>
      <c r="R58" s="586"/>
      <c r="S58" s="586"/>
    </row>
    <row r="59" spans="1:19" ht="14" x14ac:dyDescent="0.3">
      <c r="A59" s="586"/>
      <c r="B59" s="586"/>
      <c r="C59" s="586"/>
      <c r="I59" s="586"/>
      <c r="K59" s="586"/>
      <c r="L59" s="586"/>
      <c r="M59" s="586"/>
      <c r="N59" s="586"/>
      <c r="O59" s="586"/>
      <c r="P59" s="586"/>
      <c r="Q59" s="586"/>
      <c r="R59" s="586"/>
      <c r="S59" s="586"/>
    </row>
    <row r="60" spans="1:19" ht="14" x14ac:dyDescent="0.3">
      <c r="A60" s="586"/>
      <c r="B60" s="586"/>
      <c r="C60" s="586"/>
      <c r="G60" s="870"/>
      <c r="H60" s="870"/>
      <c r="I60" s="870"/>
      <c r="K60" s="586"/>
      <c r="L60" s="586"/>
      <c r="M60" s="586"/>
      <c r="N60" s="586"/>
      <c r="O60" s="586"/>
      <c r="P60" s="586"/>
      <c r="Q60" s="870"/>
      <c r="R60" s="870"/>
      <c r="S60" s="870"/>
    </row>
    <row r="61" spans="1:19" ht="14" x14ac:dyDescent="0.3">
      <c r="A61" s="586"/>
      <c r="B61" s="586"/>
      <c r="C61" s="586"/>
      <c r="I61" s="586"/>
      <c r="K61" s="586"/>
      <c r="L61" s="586"/>
      <c r="M61" s="586"/>
      <c r="N61" s="870"/>
      <c r="O61" s="870"/>
      <c r="P61" s="870"/>
      <c r="Q61" s="586"/>
      <c r="R61" s="589"/>
      <c r="S61" s="586"/>
    </row>
    <row r="62" spans="1:19" ht="14" x14ac:dyDescent="0.3">
      <c r="A62" s="586"/>
      <c r="B62" s="586"/>
      <c r="C62" s="586"/>
      <c r="I62" s="586"/>
      <c r="K62" s="586"/>
      <c r="L62" s="586"/>
      <c r="M62" s="586"/>
      <c r="N62" s="586"/>
      <c r="O62" s="589"/>
      <c r="P62" s="586"/>
      <c r="Q62" s="586"/>
      <c r="R62" s="586"/>
      <c r="S62" s="586"/>
    </row>
    <row r="63" spans="1:19" ht="14" x14ac:dyDescent="0.3">
      <c r="A63" s="870"/>
      <c r="B63" s="870"/>
      <c r="C63" s="870"/>
      <c r="I63" s="586"/>
      <c r="K63" s="870"/>
      <c r="L63" s="870"/>
      <c r="M63" s="870"/>
      <c r="N63" s="586"/>
      <c r="O63" s="586"/>
      <c r="P63" s="586"/>
      <c r="Q63" s="586"/>
      <c r="R63" s="586"/>
      <c r="S63" s="586"/>
    </row>
    <row r="64" spans="1:19" ht="14" x14ac:dyDescent="0.3">
      <c r="A64" s="586"/>
      <c r="B64" s="589"/>
      <c r="C64" s="586"/>
      <c r="I64" s="590"/>
      <c r="K64" s="586"/>
      <c r="L64" s="589"/>
      <c r="M64" s="586"/>
      <c r="N64" s="586"/>
      <c r="O64" s="871"/>
      <c r="P64" s="871"/>
      <c r="Q64" s="586"/>
      <c r="R64" s="588"/>
      <c r="S64" s="590"/>
    </row>
    <row r="65" spans="1:19" ht="14" x14ac:dyDescent="0.3">
      <c r="A65" s="586"/>
      <c r="B65" s="586"/>
      <c r="C65" s="586"/>
      <c r="I65" s="586"/>
      <c r="K65" s="586"/>
      <c r="L65" s="586"/>
      <c r="M65" s="586"/>
      <c r="N65" s="586"/>
      <c r="O65" s="588"/>
      <c r="P65" s="590"/>
      <c r="Q65" s="586"/>
      <c r="R65" s="586"/>
      <c r="S65" s="586"/>
    </row>
    <row r="66" spans="1:19" ht="14" x14ac:dyDescent="0.3">
      <c r="A66" s="586"/>
      <c r="B66" s="871"/>
      <c r="C66" s="871"/>
      <c r="I66" s="586"/>
      <c r="K66" s="586"/>
      <c r="L66" s="871"/>
      <c r="M66" s="871"/>
      <c r="N66" s="586"/>
      <c r="O66" s="586"/>
      <c r="P66" s="586"/>
      <c r="Q66" s="586"/>
      <c r="R66" s="586"/>
      <c r="S66" s="586"/>
    </row>
    <row r="67" spans="1:19" ht="14" x14ac:dyDescent="0.3">
      <c r="A67" s="586"/>
      <c r="B67" s="588"/>
      <c r="C67" s="590"/>
      <c r="I67" s="586"/>
      <c r="K67" s="586"/>
      <c r="L67" s="588"/>
      <c r="M67" s="590"/>
      <c r="N67" s="586"/>
      <c r="O67" s="586"/>
      <c r="P67" s="586"/>
      <c r="Q67" s="586"/>
      <c r="R67" s="586"/>
      <c r="S67" s="586"/>
    </row>
    <row r="68" spans="1:19" ht="14" x14ac:dyDescent="0.3">
      <c r="A68" s="586"/>
      <c r="B68" s="586"/>
      <c r="C68" s="586"/>
      <c r="I68" s="586"/>
      <c r="K68" s="586"/>
      <c r="L68" s="586"/>
      <c r="M68" s="586"/>
      <c r="N68" s="586"/>
      <c r="O68" s="586"/>
      <c r="P68" s="586"/>
      <c r="Q68" s="586"/>
      <c r="R68" s="586"/>
      <c r="S68" s="586"/>
    </row>
    <row r="69" spans="1:19" ht="14" x14ac:dyDescent="0.3">
      <c r="A69" s="586"/>
      <c r="B69" s="586"/>
      <c r="C69" s="586"/>
      <c r="I69" s="586"/>
      <c r="K69" s="586"/>
      <c r="L69" s="586"/>
      <c r="M69" s="586"/>
      <c r="N69" s="586"/>
      <c r="O69" s="586"/>
      <c r="P69" s="586"/>
      <c r="Q69" s="586"/>
      <c r="R69" s="586"/>
      <c r="S69" s="586"/>
    </row>
    <row r="70" spans="1:19" ht="14" x14ac:dyDescent="0.3">
      <c r="A70" s="586"/>
      <c r="B70" s="586"/>
      <c r="C70" s="586"/>
      <c r="I70" s="586"/>
      <c r="K70" s="586"/>
      <c r="L70" s="586"/>
      <c r="M70" s="586"/>
      <c r="N70" s="586"/>
      <c r="O70" s="586"/>
      <c r="P70" s="586"/>
      <c r="Q70" s="586"/>
      <c r="R70" s="586"/>
      <c r="S70" s="586"/>
    </row>
    <row r="71" spans="1:19" ht="14" x14ac:dyDescent="0.3">
      <c r="A71" s="586"/>
      <c r="B71" s="586"/>
      <c r="C71" s="586"/>
      <c r="I71" s="586"/>
      <c r="K71" s="586"/>
      <c r="L71" s="586"/>
      <c r="M71" s="586"/>
      <c r="N71" s="586"/>
      <c r="O71" s="586"/>
      <c r="P71" s="586"/>
      <c r="Q71" s="586"/>
      <c r="R71" s="586"/>
      <c r="S71" s="586"/>
    </row>
    <row r="72" spans="1:19" ht="14" x14ac:dyDescent="0.3">
      <c r="A72" s="586"/>
      <c r="B72" s="586"/>
      <c r="C72" s="586"/>
      <c r="I72" s="586"/>
      <c r="K72" s="586"/>
      <c r="L72" s="586"/>
      <c r="M72" s="586"/>
      <c r="N72" s="586"/>
      <c r="O72" s="586"/>
      <c r="P72" s="586"/>
      <c r="Q72" s="586"/>
      <c r="R72" s="586"/>
      <c r="S72" s="586"/>
    </row>
    <row r="73" spans="1:19" ht="14" x14ac:dyDescent="0.3">
      <c r="A73" s="586"/>
      <c r="B73" s="586"/>
      <c r="C73" s="586"/>
      <c r="G73" s="870"/>
      <c r="H73" s="870"/>
      <c r="I73" s="870"/>
      <c r="K73" s="586"/>
      <c r="L73" s="586"/>
      <c r="M73" s="586"/>
      <c r="N73" s="586"/>
      <c r="O73" s="586"/>
      <c r="P73" s="586"/>
      <c r="Q73" s="870"/>
      <c r="R73" s="870"/>
      <c r="S73" s="870"/>
    </row>
    <row r="74" spans="1:19" ht="14" x14ac:dyDescent="0.3">
      <c r="A74" s="586"/>
      <c r="B74" s="586"/>
      <c r="C74" s="586"/>
      <c r="I74" s="586"/>
      <c r="K74" s="586"/>
      <c r="L74" s="586"/>
      <c r="M74" s="586"/>
      <c r="N74" s="586"/>
      <c r="O74" s="586"/>
      <c r="P74" s="586"/>
      <c r="Q74" s="586"/>
      <c r="R74" s="589"/>
      <c r="S74" s="586"/>
    </row>
    <row r="75" spans="1:19" ht="14" x14ac:dyDescent="0.3">
      <c r="A75" s="586"/>
      <c r="B75" s="586"/>
      <c r="C75" s="586"/>
      <c r="I75" s="586"/>
      <c r="K75" s="586"/>
      <c r="L75" s="586"/>
      <c r="M75" s="586"/>
      <c r="N75" s="586"/>
      <c r="O75" s="586"/>
      <c r="P75" s="586"/>
      <c r="Q75" s="586"/>
      <c r="R75" s="586"/>
      <c r="S75" s="586"/>
    </row>
    <row r="76" spans="1:19" ht="14" x14ac:dyDescent="0.3">
      <c r="A76" s="586"/>
      <c r="B76" s="586"/>
      <c r="C76" s="586"/>
      <c r="I76" s="586"/>
      <c r="K76" s="586"/>
      <c r="L76" s="586"/>
      <c r="M76" s="586"/>
      <c r="N76" s="586"/>
      <c r="O76" s="586"/>
      <c r="P76" s="586"/>
      <c r="Q76" s="586"/>
      <c r="R76" s="586"/>
      <c r="S76" s="586"/>
    </row>
    <row r="77" spans="1:19" ht="14" x14ac:dyDescent="0.3">
      <c r="A77" s="586"/>
      <c r="B77" s="586"/>
      <c r="C77" s="586"/>
      <c r="I77" s="590"/>
      <c r="K77" s="586"/>
      <c r="L77" s="586"/>
      <c r="M77" s="586"/>
      <c r="N77" s="586"/>
      <c r="O77" s="586"/>
      <c r="P77" s="586"/>
      <c r="Q77" s="586"/>
      <c r="R77" s="588"/>
      <c r="S77" s="590"/>
    </row>
    <row r="78" spans="1:19" ht="14" x14ac:dyDescent="0.3">
      <c r="A78" s="586"/>
      <c r="B78" s="586"/>
      <c r="C78" s="586"/>
      <c r="I78" s="586"/>
      <c r="K78" s="586"/>
      <c r="L78" s="586"/>
      <c r="M78" s="586"/>
      <c r="N78" s="586"/>
      <c r="O78" s="586"/>
      <c r="P78" s="586"/>
      <c r="Q78" s="586"/>
      <c r="R78" s="586"/>
      <c r="S78" s="586"/>
    </row>
    <row r="79" spans="1:19" ht="14" x14ac:dyDescent="0.3">
      <c r="A79" s="586"/>
      <c r="B79" s="586"/>
      <c r="C79" s="586"/>
      <c r="I79" s="586"/>
      <c r="K79" s="586"/>
      <c r="L79" s="586"/>
      <c r="M79" s="586"/>
      <c r="N79" s="586"/>
      <c r="O79" s="586"/>
      <c r="P79" s="586"/>
      <c r="Q79" s="586"/>
      <c r="R79" s="586"/>
      <c r="S79" s="586"/>
    </row>
    <row r="80" spans="1:19" ht="14" x14ac:dyDescent="0.3">
      <c r="A80" s="586"/>
      <c r="B80" s="586"/>
      <c r="C80" s="586"/>
      <c r="I80" s="586"/>
      <c r="K80" s="586"/>
      <c r="L80" s="586"/>
      <c r="M80" s="586"/>
      <c r="N80" s="586"/>
      <c r="O80" s="586"/>
      <c r="P80" s="586"/>
      <c r="Q80" s="586"/>
      <c r="R80" s="586"/>
      <c r="S80" s="586"/>
    </row>
    <row r="81" spans="1:19" ht="14" x14ac:dyDescent="0.3">
      <c r="A81" s="586"/>
      <c r="B81" s="586"/>
      <c r="C81" s="586"/>
      <c r="I81" s="586"/>
      <c r="K81" s="586"/>
      <c r="L81" s="586"/>
      <c r="M81" s="586"/>
      <c r="N81" s="586"/>
      <c r="O81" s="586"/>
      <c r="P81" s="586"/>
      <c r="Q81" s="586"/>
      <c r="R81" s="586"/>
      <c r="S81" s="586"/>
    </row>
    <row r="82" spans="1:19" ht="14" x14ac:dyDescent="0.3">
      <c r="A82" s="586"/>
      <c r="B82" s="586"/>
      <c r="C82" s="586"/>
      <c r="I82" s="586"/>
      <c r="K82" s="586"/>
      <c r="L82" s="586"/>
      <c r="M82" s="586"/>
      <c r="N82" s="586"/>
      <c r="O82" s="586"/>
      <c r="P82" s="586"/>
      <c r="Q82" s="586"/>
      <c r="R82" s="586"/>
      <c r="S82" s="586"/>
    </row>
    <row r="83" spans="1:19" ht="14" x14ac:dyDescent="0.3">
      <c r="A83" s="586"/>
      <c r="B83" s="586"/>
      <c r="C83" s="586"/>
      <c r="I83" s="586"/>
      <c r="K83" s="586"/>
      <c r="L83" s="586"/>
      <c r="M83" s="586"/>
      <c r="N83" s="586"/>
      <c r="O83" s="586"/>
      <c r="P83" s="586"/>
      <c r="Q83" s="586"/>
      <c r="R83" s="586"/>
      <c r="S83" s="586"/>
    </row>
    <row r="84" spans="1:19" ht="14" x14ac:dyDescent="0.3">
      <c r="A84" s="586"/>
      <c r="B84" s="586"/>
      <c r="C84" s="586"/>
      <c r="I84" s="586"/>
      <c r="K84" s="586"/>
      <c r="L84" s="586"/>
      <c r="M84" s="586"/>
      <c r="N84" s="586"/>
      <c r="O84" s="586"/>
      <c r="P84" s="586"/>
      <c r="Q84" s="586"/>
      <c r="R84" s="586"/>
      <c r="S84" s="586"/>
    </row>
    <row r="85" spans="1:19" ht="14" x14ac:dyDescent="0.3">
      <c r="Q85" s="870"/>
      <c r="R85" s="870"/>
      <c r="S85" s="870"/>
    </row>
    <row r="86" spans="1:19" ht="14" x14ac:dyDescent="0.3">
      <c r="Q86" s="586"/>
      <c r="R86" s="589"/>
      <c r="S86" s="586"/>
    </row>
    <row r="87" spans="1:19" ht="14" x14ac:dyDescent="0.3">
      <c r="B87" s="592"/>
      <c r="C87" s="593"/>
      <c r="Q87" s="586"/>
      <c r="R87" s="586"/>
      <c r="S87" s="586"/>
    </row>
    <row r="88" spans="1:19" ht="14" x14ac:dyDescent="0.3">
      <c r="B88" s="586"/>
      <c r="C88" s="586"/>
      <c r="Q88" s="586"/>
      <c r="R88" s="586"/>
      <c r="S88" s="586"/>
    </row>
    <row r="89" spans="1:19" ht="14" x14ac:dyDescent="0.3">
      <c r="B89" s="586"/>
      <c r="C89" s="586"/>
      <c r="Q89" s="586"/>
      <c r="R89" s="588"/>
      <c r="S89" s="590"/>
    </row>
    <row r="90" spans="1:19" ht="14" x14ac:dyDescent="0.3">
      <c r="B90" s="586"/>
      <c r="C90" s="586"/>
      <c r="Q90" s="586"/>
      <c r="R90" s="586"/>
      <c r="S90" s="586"/>
    </row>
    <row r="91" spans="1:19" ht="14" x14ac:dyDescent="0.3">
      <c r="B91" s="586"/>
      <c r="C91" s="586"/>
      <c r="Q91" s="586"/>
      <c r="R91" s="586"/>
      <c r="S91" s="586"/>
    </row>
    <row r="92" spans="1:19" ht="14" x14ac:dyDescent="0.3">
      <c r="B92" s="586"/>
      <c r="C92" s="586"/>
      <c r="Q92" s="586"/>
      <c r="R92" s="586"/>
      <c r="S92" s="586"/>
    </row>
    <row r="93" spans="1:19" ht="14" x14ac:dyDescent="0.3">
      <c r="B93" s="586"/>
      <c r="C93" s="586"/>
      <c r="Q93" s="586"/>
      <c r="R93" s="586"/>
    </row>
    <row r="94" spans="1:19" ht="14" x14ac:dyDescent="0.3">
      <c r="B94" s="586"/>
      <c r="C94" s="586"/>
      <c r="Q94" s="586"/>
      <c r="R94" s="586"/>
    </row>
    <row r="95" spans="1:19" ht="14" x14ac:dyDescent="0.3">
      <c r="B95" s="586"/>
      <c r="C95" s="586"/>
      <c r="Q95" s="586"/>
      <c r="R95" s="586"/>
      <c r="S95" s="586"/>
    </row>
    <row r="96" spans="1:19" ht="14" x14ac:dyDescent="0.3">
      <c r="B96" s="586"/>
      <c r="C96" s="586"/>
      <c r="Q96" s="586"/>
      <c r="R96" s="586"/>
      <c r="S96" s="586"/>
    </row>
    <row r="97" spans="2:19" ht="14" x14ac:dyDescent="0.3">
      <c r="B97" s="586"/>
      <c r="C97" s="586"/>
      <c r="Q97" s="586"/>
      <c r="R97" s="586"/>
      <c r="S97" s="586"/>
    </row>
    <row r="98" spans="2:19" ht="14" x14ac:dyDescent="0.3">
      <c r="B98" s="586"/>
      <c r="C98" s="586"/>
      <c r="Q98" s="586"/>
      <c r="R98" s="586"/>
      <c r="S98" s="586"/>
    </row>
    <row r="99" spans="2:19" ht="14" x14ac:dyDescent="0.3">
      <c r="B99" s="586"/>
      <c r="C99" s="586"/>
    </row>
    <row r="100" spans="2:19" ht="14" x14ac:dyDescent="0.3">
      <c r="B100" s="586"/>
      <c r="C100" s="586"/>
    </row>
    <row r="101" spans="2:19" ht="14" x14ac:dyDescent="0.3">
      <c r="B101" s="586"/>
      <c r="C101" s="586"/>
    </row>
    <row r="102" spans="2:19" ht="14" x14ac:dyDescent="0.3">
      <c r="B102" s="586"/>
      <c r="C102" s="586"/>
    </row>
  </sheetData>
  <mergeCells count="36">
    <mergeCell ref="D1:D2"/>
    <mergeCell ref="E1:E2"/>
    <mergeCell ref="F1:H1"/>
    <mergeCell ref="D3:E3"/>
    <mergeCell ref="D6:E6"/>
    <mergeCell ref="B66:C66"/>
    <mergeCell ref="B7:C7"/>
    <mergeCell ref="A15:C15"/>
    <mergeCell ref="A28:C28"/>
    <mergeCell ref="A32:C32"/>
    <mergeCell ref="A44:C44"/>
    <mergeCell ref="A63:C63"/>
    <mergeCell ref="D13:E13"/>
    <mergeCell ref="D15:E15"/>
    <mergeCell ref="D18:E18"/>
    <mergeCell ref="D20:E20"/>
    <mergeCell ref="D22:E22"/>
    <mergeCell ref="G73:I73"/>
    <mergeCell ref="K28:M28"/>
    <mergeCell ref="Q5:S5"/>
    <mergeCell ref="R8:S8"/>
    <mergeCell ref="Q29:S29"/>
    <mergeCell ref="O64:P64"/>
    <mergeCell ref="L66:M66"/>
    <mergeCell ref="K32:M32"/>
    <mergeCell ref="G29:I29"/>
    <mergeCell ref="G35:I35"/>
    <mergeCell ref="G60:I60"/>
    <mergeCell ref="Q85:S85"/>
    <mergeCell ref="Q73:S73"/>
    <mergeCell ref="Q35:S35"/>
    <mergeCell ref="N36:P36"/>
    <mergeCell ref="K44:M44"/>
    <mergeCell ref="Q60:S60"/>
    <mergeCell ref="N61:P61"/>
    <mergeCell ref="K63:M6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3:P35"/>
  <sheetViews>
    <sheetView workbookViewId="0">
      <selection activeCell="H32" sqref="H32"/>
    </sheetView>
  </sheetViews>
  <sheetFormatPr defaultRowHeight="12.5" x14ac:dyDescent="0.25"/>
  <cols>
    <col min="1" max="1" width="7.54296875" bestFit="1" customWidth="1"/>
    <col min="2" max="2" width="8.08984375" bestFit="1" customWidth="1"/>
    <col min="8" max="8" width="9.6328125" bestFit="1" customWidth="1"/>
    <col min="9" max="9" width="11.36328125" bestFit="1" customWidth="1"/>
    <col min="12" max="12" width="17.90625" bestFit="1" customWidth="1"/>
    <col min="13" max="13" width="24" bestFit="1" customWidth="1"/>
  </cols>
  <sheetData>
    <row r="3" spans="1:16" ht="13" x14ac:dyDescent="0.3">
      <c r="A3" s="354" t="s">
        <v>151</v>
      </c>
      <c r="B3" s="355">
        <v>41103</v>
      </c>
      <c r="C3" s="323"/>
      <c r="D3" s="878"/>
      <c r="E3" s="878"/>
      <c r="F3" s="323"/>
      <c r="G3" s="323"/>
    </row>
    <row r="4" spans="1:16" ht="13" x14ac:dyDescent="0.3">
      <c r="A4" s="356" t="s">
        <v>528</v>
      </c>
      <c r="B4" s="369" t="s">
        <v>153</v>
      </c>
      <c r="C4" s="369" t="s">
        <v>154</v>
      </c>
      <c r="D4" s="369" t="s">
        <v>155</v>
      </c>
      <c r="E4" s="369" t="s">
        <v>156</v>
      </c>
      <c r="F4" s="369" t="s">
        <v>157</v>
      </c>
      <c r="G4" s="606" t="s">
        <v>167</v>
      </c>
      <c r="H4" s="606" t="s">
        <v>177</v>
      </c>
      <c r="I4" s="323" t="s">
        <v>529</v>
      </c>
      <c r="J4" s="6">
        <f>AVERAGE(D5:D12)</f>
        <v>9.2875000000000014</v>
      </c>
      <c r="L4" s="373"/>
      <c r="M4" s="356" t="s">
        <v>183</v>
      </c>
      <c r="N4" s="234">
        <v>41103</v>
      </c>
      <c r="O4" s="236">
        <v>41130</v>
      </c>
      <c r="P4" s="235">
        <v>41158</v>
      </c>
    </row>
    <row r="5" spans="1:16" ht="13" x14ac:dyDescent="0.3">
      <c r="A5" s="357" t="s">
        <v>453</v>
      </c>
      <c r="B5" s="358">
        <v>6.3888888888888884E-2</v>
      </c>
      <c r="C5" s="605">
        <v>0.2</v>
      </c>
      <c r="D5" s="63">
        <v>9.5399999999999991</v>
      </c>
      <c r="E5" s="359">
        <v>20.5</v>
      </c>
      <c r="F5" s="359">
        <v>8.59</v>
      </c>
      <c r="G5" s="607">
        <v>2.2000000000000002</v>
      </c>
      <c r="H5" s="609">
        <v>30</v>
      </c>
      <c r="I5" s="323" t="s">
        <v>460</v>
      </c>
      <c r="J5" s="6">
        <f>AVERAGE(E5:E12)</f>
        <v>19.337500000000002</v>
      </c>
      <c r="L5" s="876" t="s">
        <v>871</v>
      </c>
      <c r="M5" s="361" t="s">
        <v>186</v>
      </c>
      <c r="N5" s="363">
        <v>178</v>
      </c>
      <c r="O5" s="363">
        <v>51</v>
      </c>
      <c r="P5" s="363">
        <v>107</v>
      </c>
    </row>
    <row r="6" spans="1:16" ht="13" x14ac:dyDescent="0.3">
      <c r="A6" s="357" t="s">
        <v>158</v>
      </c>
      <c r="B6" s="361"/>
      <c r="C6" s="605">
        <v>0.2</v>
      </c>
      <c r="D6" s="359">
        <v>10.18</v>
      </c>
      <c r="E6" s="359">
        <v>29</v>
      </c>
      <c r="F6" s="359">
        <v>8.66</v>
      </c>
      <c r="G6" s="607"/>
      <c r="I6" s="323" t="s">
        <v>530</v>
      </c>
      <c r="J6" s="6">
        <f>AVERAGE(F5:F12)</f>
        <v>8.43</v>
      </c>
      <c r="L6" s="876"/>
      <c r="M6" s="376" t="s">
        <v>251</v>
      </c>
      <c r="N6" s="363">
        <v>22</v>
      </c>
      <c r="O6" s="363">
        <v>20</v>
      </c>
      <c r="P6" s="363">
        <v>42</v>
      </c>
    </row>
    <row r="7" spans="1:16" ht="13" x14ac:dyDescent="0.3">
      <c r="A7" s="357" t="s">
        <v>454</v>
      </c>
      <c r="B7" s="361"/>
      <c r="C7" s="605">
        <v>0.2</v>
      </c>
      <c r="D7" s="359">
        <v>10.31</v>
      </c>
      <c r="E7" s="359">
        <v>19.5</v>
      </c>
      <c r="F7" s="359">
        <v>8.68</v>
      </c>
      <c r="G7" s="607"/>
      <c r="I7" s="323" t="s">
        <v>531</v>
      </c>
      <c r="J7" s="4">
        <f>AVERAGE(C5:C12)</f>
        <v>0.19187500000000002</v>
      </c>
      <c r="L7" s="876"/>
      <c r="M7" s="361" t="s">
        <v>180</v>
      </c>
      <c r="N7" s="363">
        <v>14</v>
      </c>
      <c r="O7" s="363">
        <v>13</v>
      </c>
      <c r="P7" s="363">
        <v>11</v>
      </c>
    </row>
    <row r="8" spans="1:16" ht="13" x14ac:dyDescent="0.3">
      <c r="A8" s="357" t="s">
        <v>159</v>
      </c>
      <c r="B8" s="361"/>
      <c r="C8" s="359">
        <v>0.189</v>
      </c>
      <c r="D8" s="359">
        <v>10.31</v>
      </c>
      <c r="E8" s="359">
        <v>18.899999999999999</v>
      </c>
      <c r="F8" s="359">
        <v>8.65</v>
      </c>
      <c r="G8" s="607"/>
      <c r="I8" s="323"/>
      <c r="J8" s="6"/>
      <c r="L8" s="877" t="s">
        <v>872</v>
      </c>
      <c r="M8" s="361" t="s">
        <v>186</v>
      </c>
      <c r="N8" s="363">
        <v>273</v>
      </c>
      <c r="O8" s="363">
        <v>215</v>
      </c>
      <c r="P8" s="363">
        <v>100</v>
      </c>
    </row>
    <row r="9" spans="1:16" ht="13" x14ac:dyDescent="0.3">
      <c r="A9" s="357" t="s">
        <v>455</v>
      </c>
      <c r="B9" s="361"/>
      <c r="C9" s="567">
        <v>0.189</v>
      </c>
      <c r="D9" s="567">
        <v>9.1999999999999993</v>
      </c>
      <c r="E9" s="567">
        <v>16.899999999999999</v>
      </c>
      <c r="F9" s="567">
        <v>8.4600000000000009</v>
      </c>
      <c r="G9" s="607"/>
      <c r="I9" s="323"/>
      <c r="J9" s="6"/>
      <c r="L9" s="877"/>
      <c r="M9" s="376" t="s">
        <v>251</v>
      </c>
      <c r="N9" s="363">
        <v>67</v>
      </c>
      <c r="O9" s="363">
        <v>61</v>
      </c>
      <c r="P9" s="363">
        <v>36</v>
      </c>
    </row>
    <row r="10" spans="1:16" ht="13" x14ac:dyDescent="0.3">
      <c r="A10" s="357" t="s">
        <v>160</v>
      </c>
      <c r="B10" s="361"/>
      <c r="C10" s="567">
        <v>0.186</v>
      </c>
      <c r="D10" s="567">
        <v>9.0299999999999994</v>
      </c>
      <c r="E10" s="567">
        <v>16.7</v>
      </c>
      <c r="F10" s="567">
        <v>8.26</v>
      </c>
      <c r="G10" s="607"/>
      <c r="I10" s="323"/>
      <c r="J10" s="6"/>
      <c r="L10" s="877"/>
      <c r="M10" s="361" t="s">
        <v>180</v>
      </c>
      <c r="N10" s="363">
        <v>22</v>
      </c>
      <c r="O10" s="363">
        <v>18</v>
      </c>
      <c r="P10" s="363">
        <v>9</v>
      </c>
    </row>
    <row r="11" spans="1:16" ht="13" x14ac:dyDescent="0.3">
      <c r="A11" s="357" t="s">
        <v>456</v>
      </c>
      <c r="B11" s="361"/>
      <c r="C11" s="567">
        <v>0.186</v>
      </c>
      <c r="D11" s="567">
        <v>7.98</v>
      </c>
      <c r="E11" s="567">
        <v>16.600000000000001</v>
      </c>
      <c r="F11" s="567">
        <v>8.14</v>
      </c>
      <c r="G11" s="607"/>
      <c r="I11" s="323"/>
      <c r="J11" s="6"/>
    </row>
    <row r="12" spans="1:16" ht="13" x14ac:dyDescent="0.3">
      <c r="A12" s="357" t="s">
        <v>161</v>
      </c>
      <c r="B12" s="361"/>
      <c r="C12" s="567">
        <v>0.185</v>
      </c>
      <c r="D12" s="567">
        <v>7.75</v>
      </c>
      <c r="E12" s="567">
        <v>16.600000000000001</v>
      </c>
      <c r="F12" s="567">
        <v>8</v>
      </c>
      <c r="G12" s="607"/>
      <c r="I12" s="323"/>
      <c r="J12" s="6"/>
    </row>
    <row r="13" spans="1:16" ht="13" x14ac:dyDescent="0.3">
      <c r="A13" s="357" t="s">
        <v>162</v>
      </c>
      <c r="B13" s="56"/>
      <c r="C13" s="368">
        <v>0.185</v>
      </c>
      <c r="D13" s="330">
        <v>7.38</v>
      </c>
      <c r="E13" s="330">
        <v>16.5</v>
      </c>
      <c r="F13" s="330">
        <v>7.86</v>
      </c>
      <c r="G13" s="608"/>
    </row>
    <row r="14" spans="1:16" ht="13" x14ac:dyDescent="0.3">
      <c r="A14" s="364" t="s">
        <v>151</v>
      </c>
      <c r="B14" s="365">
        <v>41130</v>
      </c>
      <c r="C14" s="323"/>
      <c r="D14" s="323"/>
      <c r="E14" s="323"/>
      <c r="F14" s="323"/>
      <c r="G14" s="323"/>
    </row>
    <row r="15" spans="1:16" ht="13" x14ac:dyDescent="0.3">
      <c r="A15" s="356" t="s">
        <v>528</v>
      </c>
      <c r="B15" s="369" t="s">
        <v>153</v>
      </c>
      <c r="C15" s="369" t="s">
        <v>154</v>
      </c>
      <c r="D15" s="369" t="s">
        <v>155</v>
      </c>
      <c r="E15" s="369" t="s">
        <v>156</v>
      </c>
      <c r="F15" s="369" t="s">
        <v>157</v>
      </c>
      <c r="G15" s="606" t="s">
        <v>167</v>
      </c>
      <c r="H15" s="606" t="s">
        <v>177</v>
      </c>
      <c r="I15" s="323" t="s">
        <v>529</v>
      </c>
      <c r="J15" s="6">
        <f>AVERAGE(D16:D19)</f>
        <v>6.41</v>
      </c>
    </row>
    <row r="16" spans="1:16" ht="13" x14ac:dyDescent="0.3">
      <c r="A16" s="357" t="s">
        <v>453</v>
      </c>
      <c r="B16" s="358">
        <v>0.3923611111111111</v>
      </c>
      <c r="C16" s="359">
        <v>0.16600000000000001</v>
      </c>
      <c r="D16" s="359">
        <v>6.6</v>
      </c>
      <c r="E16" s="359">
        <v>19.600000000000001</v>
      </c>
      <c r="F16" s="359">
        <v>8.9600000000000009</v>
      </c>
      <c r="G16" s="607">
        <v>1.8</v>
      </c>
      <c r="H16">
        <v>30</v>
      </c>
      <c r="I16" s="323" t="s">
        <v>460</v>
      </c>
      <c r="J16" s="6">
        <f>AVERAGE(E16:E19)</f>
        <v>19.600000000000001</v>
      </c>
    </row>
    <row r="17" spans="1:10" ht="13" x14ac:dyDescent="0.3">
      <c r="A17" s="357" t="s">
        <v>158</v>
      </c>
      <c r="B17" s="361"/>
      <c r="C17" s="567">
        <v>0.16600000000000001</v>
      </c>
      <c r="D17" s="359">
        <v>6.87</v>
      </c>
      <c r="E17" s="567">
        <v>19.600000000000001</v>
      </c>
      <c r="F17" s="359">
        <v>9.11</v>
      </c>
      <c r="G17" s="607"/>
      <c r="I17" s="323" t="s">
        <v>530</v>
      </c>
      <c r="J17" s="6">
        <f>AVERAGE(F16:F24)</f>
        <v>8.6655555555555548</v>
      </c>
    </row>
    <row r="18" spans="1:10" ht="13" x14ac:dyDescent="0.3">
      <c r="A18" s="357" t="s">
        <v>454</v>
      </c>
      <c r="B18" s="361"/>
      <c r="C18" s="567">
        <v>0.16600000000000001</v>
      </c>
      <c r="D18" s="359">
        <v>6.3</v>
      </c>
      <c r="E18" s="567">
        <v>19.600000000000001</v>
      </c>
      <c r="F18" s="359">
        <v>9.18</v>
      </c>
      <c r="G18" s="607"/>
      <c r="I18" s="323" t="s">
        <v>531</v>
      </c>
      <c r="J18" s="6">
        <f>AVERAGE(C16:C24)</f>
        <v>0.15833333333333333</v>
      </c>
    </row>
    <row r="19" spans="1:10" ht="13" x14ac:dyDescent="0.3">
      <c r="A19" s="357" t="s">
        <v>159</v>
      </c>
      <c r="B19" s="361"/>
      <c r="C19" s="567">
        <v>0.16600000000000001</v>
      </c>
      <c r="D19" s="359">
        <v>5.87</v>
      </c>
      <c r="E19" s="567">
        <v>19.600000000000001</v>
      </c>
      <c r="F19" s="359">
        <v>9.1199999999999992</v>
      </c>
      <c r="G19" s="607"/>
    </row>
    <row r="20" spans="1:10" ht="13" x14ac:dyDescent="0.3">
      <c r="A20" s="357" t="s">
        <v>455</v>
      </c>
      <c r="B20" s="361"/>
      <c r="C20" s="359">
        <v>0.16200000000000001</v>
      </c>
      <c r="D20" s="359">
        <v>5.1100000000000003</v>
      </c>
      <c r="E20" s="359">
        <v>19.5</v>
      </c>
      <c r="F20" s="359">
        <v>9.02</v>
      </c>
      <c r="G20" s="607"/>
    </row>
    <row r="21" spans="1:10" ht="13" x14ac:dyDescent="0.3">
      <c r="A21" s="357" t="s">
        <v>160</v>
      </c>
      <c r="B21" s="361"/>
      <c r="C21" s="359">
        <v>0.154</v>
      </c>
      <c r="D21" s="359">
        <v>3.86</v>
      </c>
      <c r="E21" s="359">
        <v>18.600000000000001</v>
      </c>
      <c r="F21" s="359">
        <v>8.59</v>
      </c>
      <c r="G21" s="607"/>
    </row>
    <row r="22" spans="1:10" ht="13" x14ac:dyDescent="0.3">
      <c r="A22" s="357" t="s">
        <v>456</v>
      </c>
      <c r="B22" s="361"/>
      <c r="C22" s="359">
        <v>0.151</v>
      </c>
      <c r="D22" s="359">
        <v>2.58</v>
      </c>
      <c r="E22" s="359">
        <v>18.3</v>
      </c>
      <c r="F22" s="359">
        <v>8.1999999999999993</v>
      </c>
      <c r="G22" s="607"/>
    </row>
    <row r="23" spans="1:10" ht="13" x14ac:dyDescent="0.3">
      <c r="A23" s="357" t="s">
        <v>161</v>
      </c>
      <c r="B23" s="361"/>
      <c r="C23" s="359">
        <v>0.14799999999999999</v>
      </c>
      <c r="D23" s="359">
        <v>2.57</v>
      </c>
      <c r="E23" s="359">
        <v>18.100000000000001</v>
      </c>
      <c r="F23" s="359">
        <v>7.96</v>
      </c>
      <c r="G23" s="607"/>
    </row>
    <row r="24" spans="1:10" ht="13" x14ac:dyDescent="0.3">
      <c r="A24" s="357" t="s">
        <v>162</v>
      </c>
      <c r="B24" s="361"/>
      <c r="C24" s="359">
        <v>0.14599999999999999</v>
      </c>
      <c r="D24" s="359">
        <v>2.46</v>
      </c>
      <c r="E24" s="359">
        <v>18</v>
      </c>
      <c r="F24" s="359">
        <v>7.85</v>
      </c>
      <c r="G24" s="607"/>
    </row>
    <row r="25" spans="1:10" ht="13" x14ac:dyDescent="0.3">
      <c r="A25" s="366" t="s">
        <v>151</v>
      </c>
      <c r="B25" s="355">
        <v>41158</v>
      </c>
      <c r="C25" s="323"/>
      <c r="D25" s="323"/>
      <c r="E25" s="323"/>
      <c r="F25" s="323"/>
      <c r="G25" s="323"/>
    </row>
    <row r="26" spans="1:10" ht="13" x14ac:dyDescent="0.3">
      <c r="A26" s="356" t="s">
        <v>528</v>
      </c>
      <c r="B26" s="369" t="s">
        <v>153</v>
      </c>
      <c r="C26" s="369" t="s">
        <v>154</v>
      </c>
      <c r="D26" s="369" t="s">
        <v>155</v>
      </c>
      <c r="E26" s="369" t="s">
        <v>156</v>
      </c>
      <c r="F26" s="369" t="s">
        <v>157</v>
      </c>
      <c r="G26" s="606" t="s">
        <v>167</v>
      </c>
      <c r="H26" s="606" t="s">
        <v>177</v>
      </c>
      <c r="I26" s="323" t="s">
        <v>529</v>
      </c>
      <c r="J26" s="6">
        <f>AVERAGE(D27:D30)</f>
        <v>5.1499999999999995</v>
      </c>
    </row>
    <row r="27" spans="1:10" ht="13" x14ac:dyDescent="0.3">
      <c r="A27" s="357" t="s">
        <v>453</v>
      </c>
      <c r="B27" s="358">
        <v>0.4201388888888889</v>
      </c>
      <c r="C27" s="359">
        <v>0.14499999999999999</v>
      </c>
      <c r="D27" s="359">
        <v>5.35</v>
      </c>
      <c r="E27" s="359">
        <v>17.899999999999999</v>
      </c>
      <c r="F27" s="359">
        <v>8.35</v>
      </c>
      <c r="G27" s="607">
        <v>2.2000000000000002</v>
      </c>
      <c r="H27" s="609">
        <v>30</v>
      </c>
      <c r="I27" s="323" t="s">
        <v>460</v>
      </c>
      <c r="J27" s="6">
        <f>AVERAGE(E27:E30)</f>
        <v>17.899999999999999</v>
      </c>
    </row>
    <row r="28" spans="1:10" ht="13" x14ac:dyDescent="0.3">
      <c r="A28" s="357" t="s">
        <v>158</v>
      </c>
      <c r="B28" s="361"/>
      <c r="C28" s="567">
        <v>0.14499999999999999</v>
      </c>
      <c r="D28" s="359">
        <v>5.25</v>
      </c>
      <c r="E28" s="567">
        <v>17.899999999999999</v>
      </c>
      <c r="F28" s="359">
        <v>8.11</v>
      </c>
      <c r="G28" s="607"/>
      <c r="I28" s="323" t="s">
        <v>530</v>
      </c>
      <c r="J28" s="6">
        <f>AVERAGE(F27:F35)</f>
        <v>8.0311111111111106</v>
      </c>
    </row>
    <row r="29" spans="1:10" ht="13" x14ac:dyDescent="0.3">
      <c r="A29" s="357" t="s">
        <v>454</v>
      </c>
      <c r="B29" s="361"/>
      <c r="C29" s="567">
        <v>0.14499999999999999</v>
      </c>
      <c r="D29" s="359">
        <v>5.05</v>
      </c>
      <c r="E29" s="567">
        <v>17.899999999999999</v>
      </c>
      <c r="F29" s="359">
        <v>8.07</v>
      </c>
      <c r="G29" s="607"/>
      <c r="I29" s="323" t="s">
        <v>531</v>
      </c>
      <c r="J29" s="6">
        <f>AVERAGE(C27:C35)</f>
        <v>0.14444444444444443</v>
      </c>
    </row>
    <row r="30" spans="1:10" ht="13" x14ac:dyDescent="0.3">
      <c r="A30" s="357" t="s">
        <v>159</v>
      </c>
      <c r="B30" s="361"/>
      <c r="C30" s="567">
        <v>0.14499999999999999</v>
      </c>
      <c r="D30" s="359">
        <v>4.95</v>
      </c>
      <c r="E30" s="567">
        <v>17.899999999999999</v>
      </c>
      <c r="F30" s="359">
        <v>8.0500000000000007</v>
      </c>
      <c r="G30" s="607"/>
    </row>
    <row r="31" spans="1:10" ht="13" x14ac:dyDescent="0.3">
      <c r="A31" s="357" t="s">
        <v>455</v>
      </c>
      <c r="B31" s="361"/>
      <c r="C31" s="359">
        <v>0.14399999999999999</v>
      </c>
      <c r="D31" s="359">
        <v>4.8899999999999997</v>
      </c>
      <c r="E31" s="567">
        <v>17.899999999999999</v>
      </c>
      <c r="F31" s="359">
        <v>8.01</v>
      </c>
      <c r="G31" s="607"/>
    </row>
    <row r="32" spans="1:10" ht="13" x14ac:dyDescent="0.3">
      <c r="A32" s="357" t="s">
        <v>160</v>
      </c>
      <c r="B32" s="361"/>
      <c r="C32" s="567">
        <v>0.14399999999999999</v>
      </c>
      <c r="D32" s="359">
        <v>4.8499999999999996</v>
      </c>
      <c r="E32" s="359">
        <v>17.8</v>
      </c>
      <c r="F32" s="359">
        <v>7.98</v>
      </c>
      <c r="G32" s="607"/>
    </row>
    <row r="33" spans="1:7" ht="13" x14ac:dyDescent="0.3">
      <c r="A33" s="357" t="s">
        <v>456</v>
      </c>
      <c r="B33" s="361"/>
      <c r="C33" s="567">
        <v>0.14399999999999999</v>
      </c>
      <c r="D33" s="367">
        <v>4.76</v>
      </c>
      <c r="E33" s="567">
        <v>17.8</v>
      </c>
      <c r="F33" s="359">
        <v>7.91</v>
      </c>
      <c r="G33" s="607"/>
    </row>
    <row r="34" spans="1:7" ht="13" x14ac:dyDescent="0.3">
      <c r="A34" s="357" t="s">
        <v>161</v>
      </c>
      <c r="B34" s="361"/>
      <c r="C34" s="567">
        <v>0.14399999999999999</v>
      </c>
      <c r="D34" s="359">
        <v>3.13</v>
      </c>
      <c r="E34" s="567">
        <v>17.8</v>
      </c>
      <c r="F34" s="359">
        <v>7.93</v>
      </c>
      <c r="G34" s="607"/>
    </row>
    <row r="35" spans="1:7" ht="13" x14ac:dyDescent="0.3">
      <c r="A35" s="357" t="s">
        <v>162</v>
      </c>
      <c r="B35" s="361"/>
      <c r="C35" s="567">
        <v>0.14399999999999999</v>
      </c>
      <c r="D35" s="359">
        <v>2.9</v>
      </c>
      <c r="E35" s="567">
        <v>17.8</v>
      </c>
      <c r="F35" s="359">
        <v>7.87</v>
      </c>
      <c r="G35" s="607"/>
    </row>
  </sheetData>
  <mergeCells count="3">
    <mergeCell ref="L5:L7"/>
    <mergeCell ref="L8:L10"/>
    <mergeCell ref="D3:E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I9"/>
  <sheetViews>
    <sheetView workbookViewId="0">
      <selection activeCell="G10" sqref="G10"/>
    </sheetView>
  </sheetViews>
  <sheetFormatPr defaultRowHeight="12.5" x14ac:dyDescent="0.25"/>
  <sheetData>
    <row r="1" spans="1:9" x14ac:dyDescent="0.25">
      <c r="A1" s="19" t="s">
        <v>873</v>
      </c>
    </row>
    <row r="2" spans="1:9" ht="13" x14ac:dyDescent="0.3">
      <c r="A2" s="364" t="s">
        <v>151</v>
      </c>
      <c r="B2" s="365">
        <v>41151</v>
      </c>
      <c r="C2" s="323"/>
      <c r="D2" s="323"/>
      <c r="E2" s="323"/>
      <c r="F2" s="323"/>
      <c r="G2" s="323"/>
      <c r="H2" s="323"/>
      <c r="I2" s="323"/>
    </row>
    <row r="3" spans="1:9" ht="13" x14ac:dyDescent="0.3">
      <c r="A3" s="356" t="s">
        <v>489</v>
      </c>
      <c r="B3" s="369" t="s">
        <v>153</v>
      </c>
      <c r="C3" s="369" t="s">
        <v>154</v>
      </c>
      <c r="D3" s="369" t="s">
        <v>155</v>
      </c>
      <c r="E3" s="369" t="s">
        <v>156</v>
      </c>
      <c r="F3" s="369" t="s">
        <v>157</v>
      </c>
      <c r="G3" s="356" t="s">
        <v>167</v>
      </c>
      <c r="H3" s="356" t="s">
        <v>177</v>
      </c>
      <c r="I3" s="323"/>
    </row>
    <row r="4" spans="1:9" ht="13" x14ac:dyDescent="0.3">
      <c r="A4" s="357" t="s">
        <v>453</v>
      </c>
      <c r="B4" s="358">
        <v>0.4909722222222222</v>
      </c>
      <c r="C4" s="567">
        <v>0.56000000000000005</v>
      </c>
      <c r="D4" s="567">
        <v>10.25</v>
      </c>
      <c r="E4" s="567">
        <v>20.3</v>
      </c>
      <c r="F4" s="567">
        <v>9.0299999999999994</v>
      </c>
      <c r="G4" s="360">
        <v>1.75</v>
      </c>
      <c r="H4" s="361">
        <v>7.5</v>
      </c>
      <c r="I4" s="323"/>
    </row>
    <row r="5" spans="1:9" ht="13" x14ac:dyDescent="0.3">
      <c r="A5" s="357" t="s">
        <v>158</v>
      </c>
      <c r="B5" s="361"/>
      <c r="C5" s="567">
        <v>0.56000000000000005</v>
      </c>
      <c r="D5" s="567">
        <v>9.93</v>
      </c>
      <c r="E5" s="567">
        <v>20.2</v>
      </c>
      <c r="F5" s="567">
        <v>9.06</v>
      </c>
      <c r="G5" s="362"/>
      <c r="H5" s="323" t="s">
        <v>529</v>
      </c>
      <c r="I5" s="386">
        <f>AVERAGE(D4:D8)</f>
        <v>9.5560000000000009</v>
      </c>
    </row>
    <row r="6" spans="1:9" ht="13" x14ac:dyDescent="0.3">
      <c r="A6" s="357" t="s">
        <v>454</v>
      </c>
      <c r="B6" s="361"/>
      <c r="C6" s="567">
        <v>0.56000000000000005</v>
      </c>
      <c r="D6" s="567">
        <v>9.6</v>
      </c>
      <c r="E6" s="567">
        <v>20.2</v>
      </c>
      <c r="F6" s="567">
        <v>9.09</v>
      </c>
      <c r="G6" s="362"/>
      <c r="H6" s="323" t="s">
        <v>460</v>
      </c>
      <c r="I6" s="386">
        <f>AVERAGE(E4:E8)</f>
        <v>19.88</v>
      </c>
    </row>
    <row r="7" spans="1:9" ht="13" x14ac:dyDescent="0.3">
      <c r="A7" s="357" t="s">
        <v>159</v>
      </c>
      <c r="B7" s="361"/>
      <c r="C7" s="567">
        <v>0.56000000000000005</v>
      </c>
      <c r="D7" s="567">
        <v>9.66</v>
      </c>
      <c r="E7" s="567">
        <v>19.399999999999999</v>
      </c>
      <c r="F7" s="567">
        <v>9.08</v>
      </c>
      <c r="G7" s="362"/>
      <c r="H7" s="323" t="s">
        <v>530</v>
      </c>
      <c r="I7" s="386">
        <f>AVERAGE(F4:F10)</f>
        <v>9.0500000000000007</v>
      </c>
    </row>
    <row r="8" spans="1:9" ht="13" x14ac:dyDescent="0.3">
      <c r="A8" s="357" t="s">
        <v>455</v>
      </c>
      <c r="B8" s="361"/>
      <c r="C8" s="567">
        <v>0.56000000000000005</v>
      </c>
      <c r="D8" s="567">
        <v>8.34</v>
      </c>
      <c r="E8" s="567">
        <v>19.3</v>
      </c>
      <c r="F8" s="567" t="s">
        <v>874</v>
      </c>
      <c r="G8" s="362"/>
      <c r="H8" s="323" t="s">
        <v>531</v>
      </c>
      <c r="I8" s="385">
        <f>AVERAGE(C4:C10)</f>
        <v>0.56000000000000005</v>
      </c>
    </row>
    <row r="9" spans="1:9" ht="13" x14ac:dyDescent="0.3">
      <c r="A9" s="357" t="s">
        <v>162</v>
      </c>
      <c r="B9" s="361"/>
      <c r="C9" s="567">
        <v>0.56000000000000005</v>
      </c>
      <c r="D9" s="567">
        <v>7.8</v>
      </c>
      <c r="E9" s="567">
        <v>19.2</v>
      </c>
      <c r="F9" s="567">
        <v>8.99</v>
      </c>
      <c r="G9" s="362"/>
      <c r="H9" s="323"/>
      <c r="I9" s="323"/>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X37"/>
  <sheetViews>
    <sheetView tabSelected="1" topLeftCell="C1" workbookViewId="0">
      <selection activeCell="Q6" sqref="Q6"/>
    </sheetView>
  </sheetViews>
  <sheetFormatPr defaultColWidth="8.90625" defaultRowHeight="13" x14ac:dyDescent="0.3"/>
  <cols>
    <col min="1" max="1" width="8.90625" style="323"/>
    <col min="2" max="2" width="26.36328125" style="323" bestFit="1" customWidth="1"/>
    <col min="3" max="4" width="9.08984375" style="323" bestFit="1" customWidth="1"/>
    <col min="5" max="5" width="8.08984375" style="323" bestFit="1" customWidth="1"/>
    <col min="6" max="6" width="8.90625" style="323"/>
    <col min="7" max="7" width="19.36328125" style="323" bestFit="1" customWidth="1"/>
    <col min="8" max="8" width="9.08984375" style="323" bestFit="1" customWidth="1"/>
    <col min="9" max="9" width="6" style="323" bestFit="1" customWidth="1"/>
    <col min="10" max="10" width="5" style="323" bestFit="1" customWidth="1"/>
    <col min="11" max="11" width="6.54296875" style="323" bestFit="1" customWidth="1"/>
    <col min="12" max="12" width="5" style="323" bestFit="1" customWidth="1"/>
    <col min="13" max="13" width="8.36328125" style="323" bestFit="1" customWidth="1"/>
    <col min="14" max="14" width="11.36328125" style="323" bestFit="1" customWidth="1"/>
    <col min="15" max="15" width="8.90625" style="323"/>
    <col min="16" max="16" width="3" style="323" bestFit="1" customWidth="1"/>
    <col min="17" max="17" width="24.453125" style="323" bestFit="1" customWidth="1"/>
    <col min="18" max="16384" width="8.90625" style="323"/>
  </cols>
  <sheetData>
    <row r="1" spans="1:24" x14ac:dyDescent="0.3">
      <c r="A1" s="323" t="s">
        <v>271</v>
      </c>
      <c r="G1" s="354" t="s">
        <v>151</v>
      </c>
      <c r="H1" s="355">
        <v>41102</v>
      </c>
      <c r="J1" s="878" t="s">
        <v>525</v>
      </c>
      <c r="K1" s="878"/>
    </row>
    <row r="2" spans="1:24" ht="14" x14ac:dyDescent="0.3">
      <c r="B2" s="879" t="s">
        <v>524</v>
      </c>
      <c r="C2" s="879"/>
      <c r="D2" s="879"/>
      <c r="E2" s="879"/>
      <c r="G2" s="356" t="s">
        <v>489</v>
      </c>
      <c r="H2" s="369" t="s">
        <v>153</v>
      </c>
      <c r="I2" s="369" t="s">
        <v>154</v>
      </c>
      <c r="J2" s="369" t="s">
        <v>155</v>
      </c>
      <c r="K2" s="369" t="s">
        <v>156</v>
      </c>
      <c r="L2" s="369" t="s">
        <v>157</v>
      </c>
      <c r="M2" s="356" t="s">
        <v>167</v>
      </c>
      <c r="N2" s="356" t="s">
        <v>177</v>
      </c>
      <c r="P2" s="370"/>
      <c r="Q2" s="371"/>
      <c r="R2" s="372"/>
    </row>
    <row r="3" spans="1:24" x14ac:dyDescent="0.3">
      <c r="A3" s="373"/>
      <c r="B3" s="356" t="s">
        <v>183</v>
      </c>
      <c r="C3" s="234">
        <v>41102</v>
      </c>
      <c r="D3" s="236">
        <v>41130</v>
      </c>
      <c r="E3" s="235">
        <v>41158</v>
      </c>
      <c r="G3" s="357" t="s">
        <v>453</v>
      </c>
      <c r="H3" s="358">
        <v>0.51388888888888895</v>
      </c>
      <c r="I3" s="359">
        <v>7.3999999999999996E-2</v>
      </c>
      <c r="J3" s="359">
        <v>10.37</v>
      </c>
      <c r="K3" s="359">
        <v>20</v>
      </c>
      <c r="L3" s="359">
        <v>6.93</v>
      </c>
      <c r="M3" s="360">
        <v>1.55</v>
      </c>
      <c r="N3" s="361">
        <v>6.31</v>
      </c>
      <c r="P3" s="370"/>
      <c r="Q3" s="323">
        <v>1.55</v>
      </c>
      <c r="R3" s="372"/>
    </row>
    <row r="4" spans="1:24" x14ac:dyDescent="0.3">
      <c r="A4" s="881" t="s">
        <v>400</v>
      </c>
      <c r="B4" s="361" t="s">
        <v>204</v>
      </c>
      <c r="C4" s="363">
        <v>395</v>
      </c>
      <c r="D4" s="363">
        <v>390</v>
      </c>
      <c r="E4" s="363">
        <v>189</v>
      </c>
      <c r="F4" s="979">
        <f>AVERAGE(C4:E4)</f>
        <v>324.66666666666669</v>
      </c>
      <c r="G4" s="357" t="s">
        <v>158</v>
      </c>
      <c r="H4" s="361"/>
      <c r="I4" s="359">
        <v>7.3999999999999996E-2</v>
      </c>
      <c r="J4" s="359">
        <v>9.8699999999999992</v>
      </c>
      <c r="K4" s="359">
        <v>19.100000000000001</v>
      </c>
      <c r="L4" s="359">
        <v>6.91</v>
      </c>
      <c r="M4" s="362"/>
      <c r="N4" s="323" t="s">
        <v>529</v>
      </c>
      <c r="O4" s="386">
        <f>AVERAGE(J3:J6)</f>
        <v>9.6724999999999994</v>
      </c>
      <c r="P4" s="370"/>
      <c r="Q4" s="323">
        <v>0.94</v>
      </c>
      <c r="R4" s="372"/>
    </row>
    <row r="5" spans="1:24" x14ac:dyDescent="0.3">
      <c r="A5" s="881"/>
      <c r="B5" s="361" t="s">
        <v>186</v>
      </c>
      <c r="C5" s="363">
        <v>5</v>
      </c>
      <c r="D5" s="363">
        <v>13</v>
      </c>
      <c r="E5" s="363">
        <v>7</v>
      </c>
      <c r="F5" s="979">
        <f t="shared" ref="F5:F9" si="0">AVERAGE(C5:E5)</f>
        <v>8.3333333333333339</v>
      </c>
      <c r="G5" s="357" t="s">
        <v>454</v>
      </c>
      <c r="H5" s="361"/>
      <c r="I5" s="359">
        <v>7.4999999999999997E-2</v>
      </c>
      <c r="J5" s="359">
        <v>8.67</v>
      </c>
      <c r="K5" s="359">
        <v>18.899999999999999</v>
      </c>
      <c r="L5" s="359">
        <v>6.85</v>
      </c>
      <c r="M5" s="362"/>
      <c r="N5" s="323" t="s">
        <v>460</v>
      </c>
      <c r="O5" s="386">
        <f>AVERAGE(K3:K6)</f>
        <v>19.225000000000001</v>
      </c>
      <c r="P5" s="370"/>
      <c r="Q5" s="374">
        <v>1.47</v>
      </c>
      <c r="R5" s="375"/>
    </row>
    <row r="6" spans="1:24" x14ac:dyDescent="0.3">
      <c r="A6" s="881"/>
      <c r="B6" s="376" t="s">
        <v>251</v>
      </c>
      <c r="C6" s="363">
        <v>38</v>
      </c>
      <c r="D6" s="363">
        <v>15</v>
      </c>
      <c r="E6" s="363">
        <v>56</v>
      </c>
      <c r="F6" s="979">
        <f t="shared" si="0"/>
        <v>36.333333333333336</v>
      </c>
      <c r="G6" s="357" t="s">
        <v>159</v>
      </c>
      <c r="H6" s="361"/>
      <c r="I6" s="567">
        <v>7.4999999999999997E-2</v>
      </c>
      <c r="J6" s="359">
        <v>9.7799999999999994</v>
      </c>
      <c r="K6" s="359">
        <v>18.899999999999999</v>
      </c>
      <c r="L6" s="359">
        <v>6.87</v>
      </c>
      <c r="M6" s="362"/>
      <c r="N6" s="323" t="s">
        <v>530</v>
      </c>
      <c r="O6" s="386">
        <f>AVERAGE(L3:L12)</f>
        <v>6.794999999999999</v>
      </c>
      <c r="P6" s="370"/>
      <c r="Q6" s="374">
        <f>AVERAGE(Q3:Q5)</f>
        <v>1.32</v>
      </c>
      <c r="R6" s="375"/>
    </row>
    <row r="7" spans="1:24" x14ac:dyDescent="0.3">
      <c r="A7" s="881"/>
      <c r="B7" s="361" t="s">
        <v>180</v>
      </c>
      <c r="C7" s="363">
        <v>30</v>
      </c>
      <c r="D7" s="363">
        <v>48</v>
      </c>
      <c r="E7" s="363">
        <v>33</v>
      </c>
      <c r="F7" s="979">
        <f t="shared" si="0"/>
        <v>37</v>
      </c>
      <c r="G7" s="357" t="s">
        <v>455</v>
      </c>
      <c r="H7" s="361"/>
      <c r="I7" s="567">
        <v>7.4999999999999997E-2</v>
      </c>
      <c r="J7" s="359">
        <v>7.68</v>
      </c>
      <c r="K7" s="567">
        <v>18.8</v>
      </c>
      <c r="L7" s="359">
        <v>6.81</v>
      </c>
      <c r="M7" s="362"/>
      <c r="N7" s="323" t="s">
        <v>531</v>
      </c>
      <c r="O7" s="385">
        <f>AVERAGE(I3:I12)</f>
        <v>7.4799999999999991E-2</v>
      </c>
      <c r="P7" s="370"/>
      <c r="Q7" s="374"/>
      <c r="R7" s="375"/>
    </row>
    <row r="8" spans="1:24" x14ac:dyDescent="0.3">
      <c r="A8" s="881"/>
      <c r="B8" s="377" t="s">
        <v>181</v>
      </c>
      <c r="C8" s="363">
        <v>11</v>
      </c>
      <c r="D8" s="363">
        <v>10</v>
      </c>
      <c r="E8" s="363">
        <v>14</v>
      </c>
      <c r="F8" s="979">
        <f t="shared" si="0"/>
        <v>11.666666666666666</v>
      </c>
      <c r="G8" s="357" t="s">
        <v>160</v>
      </c>
      <c r="H8" s="361"/>
      <c r="I8" s="567">
        <v>7.4999999999999997E-2</v>
      </c>
      <c r="J8" s="359">
        <v>7.92</v>
      </c>
      <c r="K8" s="567">
        <v>18.7</v>
      </c>
      <c r="L8" s="359">
        <v>6.78</v>
      </c>
      <c r="M8" s="362"/>
      <c r="P8" s="370"/>
      <c r="Q8" s="371"/>
      <c r="R8" s="372"/>
    </row>
    <row r="9" spans="1:24" x14ac:dyDescent="0.3">
      <c r="A9" s="882"/>
      <c r="B9" s="377" t="s">
        <v>185</v>
      </c>
      <c r="C9" s="363">
        <v>7.8</v>
      </c>
      <c r="D9" s="363">
        <v>10.6</v>
      </c>
      <c r="E9" s="363">
        <v>11.5</v>
      </c>
      <c r="F9" s="979">
        <f t="shared" si="0"/>
        <v>9.9666666666666668</v>
      </c>
      <c r="G9" s="357" t="s">
        <v>456</v>
      </c>
      <c r="H9" s="361"/>
      <c r="I9" s="567">
        <v>7.4999999999999997E-2</v>
      </c>
      <c r="J9" s="359">
        <v>6.93</v>
      </c>
      <c r="K9" s="567">
        <v>18.600000000000001</v>
      </c>
      <c r="L9" s="359">
        <v>6.79</v>
      </c>
      <c r="M9" s="362"/>
      <c r="P9" s="370"/>
      <c r="R9" s="372"/>
    </row>
    <row r="10" spans="1:24" x14ac:dyDescent="0.3">
      <c r="A10" s="880" t="s">
        <v>523</v>
      </c>
      <c r="B10" s="361" t="s">
        <v>204</v>
      </c>
      <c r="C10" s="363">
        <v>474</v>
      </c>
      <c r="D10" s="363">
        <v>335</v>
      </c>
      <c r="E10" s="363">
        <v>104</v>
      </c>
      <c r="G10" s="357" t="s">
        <v>161</v>
      </c>
      <c r="H10" s="361"/>
      <c r="I10" s="567">
        <v>7.4999999999999997E-2</v>
      </c>
      <c r="J10" s="359">
        <v>6.57</v>
      </c>
      <c r="K10" s="567">
        <v>18.600000000000001</v>
      </c>
      <c r="L10" s="359">
        <v>6.77</v>
      </c>
      <c r="M10" s="362"/>
      <c r="P10" s="370"/>
      <c r="R10" s="372"/>
    </row>
    <row r="11" spans="1:24" x14ac:dyDescent="0.3">
      <c r="A11" s="880"/>
      <c r="B11" s="361" t="s">
        <v>186</v>
      </c>
      <c r="C11" s="363">
        <v>3</v>
      </c>
      <c r="D11" s="363">
        <v>16</v>
      </c>
      <c r="E11" s="363">
        <v>4</v>
      </c>
      <c r="G11" s="357" t="s">
        <v>162</v>
      </c>
      <c r="H11" s="361"/>
      <c r="I11" s="567">
        <v>7.4999999999999997E-2</v>
      </c>
      <c r="J11" s="359">
        <v>5.54</v>
      </c>
      <c r="K11" s="567">
        <v>18.399999999999999</v>
      </c>
      <c r="L11" s="359">
        <v>6.69</v>
      </c>
      <c r="M11" s="362"/>
      <c r="P11" s="370"/>
      <c r="Q11" s="374"/>
      <c r="R11" s="375"/>
    </row>
    <row r="12" spans="1:24" x14ac:dyDescent="0.3">
      <c r="A12" s="880"/>
      <c r="B12" s="376" t="s">
        <v>251</v>
      </c>
      <c r="C12" s="363">
        <v>21</v>
      </c>
      <c r="D12" s="363">
        <v>36</v>
      </c>
      <c r="E12" s="363">
        <v>51</v>
      </c>
      <c r="G12" s="357" t="s">
        <v>163</v>
      </c>
      <c r="H12" s="361"/>
      <c r="I12" s="567">
        <v>7.4999999999999997E-2</v>
      </c>
      <c r="J12" s="363">
        <v>4.3499999999999996</v>
      </c>
      <c r="K12" s="567">
        <v>18.100000000000001</v>
      </c>
      <c r="L12" s="363">
        <v>6.55</v>
      </c>
    </row>
    <row r="13" spans="1:24" x14ac:dyDescent="0.3">
      <c r="A13" s="880"/>
      <c r="B13" s="361" t="s">
        <v>180</v>
      </c>
      <c r="C13" s="363">
        <v>44</v>
      </c>
      <c r="D13" s="363">
        <v>37</v>
      </c>
      <c r="E13" s="363">
        <v>29</v>
      </c>
      <c r="G13" s="364" t="s">
        <v>151</v>
      </c>
      <c r="H13" s="365">
        <v>41130</v>
      </c>
    </row>
    <row r="14" spans="1:24" x14ac:dyDescent="0.3">
      <c r="A14" s="880"/>
      <c r="B14" s="377" t="s">
        <v>181</v>
      </c>
      <c r="C14" s="363">
        <v>12</v>
      </c>
      <c r="D14" s="363">
        <v>7</v>
      </c>
      <c r="E14" s="363">
        <v>11</v>
      </c>
      <c r="G14" s="356" t="s">
        <v>489</v>
      </c>
      <c r="H14" s="369" t="s">
        <v>153</v>
      </c>
      <c r="I14" s="369" t="s">
        <v>154</v>
      </c>
      <c r="J14" s="369" t="s">
        <v>155</v>
      </c>
      <c r="K14" s="369" t="s">
        <v>156</v>
      </c>
      <c r="L14" s="369" t="s">
        <v>157</v>
      </c>
      <c r="M14" s="356" t="s">
        <v>167</v>
      </c>
      <c r="N14" s="356" t="s">
        <v>177</v>
      </c>
    </row>
    <row r="15" spans="1:24" x14ac:dyDescent="0.3">
      <c r="A15" s="880"/>
      <c r="B15" s="377" t="s">
        <v>185</v>
      </c>
      <c r="C15" s="363">
        <v>11.2</v>
      </c>
      <c r="D15" s="363">
        <v>10</v>
      </c>
      <c r="E15" s="363">
        <v>12.4</v>
      </c>
      <c r="G15" s="357" t="s">
        <v>453</v>
      </c>
      <c r="H15" s="358">
        <v>0.50694444444444442</v>
      </c>
      <c r="I15" s="359">
        <v>5.8000000000000003E-2</v>
      </c>
      <c r="J15" s="359">
        <v>6.38</v>
      </c>
      <c r="K15" s="359">
        <v>19.100000000000001</v>
      </c>
      <c r="L15" s="359">
        <v>7.99</v>
      </c>
      <c r="M15" s="360">
        <v>0.94</v>
      </c>
      <c r="N15" s="361">
        <v>5.5</v>
      </c>
      <c r="R15" s="459"/>
      <c r="S15" s="63"/>
      <c r="T15" s="63"/>
      <c r="U15" s="63"/>
      <c r="V15" s="466"/>
      <c r="W15" s="63"/>
      <c r="X15" s="63"/>
    </row>
    <row r="16" spans="1:24" x14ac:dyDescent="0.3">
      <c r="G16" s="357" t="s">
        <v>158</v>
      </c>
      <c r="H16" s="361"/>
      <c r="I16" s="567">
        <v>5.8000000000000003E-2</v>
      </c>
      <c r="J16" s="361">
        <v>6.35</v>
      </c>
      <c r="K16" s="361">
        <v>19</v>
      </c>
      <c r="L16" s="361">
        <v>7.94</v>
      </c>
      <c r="M16" s="362"/>
      <c r="N16" s="323" t="s">
        <v>529</v>
      </c>
      <c r="O16" s="386">
        <f>AVERAGE(J15:J19)</f>
        <v>5.9399999999999995</v>
      </c>
      <c r="S16" s="63"/>
      <c r="T16" s="63"/>
      <c r="U16" s="63"/>
      <c r="V16" s="466"/>
    </row>
    <row r="17" spans="2:22" x14ac:dyDescent="0.3">
      <c r="G17" s="357" t="s">
        <v>454</v>
      </c>
      <c r="H17" s="361"/>
      <c r="I17" s="567">
        <v>5.8000000000000003E-2</v>
      </c>
      <c r="J17" s="359">
        <v>6.63</v>
      </c>
      <c r="K17" s="359">
        <v>18.600000000000001</v>
      </c>
      <c r="L17" s="359">
        <v>7.88</v>
      </c>
      <c r="M17" s="362"/>
      <c r="N17" s="323" t="s">
        <v>460</v>
      </c>
      <c r="O17" s="386">
        <f>AVERAGE(K15:K19)</f>
        <v>18.68</v>
      </c>
      <c r="S17" s="63"/>
      <c r="T17" s="63"/>
      <c r="U17" s="63"/>
      <c r="V17" s="466"/>
    </row>
    <row r="18" spans="2:22" x14ac:dyDescent="0.3">
      <c r="B18" s="119"/>
      <c r="C18" s="119"/>
      <c r="D18" s="331"/>
      <c r="E18" s="19"/>
      <c r="F18" s="92"/>
      <c r="G18" s="357" t="s">
        <v>159</v>
      </c>
      <c r="H18" s="361"/>
      <c r="I18" s="567">
        <v>5.8000000000000003E-2</v>
      </c>
      <c r="J18" s="359">
        <v>5.36</v>
      </c>
      <c r="K18" s="359">
        <v>18.399999999999999</v>
      </c>
      <c r="L18" s="359">
        <v>7.72</v>
      </c>
      <c r="M18" s="362"/>
      <c r="N18" s="323" t="s">
        <v>530</v>
      </c>
      <c r="O18" s="386">
        <f>AVERAGE(L15:L24)</f>
        <v>7.6629999999999994</v>
      </c>
      <c r="S18" s="63"/>
      <c r="T18" s="63"/>
      <c r="U18" s="63"/>
      <c r="V18" s="466"/>
    </row>
    <row r="19" spans="2:22" x14ac:dyDescent="0.3">
      <c r="B19" s="119"/>
      <c r="C19" s="119"/>
      <c r="D19" s="331"/>
      <c r="E19" s="19"/>
      <c r="F19" s="92"/>
      <c r="G19" s="357" t="s">
        <v>455</v>
      </c>
      <c r="H19" s="361"/>
      <c r="I19" s="567">
        <v>5.8000000000000003E-2</v>
      </c>
      <c r="J19" s="359">
        <v>4.9800000000000004</v>
      </c>
      <c r="K19" s="359">
        <v>18.3</v>
      </c>
      <c r="L19" s="359">
        <v>7.65</v>
      </c>
      <c r="M19" s="362"/>
      <c r="N19" s="323" t="s">
        <v>531</v>
      </c>
      <c r="O19" s="385">
        <f>AVERAGE(I15:I24)</f>
        <v>5.8099999999999999E-2</v>
      </c>
      <c r="P19" s="374"/>
      <c r="S19" s="63"/>
      <c r="T19" s="63"/>
      <c r="U19" s="63"/>
      <c r="V19" s="466"/>
    </row>
    <row r="20" spans="2:22" x14ac:dyDescent="0.3">
      <c r="B20" s="119"/>
      <c r="C20" s="119"/>
      <c r="D20" s="331"/>
      <c r="E20" s="19"/>
      <c r="F20" s="92"/>
      <c r="G20" s="357" t="s">
        <v>160</v>
      </c>
      <c r="H20" s="361"/>
      <c r="I20" s="567">
        <v>5.8000000000000003E-2</v>
      </c>
      <c r="J20" s="359">
        <v>5.2</v>
      </c>
      <c r="K20" s="567">
        <v>18.3</v>
      </c>
      <c r="L20" s="359">
        <v>7.59</v>
      </c>
      <c r="M20" s="362"/>
      <c r="O20" s="378"/>
      <c r="S20" s="63"/>
      <c r="T20" s="63"/>
      <c r="U20" s="63"/>
      <c r="V20" s="466"/>
    </row>
    <row r="21" spans="2:22" x14ac:dyDescent="0.3">
      <c r="B21" s="119"/>
      <c r="C21" s="119"/>
      <c r="D21" s="331"/>
      <c r="E21" s="108"/>
      <c r="F21" s="92"/>
      <c r="G21" s="357" t="s">
        <v>456</v>
      </c>
      <c r="H21" s="361"/>
      <c r="I21" s="567">
        <v>5.8000000000000003E-2</v>
      </c>
      <c r="J21" s="359">
        <v>5.1100000000000003</v>
      </c>
      <c r="K21" s="567">
        <v>18.3</v>
      </c>
      <c r="L21" s="359">
        <v>7.71</v>
      </c>
      <c r="M21" s="362"/>
      <c r="S21" s="63"/>
      <c r="T21" s="63"/>
      <c r="U21" s="63"/>
      <c r="V21" s="466"/>
    </row>
    <row r="22" spans="2:22" x14ac:dyDescent="0.3">
      <c r="B22" s="119"/>
      <c r="C22" s="119"/>
      <c r="D22" s="331"/>
      <c r="E22" s="108"/>
      <c r="F22" s="92"/>
      <c r="G22" s="357" t="s">
        <v>161</v>
      </c>
      <c r="H22" s="361"/>
      <c r="I22" s="567">
        <v>5.8000000000000003E-2</v>
      </c>
      <c r="J22" s="359">
        <v>4.91</v>
      </c>
      <c r="K22" s="359">
        <v>18</v>
      </c>
      <c r="L22" s="359">
        <v>7.6</v>
      </c>
      <c r="M22" s="362"/>
      <c r="S22" s="63"/>
      <c r="T22" s="63"/>
      <c r="U22" s="63"/>
      <c r="V22" s="466"/>
    </row>
    <row r="23" spans="2:22" x14ac:dyDescent="0.3">
      <c r="B23" s="119"/>
      <c r="C23" s="119"/>
      <c r="D23" s="331"/>
      <c r="E23" s="96"/>
      <c r="F23" s="92"/>
      <c r="G23" s="357" t="s">
        <v>162</v>
      </c>
      <c r="H23" s="361"/>
      <c r="I23" s="567">
        <v>5.8000000000000003E-2</v>
      </c>
      <c r="J23" s="359">
        <v>4.62</v>
      </c>
      <c r="K23" s="359">
        <v>17.899999999999999</v>
      </c>
      <c r="L23" s="359">
        <v>7.31</v>
      </c>
      <c r="M23" s="362"/>
      <c r="S23" s="63"/>
      <c r="T23" s="63"/>
      <c r="U23" s="63"/>
      <c r="V23" s="466"/>
    </row>
    <row r="24" spans="2:22" x14ac:dyDescent="0.3">
      <c r="B24" s="119"/>
      <c r="C24" s="119"/>
      <c r="D24" s="331"/>
      <c r="E24" s="19"/>
      <c r="F24" s="92"/>
      <c r="G24" s="357" t="s">
        <v>163</v>
      </c>
      <c r="H24" s="361"/>
      <c r="I24" s="361">
        <v>5.8999999999999997E-2</v>
      </c>
      <c r="J24" s="361">
        <v>3.71</v>
      </c>
      <c r="K24" s="361">
        <v>17.5</v>
      </c>
      <c r="L24" s="361">
        <v>7.24</v>
      </c>
    </row>
    <row r="25" spans="2:22" x14ac:dyDescent="0.3">
      <c r="B25" s="119"/>
      <c r="C25" s="119"/>
      <c r="D25" s="331"/>
      <c r="E25" s="19"/>
      <c r="F25" s="92"/>
      <c r="G25" s="366" t="s">
        <v>151</v>
      </c>
      <c r="H25" s="355">
        <v>41158</v>
      </c>
    </row>
    <row r="26" spans="2:22" x14ac:dyDescent="0.3">
      <c r="B26" s="119"/>
      <c r="C26" s="119"/>
      <c r="D26" s="331"/>
      <c r="E26" s="19"/>
      <c r="F26" s="92"/>
      <c r="G26" s="356" t="s">
        <v>489</v>
      </c>
      <c r="H26" s="369" t="s">
        <v>153</v>
      </c>
      <c r="I26" s="369" t="s">
        <v>154</v>
      </c>
      <c r="J26" s="369" t="s">
        <v>155</v>
      </c>
      <c r="K26" s="369" t="s">
        <v>156</v>
      </c>
      <c r="L26" s="369" t="s">
        <v>157</v>
      </c>
      <c r="M26" s="356" t="s">
        <v>167</v>
      </c>
      <c r="N26" s="356" t="s">
        <v>177</v>
      </c>
    </row>
    <row r="27" spans="2:22" x14ac:dyDescent="0.3">
      <c r="B27" s="119"/>
      <c r="C27" s="119"/>
      <c r="D27" s="331"/>
      <c r="E27" s="19"/>
      <c r="F27" s="92"/>
      <c r="G27" s="357" t="s">
        <v>453</v>
      </c>
      <c r="H27" s="358">
        <v>0.51874999999999993</v>
      </c>
      <c r="I27" s="359">
        <v>5.8000000000000003E-2</v>
      </c>
      <c r="J27" s="359">
        <v>6.5</v>
      </c>
      <c r="K27" s="359">
        <v>17.100000000000001</v>
      </c>
      <c r="L27" s="359">
        <v>7.75</v>
      </c>
      <c r="M27" s="360">
        <v>1.47</v>
      </c>
      <c r="N27" s="361">
        <v>6.28</v>
      </c>
    </row>
    <row r="28" spans="2:22" x14ac:dyDescent="0.3">
      <c r="B28" s="119"/>
      <c r="C28" s="119"/>
      <c r="D28" s="331"/>
      <c r="E28" s="108"/>
      <c r="F28" s="92"/>
      <c r="G28" s="357" t="s">
        <v>158</v>
      </c>
      <c r="H28" s="361"/>
      <c r="I28" s="567">
        <v>5.8000000000000003E-2</v>
      </c>
      <c r="J28" s="359">
        <v>6.15</v>
      </c>
      <c r="K28" s="359">
        <v>16.899999999999999</v>
      </c>
      <c r="L28" s="359">
        <v>7.59</v>
      </c>
      <c r="M28" s="362"/>
      <c r="N28" s="323" t="s">
        <v>529</v>
      </c>
      <c r="O28" s="386">
        <f>AVERAGE(J27:J30)</f>
        <v>6.12</v>
      </c>
    </row>
    <row r="29" spans="2:22" x14ac:dyDescent="0.3">
      <c r="B29" s="119"/>
      <c r="C29" s="119"/>
      <c r="D29" s="331"/>
      <c r="E29" s="96"/>
      <c r="F29" s="95"/>
      <c r="G29" s="357" t="s">
        <v>454</v>
      </c>
      <c r="H29" s="361"/>
      <c r="I29" s="567">
        <v>5.8000000000000003E-2</v>
      </c>
      <c r="J29" s="359">
        <v>5.85</v>
      </c>
      <c r="K29" s="359">
        <v>16.8</v>
      </c>
      <c r="L29" s="359">
        <v>7.5</v>
      </c>
      <c r="M29" s="362"/>
      <c r="N29" s="323" t="s">
        <v>460</v>
      </c>
      <c r="O29" s="386">
        <f>AVERAGE(K27:K30)</f>
        <v>16.899999999999999</v>
      </c>
    </row>
    <row r="30" spans="2:22" x14ac:dyDescent="0.3">
      <c r="B30" s="119"/>
      <c r="C30" s="119"/>
      <c r="D30" s="331"/>
      <c r="E30" s="19"/>
      <c r="F30" s="103"/>
      <c r="G30" s="357" t="s">
        <v>159</v>
      </c>
      <c r="H30" s="361"/>
      <c r="I30" s="567">
        <v>5.8000000000000003E-2</v>
      </c>
      <c r="J30" s="359">
        <v>5.98</v>
      </c>
      <c r="K30" s="359">
        <v>16.8</v>
      </c>
      <c r="L30" s="359">
        <v>7.49</v>
      </c>
      <c r="M30" s="362"/>
      <c r="N30" s="323" t="s">
        <v>530</v>
      </c>
      <c r="O30" s="386">
        <f>AVERAGE(L27:L36)</f>
        <v>7.4619999999999989</v>
      </c>
    </row>
    <row r="31" spans="2:22" x14ac:dyDescent="0.3">
      <c r="B31" s="378"/>
      <c r="C31" s="379"/>
      <c r="D31" s="379"/>
      <c r="E31" s="371"/>
      <c r="G31" s="357" t="s">
        <v>455</v>
      </c>
      <c r="H31" s="361"/>
      <c r="I31" s="567">
        <v>5.8000000000000003E-2</v>
      </c>
      <c r="J31" s="359">
        <v>6.08</v>
      </c>
      <c r="K31" s="359">
        <v>16.7</v>
      </c>
      <c r="L31" s="359">
        <v>7.45</v>
      </c>
      <c r="M31" s="362"/>
      <c r="N31" s="323" t="s">
        <v>531</v>
      </c>
      <c r="O31" s="385">
        <f>AVERAGE(I27:I36)</f>
        <v>5.800000000000001E-2</v>
      </c>
    </row>
    <row r="32" spans="2:22" x14ac:dyDescent="0.3">
      <c r="B32" s="378"/>
      <c r="C32" s="379"/>
      <c r="D32" s="379"/>
      <c r="G32" s="357" t="s">
        <v>160</v>
      </c>
      <c r="H32" s="361"/>
      <c r="I32" s="567">
        <v>5.8000000000000003E-2</v>
      </c>
      <c r="J32" s="359">
        <v>6.11</v>
      </c>
      <c r="K32" s="567">
        <v>16.7</v>
      </c>
      <c r="L32" s="359">
        <v>7.37</v>
      </c>
      <c r="M32" s="362"/>
    </row>
    <row r="33" spans="2:13" x14ac:dyDescent="0.3">
      <c r="B33" s="378"/>
      <c r="C33" s="379"/>
      <c r="D33" s="379"/>
      <c r="G33" s="357" t="s">
        <v>456</v>
      </c>
      <c r="H33" s="361"/>
      <c r="I33" s="567">
        <v>5.8000000000000003E-2</v>
      </c>
      <c r="J33" s="367">
        <v>5.85</v>
      </c>
      <c r="K33" s="567">
        <v>16.7</v>
      </c>
      <c r="L33" s="359">
        <v>7.42</v>
      </c>
      <c r="M33" s="362"/>
    </row>
    <row r="34" spans="2:13" x14ac:dyDescent="0.3">
      <c r="B34" s="378"/>
      <c r="C34" s="379"/>
      <c r="D34" s="379"/>
      <c r="G34" s="357" t="s">
        <v>161</v>
      </c>
      <c r="H34" s="361"/>
      <c r="I34" s="567">
        <v>5.8000000000000003E-2</v>
      </c>
      <c r="J34" s="359">
        <v>5.85</v>
      </c>
      <c r="K34" s="567">
        <v>16.7</v>
      </c>
      <c r="L34" s="359">
        <v>7.37</v>
      </c>
      <c r="M34" s="362"/>
    </row>
    <row r="35" spans="2:13" x14ac:dyDescent="0.3">
      <c r="B35" s="378"/>
      <c r="C35" s="379"/>
      <c r="D35" s="379"/>
      <c r="G35" s="357" t="s">
        <v>162</v>
      </c>
      <c r="H35" s="361"/>
      <c r="I35" s="567">
        <v>5.8000000000000003E-2</v>
      </c>
      <c r="J35" s="359">
        <v>5.88</v>
      </c>
      <c r="K35" s="567">
        <v>16.7</v>
      </c>
      <c r="L35" s="359">
        <v>7.38</v>
      </c>
      <c r="M35" s="362"/>
    </row>
    <row r="36" spans="2:13" x14ac:dyDescent="0.3">
      <c r="B36" s="378"/>
      <c r="C36" s="379"/>
      <c r="D36" s="379"/>
      <c r="E36" s="371"/>
      <c r="G36" s="357" t="s">
        <v>163</v>
      </c>
      <c r="H36" s="361"/>
      <c r="I36" s="567">
        <v>5.8000000000000003E-2</v>
      </c>
      <c r="J36" s="363">
        <v>5.38</v>
      </c>
      <c r="K36" s="363">
        <v>16.5</v>
      </c>
      <c r="L36" s="363">
        <v>7.3</v>
      </c>
    </row>
    <row r="37" spans="2:13" x14ac:dyDescent="0.3">
      <c r="B37" s="378"/>
      <c r="C37" s="379"/>
      <c r="D37" s="379"/>
      <c r="G37" s="380"/>
      <c r="H37" s="372"/>
    </row>
  </sheetData>
  <mergeCells count="4">
    <mergeCell ref="B2:E2"/>
    <mergeCell ref="A10:A15"/>
    <mergeCell ref="A4:A9"/>
    <mergeCell ref="J1:K1"/>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F67"/>
  <sheetViews>
    <sheetView workbookViewId="0">
      <selection activeCell="J24" sqref="J24:M28"/>
    </sheetView>
  </sheetViews>
  <sheetFormatPr defaultRowHeight="12.5" x14ac:dyDescent="0.25"/>
  <cols>
    <col min="1" max="1" width="20.90625" bestFit="1" customWidth="1"/>
    <col min="2" max="2" width="10.08984375" bestFit="1" customWidth="1"/>
    <col min="3" max="3" width="13.36328125" customWidth="1"/>
    <col min="4" max="4" width="13.90625" bestFit="1" customWidth="1"/>
    <col min="5" max="5" width="5.54296875" bestFit="1" customWidth="1"/>
    <col min="6" max="6" width="8.54296875" bestFit="1" customWidth="1"/>
    <col min="7" max="7" width="15.54296875" bestFit="1" customWidth="1"/>
    <col min="8" max="8" width="26.90625" bestFit="1" customWidth="1"/>
    <col min="10" max="10" width="20" bestFit="1" customWidth="1"/>
    <col min="11" max="11" width="8.6328125" bestFit="1" customWidth="1"/>
    <col min="12" max="12" width="12.54296875" bestFit="1" customWidth="1"/>
    <col min="13" max="13" width="11" customWidth="1"/>
    <col min="14" max="14" width="12.08984375" bestFit="1" customWidth="1"/>
    <col min="15" max="15" width="7.08984375" bestFit="1" customWidth="1"/>
    <col min="16" max="16" width="11.08984375" bestFit="1" customWidth="1"/>
    <col min="17" max="17" width="11.08984375" customWidth="1"/>
    <col min="18" max="18" width="20" bestFit="1" customWidth="1"/>
    <col min="19" max="19" width="11.08984375" customWidth="1"/>
    <col min="20" max="20" width="11.08984375" bestFit="1" customWidth="1"/>
    <col min="21" max="22" width="11.08984375" customWidth="1"/>
    <col min="23" max="23" width="18.36328125" bestFit="1" customWidth="1"/>
    <col min="24" max="24" width="11.08984375" customWidth="1"/>
    <col min="25" max="25" width="20" bestFit="1" customWidth="1"/>
    <col min="27" max="27" width="6.90625" bestFit="1" customWidth="1"/>
    <col min="28" max="28" width="4.90625" bestFit="1" customWidth="1"/>
    <col min="29" max="29" width="6.90625" bestFit="1" customWidth="1"/>
    <col min="30" max="30" width="6" bestFit="1" customWidth="1"/>
    <col min="32" max="32" width="7.453125" customWidth="1"/>
  </cols>
  <sheetData>
    <row r="1" spans="1:32" x14ac:dyDescent="0.25">
      <c r="A1" t="s">
        <v>298</v>
      </c>
      <c r="B1" s="87">
        <v>41197</v>
      </c>
      <c r="M1" t="s">
        <v>558</v>
      </c>
      <c r="N1">
        <v>0.03</v>
      </c>
      <c r="O1">
        <v>0.09</v>
      </c>
    </row>
    <row r="2" spans="1:32" x14ac:dyDescent="0.25">
      <c r="A2" s="883" t="s">
        <v>320</v>
      </c>
      <c r="B2" s="896" t="s">
        <v>319</v>
      </c>
      <c r="C2" s="896" t="s">
        <v>322</v>
      </c>
      <c r="D2" s="896" t="s">
        <v>323</v>
      </c>
      <c r="E2" s="896" t="s">
        <v>153</v>
      </c>
      <c r="F2" s="896" t="s">
        <v>800</v>
      </c>
      <c r="G2" s="896" t="s">
        <v>781</v>
      </c>
      <c r="H2" s="896" t="s">
        <v>6</v>
      </c>
      <c r="J2" s="62"/>
      <c r="K2" s="62"/>
      <c r="L2" s="220" t="s">
        <v>360</v>
      </c>
      <c r="M2" s="62"/>
      <c r="N2" s="62">
        <v>0.02</v>
      </c>
      <c r="O2" s="62"/>
      <c r="P2" s="56">
        <v>2012</v>
      </c>
      <c r="Q2" s="62"/>
      <c r="R2" s="62"/>
      <c r="S2" s="62"/>
      <c r="T2" s="56">
        <v>2010</v>
      </c>
      <c r="U2" s="56">
        <v>2011</v>
      </c>
      <c r="V2" s="105">
        <v>2012</v>
      </c>
      <c r="W2" s="474" t="s">
        <v>883</v>
      </c>
      <c r="X2" s="62"/>
    </row>
    <row r="3" spans="1:32" x14ac:dyDescent="0.25">
      <c r="A3" s="885"/>
      <c r="B3" s="897"/>
      <c r="C3" s="897"/>
      <c r="D3" s="897"/>
      <c r="E3" s="897"/>
      <c r="F3" s="897"/>
      <c r="G3" s="897"/>
      <c r="H3" s="897"/>
      <c r="J3" s="883" t="s">
        <v>320</v>
      </c>
      <c r="K3" s="892"/>
      <c r="L3" s="898" t="s">
        <v>68</v>
      </c>
      <c r="M3" s="899"/>
      <c r="N3" s="384"/>
      <c r="O3" s="383" t="s">
        <v>559</v>
      </c>
      <c r="P3" s="390" t="s">
        <v>361</v>
      </c>
      <c r="Q3" s="540"/>
      <c r="R3" s="883" t="s">
        <v>320</v>
      </c>
      <c r="S3" s="892"/>
      <c r="T3" s="390" t="s">
        <v>361</v>
      </c>
      <c r="U3" s="390" t="s">
        <v>361</v>
      </c>
      <c r="V3" s="390" t="s">
        <v>361</v>
      </c>
      <c r="W3" s="320" t="s">
        <v>882</v>
      </c>
      <c r="X3" s="391"/>
      <c r="Y3" s="887" t="s">
        <v>320</v>
      </c>
      <c r="Z3" s="889"/>
      <c r="AA3" s="805">
        <v>2010</v>
      </c>
      <c r="AB3" s="805"/>
      <c r="AC3" s="805">
        <v>2011</v>
      </c>
      <c r="AD3" s="805"/>
      <c r="AE3" s="805">
        <v>2012</v>
      </c>
      <c r="AF3" s="805"/>
    </row>
    <row r="4" spans="1:32" x14ac:dyDescent="0.25">
      <c r="A4" s="883" t="s">
        <v>299</v>
      </c>
      <c r="B4" s="56" t="s">
        <v>300</v>
      </c>
      <c r="C4" s="56" t="s">
        <v>321</v>
      </c>
      <c r="D4" s="56" t="s">
        <v>324</v>
      </c>
      <c r="E4" s="80">
        <v>0.39374999999999999</v>
      </c>
      <c r="F4" s="321">
        <v>0.5</v>
      </c>
      <c r="G4" s="321" t="s">
        <v>780</v>
      </c>
      <c r="H4" s="56" t="s">
        <v>526</v>
      </c>
      <c r="J4" s="885"/>
      <c r="K4" s="893"/>
      <c r="L4" s="56" t="s">
        <v>358</v>
      </c>
      <c r="M4" s="98" t="s">
        <v>359</v>
      </c>
      <c r="N4" s="56" t="s">
        <v>527</v>
      </c>
      <c r="O4" s="56" t="s">
        <v>527</v>
      </c>
      <c r="P4" s="189" t="s">
        <v>362</v>
      </c>
      <c r="Q4" s="285"/>
      <c r="R4" s="885"/>
      <c r="S4" s="893"/>
      <c r="T4" s="189" t="s">
        <v>362</v>
      </c>
      <c r="U4" s="189" t="s">
        <v>362</v>
      </c>
      <c r="V4" s="189" t="s">
        <v>362</v>
      </c>
      <c r="W4" s="125" t="s">
        <v>884</v>
      </c>
      <c r="X4" s="527"/>
      <c r="Y4" s="888"/>
      <c r="Z4" s="890"/>
      <c r="AA4" s="164" t="s">
        <v>370</v>
      </c>
      <c r="AB4" s="158" t="s">
        <v>545</v>
      </c>
      <c r="AC4" s="164" t="s">
        <v>370</v>
      </c>
      <c r="AD4" s="158" t="s">
        <v>545</v>
      </c>
      <c r="AE4" s="164" t="s">
        <v>370</v>
      </c>
      <c r="AF4" s="158" t="s">
        <v>545</v>
      </c>
    </row>
    <row r="5" spans="1:32" x14ac:dyDescent="0.25">
      <c r="A5" s="884"/>
      <c r="B5" s="56" t="s">
        <v>301</v>
      </c>
      <c r="C5" s="56" t="s">
        <v>325</v>
      </c>
      <c r="D5" s="56" t="s">
        <v>326</v>
      </c>
      <c r="E5" s="80">
        <v>0.39930555555555558</v>
      </c>
      <c r="F5" s="321">
        <v>0.5</v>
      </c>
      <c r="G5" s="321" t="s">
        <v>782</v>
      </c>
      <c r="H5" s="56" t="s">
        <v>776</v>
      </c>
      <c r="J5" s="883" t="s">
        <v>299</v>
      </c>
      <c r="K5" s="199" t="s">
        <v>300</v>
      </c>
      <c r="L5" s="56">
        <v>4.1559999999999997</v>
      </c>
      <c r="M5" s="56">
        <f>L5/1000</f>
        <v>4.156E-3</v>
      </c>
      <c r="N5" s="56">
        <v>0.3</v>
      </c>
      <c r="O5" s="56">
        <f>N5-$N$1</f>
        <v>0.27</v>
      </c>
      <c r="P5" s="192">
        <f>O5*($N$2/$M5)</f>
        <v>1.2993262752646777</v>
      </c>
      <c r="Q5" s="197"/>
      <c r="R5" s="883" t="s">
        <v>299</v>
      </c>
      <c r="S5" s="199" t="s">
        <v>300</v>
      </c>
      <c r="T5" s="624">
        <v>2.6370406543767548</v>
      </c>
      <c r="U5" s="624">
        <v>2.4166805029663672</v>
      </c>
      <c r="V5" s="624">
        <v>1.2993262752646777</v>
      </c>
      <c r="W5" s="624"/>
      <c r="X5" s="6"/>
      <c r="Y5" s="883" t="s">
        <v>299</v>
      </c>
      <c r="Z5" s="199" t="s">
        <v>300</v>
      </c>
      <c r="AA5" s="56">
        <v>9.1999999999999993</v>
      </c>
      <c r="AB5" s="54">
        <v>90.77</v>
      </c>
      <c r="AC5" s="227">
        <v>0.47</v>
      </c>
      <c r="AD5" s="56">
        <v>99.86</v>
      </c>
      <c r="AE5" s="56">
        <v>0.04</v>
      </c>
      <c r="AF5" s="56">
        <v>83.62</v>
      </c>
    </row>
    <row r="6" spans="1:32" x14ac:dyDescent="0.25">
      <c r="A6" s="884"/>
      <c r="B6" s="158" t="s">
        <v>302</v>
      </c>
      <c r="C6" s="158" t="s">
        <v>327</v>
      </c>
      <c r="D6" s="158" t="s">
        <v>328</v>
      </c>
      <c r="E6" s="542">
        <v>0.40625</v>
      </c>
      <c r="F6" s="393">
        <v>1</v>
      </c>
      <c r="G6" s="393" t="s">
        <v>783</v>
      </c>
      <c r="H6" s="158" t="s">
        <v>779</v>
      </c>
      <c r="J6" s="884"/>
      <c r="K6" s="199" t="s">
        <v>301</v>
      </c>
      <c r="L6" s="56">
        <v>4.2519</v>
      </c>
      <c r="M6" s="56">
        <f t="shared" ref="M6:M21" si="0">L6/1000</f>
        <v>4.2519000000000003E-3</v>
      </c>
      <c r="N6" s="56">
        <v>1.0900000000000001</v>
      </c>
      <c r="O6" s="56">
        <f t="shared" ref="O6:O15" si="1">N6-$N$1</f>
        <v>1.06</v>
      </c>
      <c r="P6" s="192">
        <f t="shared" ref="P6:P21" si="2">O6*($N$2/$M6)</f>
        <v>4.9860062560267178</v>
      </c>
      <c r="Q6" s="197"/>
      <c r="R6" s="884"/>
      <c r="S6" s="199" t="s">
        <v>301</v>
      </c>
      <c r="T6" s="624">
        <v>6.4286420729898124</v>
      </c>
      <c r="U6" s="624">
        <v>4.3739860395091013</v>
      </c>
      <c r="V6" s="624">
        <v>4.9860062560267178</v>
      </c>
      <c r="W6" s="624"/>
      <c r="X6" s="6"/>
      <c r="Y6" s="884"/>
      <c r="Z6" s="199" t="s">
        <v>301</v>
      </c>
      <c r="AA6" s="56">
        <v>12</v>
      </c>
      <c r="AB6" s="54">
        <v>88.02</v>
      </c>
      <c r="AC6" s="56">
        <v>12.11</v>
      </c>
      <c r="AD6" s="56">
        <v>60.71</v>
      </c>
      <c r="AE6" s="56">
        <v>9.7899999999999991</v>
      </c>
      <c r="AF6" s="56">
        <v>26.63</v>
      </c>
    </row>
    <row r="7" spans="1:32" x14ac:dyDescent="0.25">
      <c r="A7" s="884"/>
      <c r="B7" s="56" t="s">
        <v>303</v>
      </c>
      <c r="C7" s="56" t="s">
        <v>329</v>
      </c>
      <c r="D7" s="56" t="s">
        <v>330</v>
      </c>
      <c r="E7" s="80">
        <v>0.4201388888888889</v>
      </c>
      <c r="F7" s="321">
        <v>0.5</v>
      </c>
      <c r="G7" s="530" t="s">
        <v>785</v>
      </c>
      <c r="H7" s="56" t="s">
        <v>776</v>
      </c>
      <c r="J7" s="884"/>
      <c r="K7" s="199" t="s">
        <v>302</v>
      </c>
      <c r="L7" s="56">
        <v>4.6390000000000002</v>
      </c>
      <c r="M7" s="56">
        <f t="shared" si="0"/>
        <v>4.6389999999999999E-3</v>
      </c>
      <c r="N7" s="56">
        <v>0.74</v>
      </c>
      <c r="O7" s="56">
        <f t="shared" si="1"/>
        <v>0.71</v>
      </c>
      <c r="P7" s="192">
        <f t="shared" si="2"/>
        <v>3.0610045268376802</v>
      </c>
      <c r="Q7" s="197"/>
      <c r="R7" s="884"/>
      <c r="S7" s="199" t="s">
        <v>302</v>
      </c>
      <c r="T7" s="624">
        <v>4.1211823868514657</v>
      </c>
      <c r="U7" s="624">
        <v>6.1080592218524057</v>
      </c>
      <c r="V7" s="624">
        <v>3.0610045268376802</v>
      </c>
      <c r="W7" s="624">
        <v>844.92</v>
      </c>
      <c r="X7" s="6"/>
      <c r="Y7" s="884"/>
      <c r="Z7" s="199" t="s">
        <v>302</v>
      </c>
      <c r="AA7" s="56">
        <v>10.7</v>
      </c>
      <c r="AB7" s="54">
        <v>89.3</v>
      </c>
      <c r="AC7" s="56">
        <v>10.72</v>
      </c>
      <c r="AD7" s="56">
        <v>45.92</v>
      </c>
      <c r="AE7" s="56">
        <v>9.35</v>
      </c>
      <c r="AF7" s="56">
        <v>22.62</v>
      </c>
    </row>
    <row r="8" spans="1:32" x14ac:dyDescent="0.25">
      <c r="A8" s="884"/>
      <c r="B8" s="158" t="s">
        <v>304</v>
      </c>
      <c r="C8" s="158" t="s">
        <v>332</v>
      </c>
      <c r="D8" s="158" t="s">
        <v>333</v>
      </c>
      <c r="E8" s="542">
        <v>0.43055555555555558</v>
      </c>
      <c r="F8" s="393">
        <v>1</v>
      </c>
      <c r="G8" s="393" t="s">
        <v>784</v>
      </c>
      <c r="H8" s="158" t="s">
        <v>779</v>
      </c>
      <c r="J8" s="884"/>
      <c r="K8" s="199" t="s">
        <v>303</v>
      </c>
      <c r="L8" s="105">
        <v>4.6402999999999999</v>
      </c>
      <c r="M8" s="56">
        <f t="shared" si="0"/>
        <v>4.6403E-3</v>
      </c>
      <c r="N8" s="56">
        <v>1.1000000000000001</v>
      </c>
      <c r="O8" s="56">
        <f t="shared" si="1"/>
        <v>1.07</v>
      </c>
      <c r="P8" s="192">
        <f t="shared" si="2"/>
        <v>4.6117707906816365</v>
      </c>
      <c r="Q8" s="197"/>
      <c r="R8" s="884"/>
      <c r="S8" s="199" t="s">
        <v>303</v>
      </c>
      <c r="T8" s="624">
        <v>5.3199349785724852</v>
      </c>
      <c r="U8" s="624">
        <v>2.7492439653545286</v>
      </c>
      <c r="V8" s="624">
        <v>4.6117707906816365</v>
      </c>
      <c r="W8" s="624"/>
      <c r="X8" s="6"/>
      <c r="Y8" s="884"/>
      <c r="Z8" s="199" t="s">
        <v>303</v>
      </c>
      <c r="AA8" s="56">
        <v>9.5</v>
      </c>
      <c r="AB8" s="54">
        <v>90.5</v>
      </c>
      <c r="AC8" s="56">
        <v>10.78</v>
      </c>
      <c r="AD8" s="56">
        <v>31.17</v>
      </c>
      <c r="AE8" s="56">
        <v>10.66</v>
      </c>
      <c r="AF8" s="56">
        <v>22.6</v>
      </c>
    </row>
    <row r="9" spans="1:32" x14ac:dyDescent="0.25">
      <c r="A9" s="885"/>
      <c r="B9" s="56" t="s">
        <v>305</v>
      </c>
      <c r="C9" s="56" t="s">
        <v>336</v>
      </c>
      <c r="D9" s="56" t="s">
        <v>337</v>
      </c>
      <c r="E9" s="80">
        <v>0.4375</v>
      </c>
      <c r="F9" s="321">
        <v>0.5</v>
      </c>
      <c r="G9" s="321" t="s">
        <v>786</v>
      </c>
      <c r="H9" s="56" t="s">
        <v>778</v>
      </c>
      <c r="J9" s="884"/>
      <c r="K9" s="199" t="s">
        <v>304</v>
      </c>
      <c r="L9" s="105">
        <v>4.1539999999999999</v>
      </c>
      <c r="M9" s="56">
        <f t="shared" si="0"/>
        <v>4.1539999999999997E-3</v>
      </c>
      <c r="N9" s="192">
        <v>0.94</v>
      </c>
      <c r="O9" s="56">
        <f t="shared" si="1"/>
        <v>0.90999999999999992</v>
      </c>
      <c r="P9" s="192">
        <f t="shared" si="2"/>
        <v>4.3813192103996146</v>
      </c>
      <c r="Q9" s="197"/>
      <c r="R9" s="884"/>
      <c r="S9" s="199" t="s">
        <v>304</v>
      </c>
      <c r="T9" s="624">
        <v>3.5015041672831289</v>
      </c>
      <c r="U9" s="624">
        <v>5.2067836979534228</v>
      </c>
      <c r="V9" s="624">
        <v>4.3813192103996146</v>
      </c>
      <c r="W9" s="624">
        <v>1129.92</v>
      </c>
      <c r="X9" s="6"/>
      <c r="Y9" s="884"/>
      <c r="Z9" s="199" t="s">
        <v>304</v>
      </c>
      <c r="AA9" s="56">
        <v>10</v>
      </c>
      <c r="AB9" s="54">
        <v>90</v>
      </c>
      <c r="AC9" s="56">
        <v>3.55</v>
      </c>
      <c r="AD9" s="56">
        <v>88.11</v>
      </c>
      <c r="AE9" s="56">
        <v>10.51</v>
      </c>
      <c r="AF9" s="56">
        <v>19.510000000000002</v>
      </c>
    </row>
    <row r="10" spans="1:32" x14ac:dyDescent="0.25">
      <c r="A10" s="883" t="s">
        <v>306</v>
      </c>
      <c r="B10" s="56" t="s">
        <v>307</v>
      </c>
      <c r="C10" s="56" t="s">
        <v>334</v>
      </c>
      <c r="D10" s="56" t="s">
        <v>335</v>
      </c>
      <c r="E10" s="80">
        <v>0.46319444444444446</v>
      </c>
      <c r="F10" s="321">
        <v>0.5</v>
      </c>
      <c r="G10" s="321" t="s">
        <v>787</v>
      </c>
      <c r="H10" s="56" t="s">
        <v>777</v>
      </c>
      <c r="J10" s="885"/>
      <c r="K10" s="199" t="s">
        <v>305</v>
      </c>
      <c r="L10" s="105">
        <v>4.1624999999999996</v>
      </c>
      <c r="M10" s="56">
        <f t="shared" si="0"/>
        <v>4.1624999999999995E-3</v>
      </c>
      <c r="N10" s="56">
        <v>0.98</v>
      </c>
      <c r="O10" s="56">
        <f t="shared" si="1"/>
        <v>0.95</v>
      </c>
      <c r="P10" s="192">
        <f t="shared" si="2"/>
        <v>4.5645645645645656</v>
      </c>
      <c r="Q10" s="197"/>
      <c r="R10" s="885"/>
      <c r="S10" s="199" t="s">
        <v>305</v>
      </c>
      <c r="T10" s="624">
        <v>4.0864126778461616</v>
      </c>
      <c r="U10" s="624">
        <v>1.0770068764942204</v>
      </c>
      <c r="V10" s="624">
        <v>4.5645645645645656</v>
      </c>
      <c r="W10" s="624"/>
      <c r="X10" s="6"/>
      <c r="Y10" s="885"/>
      <c r="Z10" s="199" t="s">
        <v>305</v>
      </c>
      <c r="AA10" s="56">
        <v>10</v>
      </c>
      <c r="AB10" s="54">
        <v>90</v>
      </c>
      <c r="AC10" s="56">
        <v>9.59</v>
      </c>
      <c r="AD10" s="56">
        <v>40.130000000000003</v>
      </c>
      <c r="AE10" s="56">
        <v>12.07</v>
      </c>
      <c r="AF10" s="56">
        <v>25.5</v>
      </c>
    </row>
    <row r="11" spans="1:32" x14ac:dyDescent="0.25">
      <c r="A11" s="884"/>
      <c r="B11" s="158" t="s">
        <v>308</v>
      </c>
      <c r="C11" s="158" t="s">
        <v>338</v>
      </c>
      <c r="D11" s="158" t="s">
        <v>339</v>
      </c>
      <c r="E11" s="542">
        <v>0.4604166666666667</v>
      </c>
      <c r="F11" s="393">
        <v>1</v>
      </c>
      <c r="G11" s="393" t="s">
        <v>788</v>
      </c>
      <c r="H11" s="158" t="s">
        <v>779</v>
      </c>
      <c r="J11" s="883" t="s">
        <v>306</v>
      </c>
      <c r="K11" s="199" t="s">
        <v>307</v>
      </c>
      <c r="L11" s="56">
        <v>4.2918000000000003</v>
      </c>
      <c r="M11" s="56">
        <f t="shared" si="0"/>
        <v>4.2918000000000001E-3</v>
      </c>
      <c r="N11" s="56">
        <v>0.56000000000000005</v>
      </c>
      <c r="O11" s="56">
        <f t="shared" si="1"/>
        <v>0.53</v>
      </c>
      <c r="P11" s="192">
        <f t="shared" si="2"/>
        <v>2.4698261801575097</v>
      </c>
      <c r="Q11" s="197"/>
      <c r="R11" s="883" t="s">
        <v>306</v>
      </c>
      <c r="S11" s="199" t="s">
        <v>307</v>
      </c>
      <c r="T11" s="624">
        <v>5.3938754995464242</v>
      </c>
      <c r="U11" s="624">
        <v>4.1364767922466621</v>
      </c>
      <c r="V11" s="624">
        <v>2.4698261801575097</v>
      </c>
      <c r="W11" s="624"/>
      <c r="X11" s="6"/>
      <c r="Y11" s="883" t="s">
        <v>306</v>
      </c>
      <c r="Z11" s="199" t="s">
        <v>307</v>
      </c>
      <c r="AA11" s="56">
        <v>9.4499999999999993</v>
      </c>
      <c r="AB11" s="54">
        <v>90.6</v>
      </c>
      <c r="AC11" s="56">
        <v>2.89</v>
      </c>
      <c r="AD11" s="56">
        <v>80.349999999999994</v>
      </c>
      <c r="AE11" s="56">
        <v>4.93</v>
      </c>
      <c r="AF11" s="56">
        <v>73.02</v>
      </c>
    </row>
    <row r="12" spans="1:32" x14ac:dyDescent="0.25">
      <c r="A12" s="884"/>
      <c r="B12" s="56" t="s">
        <v>309</v>
      </c>
      <c r="C12" s="56" t="s">
        <v>340</v>
      </c>
      <c r="D12" s="56" t="s">
        <v>341</v>
      </c>
      <c r="E12" s="80">
        <v>0.4513888888888889</v>
      </c>
      <c r="F12" s="321">
        <v>0.5</v>
      </c>
      <c r="G12" s="321" t="s">
        <v>789</v>
      </c>
      <c r="H12" s="56" t="s">
        <v>776</v>
      </c>
      <c r="J12" s="884"/>
      <c r="K12" s="199" t="s">
        <v>308</v>
      </c>
      <c r="L12" s="56">
        <v>4.01</v>
      </c>
      <c r="M12" s="56">
        <f t="shared" si="0"/>
        <v>4.0099999999999997E-3</v>
      </c>
      <c r="N12" s="56">
        <v>1.01</v>
      </c>
      <c r="O12" s="56">
        <f t="shared" si="1"/>
        <v>0.98</v>
      </c>
      <c r="P12" s="192">
        <f t="shared" si="2"/>
        <v>4.8877805486284291</v>
      </c>
      <c r="Q12" s="197"/>
      <c r="R12" s="884"/>
      <c r="S12" s="199" t="s">
        <v>308</v>
      </c>
      <c r="T12" s="624">
        <v>7.4663283232480975</v>
      </c>
      <c r="U12" s="624">
        <v>3.3936332651670083</v>
      </c>
      <c r="V12" s="624">
        <v>4.8877805486284291</v>
      </c>
      <c r="W12" s="624">
        <v>1100.76</v>
      </c>
      <c r="X12" s="6"/>
      <c r="Y12" s="884"/>
      <c r="Z12" s="199" t="s">
        <v>308</v>
      </c>
      <c r="AA12" s="56">
        <v>11</v>
      </c>
      <c r="AB12" s="54">
        <v>89</v>
      </c>
      <c r="AC12" s="56">
        <v>11.87</v>
      </c>
      <c r="AD12" s="56">
        <v>31.66</v>
      </c>
      <c r="AE12" s="56">
        <v>13.15</v>
      </c>
      <c r="AF12" s="56">
        <v>27.18</v>
      </c>
    </row>
    <row r="13" spans="1:32" x14ac:dyDescent="0.25">
      <c r="A13" s="884"/>
      <c r="B13" s="158" t="s">
        <v>310</v>
      </c>
      <c r="C13" s="158" t="s">
        <v>342</v>
      </c>
      <c r="D13" s="158" t="s">
        <v>343</v>
      </c>
      <c r="E13" s="542">
        <v>0.44444444444444442</v>
      </c>
      <c r="F13" s="393">
        <v>1</v>
      </c>
      <c r="G13" s="393" t="s">
        <v>790</v>
      </c>
      <c r="H13" s="158" t="s">
        <v>779</v>
      </c>
      <c r="J13" s="884"/>
      <c r="K13" s="199" t="s">
        <v>309</v>
      </c>
      <c r="L13" s="56">
        <v>4.0773000000000001</v>
      </c>
      <c r="M13" s="56">
        <f t="shared" si="0"/>
        <v>4.0772999999999998E-3</v>
      </c>
      <c r="N13" s="56">
        <v>0.77</v>
      </c>
      <c r="O13" s="56">
        <f>N13-$O$1</f>
        <v>0.68</v>
      </c>
      <c r="P13" s="192">
        <f t="shared" si="2"/>
        <v>3.3355406764280287</v>
      </c>
      <c r="Q13" s="197"/>
      <c r="R13" s="884"/>
      <c r="S13" s="199" t="s">
        <v>309</v>
      </c>
      <c r="T13" s="624">
        <v>6.2458504438488198</v>
      </c>
      <c r="U13" s="624">
        <v>11.49762708547385</v>
      </c>
      <c r="V13" s="624">
        <v>3.34</v>
      </c>
      <c r="W13" s="624"/>
      <c r="X13" s="6"/>
      <c r="Y13" s="884"/>
      <c r="Z13" s="199" t="s">
        <v>309</v>
      </c>
      <c r="AA13" s="56">
        <v>11.7</v>
      </c>
      <c r="AB13" s="54">
        <v>88.3</v>
      </c>
      <c r="AC13" s="56">
        <v>10.7</v>
      </c>
      <c r="AD13" s="56">
        <v>38.56</v>
      </c>
      <c r="AE13" s="56">
        <v>11.67</v>
      </c>
      <c r="AF13" s="56">
        <v>19.98</v>
      </c>
    </row>
    <row r="14" spans="1:32" x14ac:dyDescent="0.25">
      <c r="A14" s="885"/>
      <c r="B14" s="56" t="s">
        <v>311</v>
      </c>
      <c r="C14" s="56" t="s">
        <v>344</v>
      </c>
      <c r="D14" s="56" t="s">
        <v>345</v>
      </c>
      <c r="E14" s="80">
        <v>0.44097222222222227</v>
      </c>
      <c r="F14" s="321">
        <v>0.5</v>
      </c>
      <c r="G14" s="321" t="s">
        <v>791</v>
      </c>
      <c r="H14" s="56" t="s">
        <v>776</v>
      </c>
      <c r="J14" s="884"/>
      <c r="K14" s="199" t="s">
        <v>310</v>
      </c>
      <c r="L14" s="56">
        <v>4.1338999999999997</v>
      </c>
      <c r="M14" s="56">
        <f t="shared" si="0"/>
        <v>4.1338999999999994E-3</v>
      </c>
      <c r="N14" s="56">
        <v>0.69</v>
      </c>
      <c r="O14" s="56">
        <f t="shared" si="1"/>
        <v>0.65999999999999992</v>
      </c>
      <c r="P14" s="192">
        <f t="shared" si="2"/>
        <v>3.1931106219308645</v>
      </c>
      <c r="Q14" s="197"/>
      <c r="R14" s="884"/>
      <c r="S14" s="199" t="s">
        <v>310</v>
      </c>
      <c r="T14" s="624">
        <v>3.1283605435526449</v>
      </c>
      <c r="U14" s="624">
        <v>2.2027169018312818</v>
      </c>
      <c r="V14" s="624">
        <v>3.1931106219308645</v>
      </c>
      <c r="W14" s="624">
        <v>1052.08</v>
      </c>
      <c r="X14" s="6"/>
      <c r="Y14" s="884"/>
      <c r="Z14" s="199" t="s">
        <v>310</v>
      </c>
      <c r="AA14" s="56">
        <v>12.8</v>
      </c>
      <c r="AB14" s="54">
        <v>87.2</v>
      </c>
      <c r="AC14" s="56">
        <v>10.44</v>
      </c>
      <c r="AD14" s="56">
        <v>56.14</v>
      </c>
      <c r="AE14" s="56">
        <v>10.87</v>
      </c>
      <c r="AF14" s="56">
        <v>21.96</v>
      </c>
    </row>
    <row r="15" spans="1:32" x14ac:dyDescent="0.25">
      <c r="A15" s="883" t="s">
        <v>312</v>
      </c>
      <c r="B15" s="56" t="s">
        <v>313</v>
      </c>
      <c r="C15" s="56" t="s">
        <v>346</v>
      </c>
      <c r="D15" s="56" t="s">
        <v>347</v>
      </c>
      <c r="E15" s="80">
        <v>0.47013888888888888</v>
      </c>
      <c r="F15" s="321">
        <v>0.5</v>
      </c>
      <c r="G15" s="321" t="s">
        <v>792</v>
      </c>
      <c r="H15" s="56" t="s">
        <v>777</v>
      </c>
      <c r="J15" s="885"/>
      <c r="K15" s="199" t="s">
        <v>311</v>
      </c>
      <c r="L15" s="56">
        <v>4.3730000000000002</v>
      </c>
      <c r="M15" s="56">
        <f t="shared" si="0"/>
        <v>4.3730000000000002E-3</v>
      </c>
      <c r="N15" s="56">
        <v>1.05</v>
      </c>
      <c r="O15" s="56">
        <f t="shared" si="1"/>
        <v>1.02</v>
      </c>
      <c r="P15" s="192">
        <f t="shared" si="2"/>
        <v>4.6649897095815236</v>
      </c>
      <c r="Q15" s="197"/>
      <c r="R15" s="885"/>
      <c r="S15" s="199" t="s">
        <v>311</v>
      </c>
      <c r="T15" s="624">
        <v>7.7125842038465304</v>
      </c>
      <c r="U15" s="624">
        <v>6.8606966890027588</v>
      </c>
      <c r="V15" s="624">
        <v>4.6649897095815236</v>
      </c>
      <c r="W15" s="624"/>
      <c r="X15" s="6"/>
      <c r="Y15" s="885"/>
      <c r="Z15" s="199" t="s">
        <v>311</v>
      </c>
      <c r="AA15" s="56">
        <v>11.5</v>
      </c>
      <c r="AB15" s="54">
        <v>88.5</v>
      </c>
      <c r="AC15" s="56">
        <v>9.5399999999999991</v>
      </c>
      <c r="AD15" s="56">
        <v>37.53</v>
      </c>
      <c r="AE15" s="56">
        <v>11.29</v>
      </c>
      <c r="AF15" s="56">
        <v>22.24</v>
      </c>
    </row>
    <row r="16" spans="1:32" x14ac:dyDescent="0.25">
      <c r="A16" s="884"/>
      <c r="B16" s="158" t="s">
        <v>314</v>
      </c>
      <c r="C16" s="158" t="s">
        <v>348</v>
      </c>
      <c r="D16" s="158" t="s">
        <v>349</v>
      </c>
      <c r="E16" s="542">
        <v>0.47500000000000003</v>
      </c>
      <c r="F16" s="393">
        <v>1</v>
      </c>
      <c r="G16" s="393" t="s">
        <v>793</v>
      </c>
      <c r="H16" s="158" t="s">
        <v>779</v>
      </c>
      <c r="J16" s="883" t="s">
        <v>312</v>
      </c>
      <c r="K16" s="199" t="s">
        <v>313</v>
      </c>
      <c r="L16" s="56">
        <v>4.7911999999999999</v>
      </c>
      <c r="M16" s="56">
        <f t="shared" si="0"/>
        <v>4.7911999999999998E-3</v>
      </c>
      <c r="N16" s="56">
        <v>0.18</v>
      </c>
      <c r="O16" s="56">
        <f>N16-$O$1</f>
        <v>0.09</v>
      </c>
      <c r="P16" s="192">
        <f t="shared" si="2"/>
        <v>0.37568876273167473</v>
      </c>
      <c r="Q16" s="197"/>
      <c r="R16" s="883" t="s">
        <v>312</v>
      </c>
      <c r="S16" s="199" t="s">
        <v>313</v>
      </c>
      <c r="T16" s="624">
        <v>2.6890920647337797</v>
      </c>
      <c r="U16" s="624">
        <v>0.51812424813310021</v>
      </c>
      <c r="V16" s="624">
        <v>0.38</v>
      </c>
      <c r="W16" s="624"/>
      <c r="X16" s="6"/>
      <c r="Y16" s="883" t="s">
        <v>312</v>
      </c>
      <c r="Z16" s="199" t="s">
        <v>313</v>
      </c>
      <c r="AA16" s="56">
        <v>11.2</v>
      </c>
      <c r="AB16" s="54">
        <v>88.8</v>
      </c>
      <c r="AC16" s="56">
        <v>8.48</v>
      </c>
      <c r="AD16" s="56">
        <v>61.08</v>
      </c>
      <c r="AE16" s="56">
        <v>7.68</v>
      </c>
      <c r="AF16" s="56">
        <v>48.06</v>
      </c>
    </row>
    <row r="17" spans="1:32" x14ac:dyDescent="0.25">
      <c r="A17" s="884"/>
      <c r="B17" s="56" t="s">
        <v>315</v>
      </c>
      <c r="C17" s="56" t="s">
        <v>350</v>
      </c>
      <c r="D17" s="56" t="s">
        <v>351</v>
      </c>
      <c r="E17" s="80">
        <v>0.4777777777777778</v>
      </c>
      <c r="F17" s="321">
        <v>0.5</v>
      </c>
      <c r="G17" s="321" t="s">
        <v>795</v>
      </c>
      <c r="H17" s="56" t="s">
        <v>776</v>
      </c>
      <c r="J17" s="884"/>
      <c r="K17" s="199" t="s">
        <v>314</v>
      </c>
      <c r="L17" s="56">
        <v>4.5076999999999998</v>
      </c>
      <c r="M17" s="56">
        <f t="shared" si="0"/>
        <v>4.5076999999999999E-3</v>
      </c>
      <c r="N17" s="56">
        <v>0.3</v>
      </c>
      <c r="O17" s="56">
        <f t="shared" ref="O17:O21" si="3">N17-$O$1</f>
        <v>0.21</v>
      </c>
      <c r="P17" s="192">
        <f t="shared" si="2"/>
        <v>0.93173902433613587</v>
      </c>
      <c r="Q17" s="197"/>
      <c r="R17" s="884"/>
      <c r="S17" s="199" t="s">
        <v>314</v>
      </c>
      <c r="T17" s="624">
        <v>1.7363694994294789</v>
      </c>
      <c r="U17" s="624">
        <v>3.224198541895535</v>
      </c>
      <c r="V17" s="624">
        <v>0.93</v>
      </c>
      <c r="W17" s="624">
        <v>632.82000000000005</v>
      </c>
      <c r="X17" s="6"/>
      <c r="Y17" s="884"/>
      <c r="Z17" s="199" t="s">
        <v>314</v>
      </c>
      <c r="AA17" s="56">
        <v>11.7</v>
      </c>
      <c r="AB17" s="54">
        <v>88.3</v>
      </c>
      <c r="AC17" s="56">
        <v>8.3699999999999992</v>
      </c>
      <c r="AD17" s="56">
        <v>96.98</v>
      </c>
      <c r="AE17" s="56">
        <v>10.54</v>
      </c>
      <c r="AF17" s="56">
        <v>42.81</v>
      </c>
    </row>
    <row r="18" spans="1:32" x14ac:dyDescent="0.25">
      <c r="A18" s="884"/>
      <c r="B18" s="56" t="s">
        <v>316</v>
      </c>
      <c r="C18" s="56" t="s">
        <v>352</v>
      </c>
      <c r="D18" s="56" t="s">
        <v>353</v>
      </c>
      <c r="E18" s="80">
        <v>0.4826388888888889</v>
      </c>
      <c r="F18" s="321">
        <v>0.5</v>
      </c>
      <c r="G18" s="321" t="s">
        <v>796</v>
      </c>
      <c r="H18" s="56" t="s">
        <v>776</v>
      </c>
      <c r="J18" s="884"/>
      <c r="K18" s="199" t="s">
        <v>315</v>
      </c>
      <c r="L18" s="56">
        <v>4.3292999999999999</v>
      </c>
      <c r="M18" s="56">
        <f t="shared" si="0"/>
        <v>4.3293000000000003E-3</v>
      </c>
      <c r="N18" s="56">
        <v>0.93</v>
      </c>
      <c r="O18" s="56">
        <f t="shared" si="3"/>
        <v>0.84000000000000008</v>
      </c>
      <c r="P18" s="192">
        <f t="shared" si="2"/>
        <v>3.8805349594622687</v>
      </c>
      <c r="Q18" s="197"/>
      <c r="R18" s="884"/>
      <c r="S18" s="199" t="s">
        <v>315</v>
      </c>
      <c r="T18" s="624">
        <v>7.3158675234799802</v>
      </c>
      <c r="U18" s="624">
        <v>8.1071638861629065</v>
      </c>
      <c r="V18" s="624">
        <v>3.88</v>
      </c>
      <c r="W18" s="624"/>
      <c r="X18" s="6"/>
      <c r="Y18" s="884"/>
      <c r="Z18" s="199" t="s">
        <v>315</v>
      </c>
      <c r="AA18" s="56">
        <v>11.9</v>
      </c>
      <c r="AB18" s="54">
        <v>88.1</v>
      </c>
      <c r="AC18" s="56">
        <v>10.94</v>
      </c>
      <c r="AD18" s="56">
        <v>93.25</v>
      </c>
      <c r="AE18" s="56">
        <v>10.31</v>
      </c>
      <c r="AF18" s="56">
        <v>42.05</v>
      </c>
    </row>
    <row r="19" spans="1:32" x14ac:dyDescent="0.25">
      <c r="A19" s="884"/>
      <c r="B19" s="158" t="s">
        <v>317</v>
      </c>
      <c r="C19" s="158" t="s">
        <v>354</v>
      </c>
      <c r="D19" s="158" t="s">
        <v>355</v>
      </c>
      <c r="E19" s="542">
        <v>0.48958333333333331</v>
      </c>
      <c r="F19" s="393">
        <v>1</v>
      </c>
      <c r="G19" s="393" t="s">
        <v>794</v>
      </c>
      <c r="H19" s="158" t="s">
        <v>779</v>
      </c>
      <c r="J19" s="884"/>
      <c r="K19" s="199" t="s">
        <v>316</v>
      </c>
      <c r="L19" s="56">
        <v>4.2188999999999997</v>
      </c>
      <c r="M19" s="56">
        <f t="shared" si="0"/>
        <v>4.2188999999999994E-3</v>
      </c>
      <c r="N19" s="56">
        <v>0.76</v>
      </c>
      <c r="O19" s="56">
        <f t="shared" si="3"/>
        <v>0.67</v>
      </c>
      <c r="P19" s="192">
        <f t="shared" si="2"/>
        <v>3.1761833653321965</v>
      </c>
      <c r="Q19" s="197"/>
      <c r="R19" s="884"/>
      <c r="S19" s="199" t="s">
        <v>316</v>
      </c>
      <c r="T19" s="624">
        <v>6.9890765132816881</v>
      </c>
      <c r="U19" s="624">
        <v>8.1487420849608192</v>
      </c>
      <c r="V19" s="624">
        <v>3.18</v>
      </c>
      <c r="W19" s="624"/>
      <c r="X19" s="6"/>
      <c r="Y19" s="884"/>
      <c r="Z19" s="199" t="s">
        <v>316</v>
      </c>
      <c r="AA19" s="56">
        <v>12.7</v>
      </c>
      <c r="AB19" s="54">
        <v>87.3</v>
      </c>
      <c r="AC19" s="56">
        <v>10.95</v>
      </c>
      <c r="AD19" s="56">
        <v>94.5</v>
      </c>
      <c r="AE19" s="56">
        <v>19.010000000000002</v>
      </c>
      <c r="AF19" s="56">
        <v>36.15</v>
      </c>
    </row>
    <row r="20" spans="1:32" x14ac:dyDescent="0.25">
      <c r="A20" s="885"/>
      <c r="B20" s="56" t="s">
        <v>318</v>
      </c>
      <c r="C20" s="56" t="s">
        <v>356</v>
      </c>
      <c r="D20" s="56" t="s">
        <v>357</v>
      </c>
      <c r="E20" s="80">
        <v>0.5</v>
      </c>
      <c r="F20" s="321">
        <v>0.5</v>
      </c>
      <c r="G20" s="321" t="s">
        <v>797</v>
      </c>
      <c r="H20" s="56" t="s">
        <v>777</v>
      </c>
      <c r="J20" s="884"/>
      <c r="K20" s="199" t="s">
        <v>317</v>
      </c>
      <c r="L20" s="56">
        <v>4.2531999999999996</v>
      </c>
      <c r="M20" s="56">
        <f t="shared" si="0"/>
        <v>4.2531999999999995E-3</v>
      </c>
      <c r="N20" s="56">
        <v>0.92</v>
      </c>
      <c r="O20" s="56">
        <f t="shared" si="3"/>
        <v>0.83000000000000007</v>
      </c>
      <c r="P20" s="192">
        <f t="shared" si="2"/>
        <v>3.9029436659456422</v>
      </c>
      <c r="Q20" s="197"/>
      <c r="R20" s="884"/>
      <c r="S20" s="199" t="s">
        <v>317</v>
      </c>
      <c r="T20" s="624">
        <v>5.761255556383321</v>
      </c>
      <c r="U20" s="624">
        <v>1.9119371482176362</v>
      </c>
      <c r="V20" s="624">
        <v>3.9</v>
      </c>
      <c r="W20" s="624">
        <v>831.88</v>
      </c>
      <c r="X20" s="6"/>
      <c r="Y20" s="884"/>
      <c r="Z20" s="199" t="s">
        <v>317</v>
      </c>
      <c r="AA20" s="56">
        <v>10.4</v>
      </c>
      <c r="AB20" s="54">
        <v>89.6</v>
      </c>
      <c r="AC20" s="56">
        <v>10.66</v>
      </c>
      <c r="AD20" s="56">
        <v>60.57</v>
      </c>
      <c r="AE20" s="56">
        <v>12.86</v>
      </c>
      <c r="AF20" s="56">
        <v>39.340000000000003</v>
      </c>
    </row>
    <row r="21" spans="1:32" x14ac:dyDescent="0.25">
      <c r="A21" s="886" t="s">
        <v>799</v>
      </c>
      <c r="B21" s="886"/>
      <c r="C21" s="886"/>
      <c r="D21" s="886"/>
      <c r="E21" s="886"/>
      <c r="F21" s="886"/>
      <c r="G21" s="886"/>
      <c r="H21" s="886"/>
      <c r="J21" s="885"/>
      <c r="K21" s="199" t="s">
        <v>318</v>
      </c>
      <c r="L21" s="56">
        <v>4.9221000000000004</v>
      </c>
      <c r="M21" s="56">
        <f t="shared" si="0"/>
        <v>4.9221000000000004E-3</v>
      </c>
      <c r="N21" s="56">
        <v>0.42</v>
      </c>
      <c r="O21" s="56">
        <f t="shared" si="3"/>
        <v>0.32999999999999996</v>
      </c>
      <c r="P21" s="192">
        <f t="shared" si="2"/>
        <v>1.3408910830742973</v>
      </c>
      <c r="Q21" s="197"/>
      <c r="R21" s="885"/>
      <c r="S21" s="199" t="s">
        <v>318</v>
      </c>
      <c r="T21" s="624">
        <v>8.1622495956202545</v>
      </c>
      <c r="U21" s="624">
        <v>3.1827308037048101</v>
      </c>
      <c r="V21" s="624">
        <v>1.34</v>
      </c>
      <c r="W21" s="624"/>
      <c r="X21" s="6"/>
      <c r="Y21" s="885"/>
      <c r="Z21" s="199" t="s">
        <v>318</v>
      </c>
      <c r="AA21" s="56">
        <v>10.7</v>
      </c>
      <c r="AB21" s="54">
        <v>89.3</v>
      </c>
      <c r="AC21" s="56">
        <v>10.75</v>
      </c>
      <c r="AD21" s="56">
        <v>96.31</v>
      </c>
      <c r="AE21" s="56">
        <v>4.82</v>
      </c>
      <c r="AF21" s="56">
        <v>85.74</v>
      </c>
    </row>
    <row r="22" spans="1:32" x14ac:dyDescent="0.25">
      <c r="A22" s="886" t="s">
        <v>774</v>
      </c>
      <c r="B22" s="886"/>
      <c r="C22" s="886"/>
      <c r="D22" s="886"/>
      <c r="E22" s="886"/>
      <c r="F22" s="886"/>
      <c r="G22" s="886"/>
      <c r="H22" s="886"/>
      <c r="L22" s="56"/>
      <c r="M22" s="56"/>
      <c r="N22" s="56"/>
      <c r="O22" s="56"/>
      <c r="P22" s="538"/>
      <c r="R22" s="455"/>
      <c r="S22" s="453" t="s">
        <v>17</v>
      </c>
      <c r="T22" s="624">
        <f>AVERAGE(T5:T21)</f>
        <v>5.2173898061700488</v>
      </c>
      <c r="U22" s="624">
        <f>AVERAGE(U5:U21)</f>
        <v>4.4185769265250832</v>
      </c>
      <c r="V22" s="624">
        <f>AVERAGE(V5:V21)</f>
        <v>3.2393940402396013</v>
      </c>
      <c r="W22" s="624">
        <f>AVERAGE(W5:W21)</f>
        <v>932.06333333333339</v>
      </c>
      <c r="Z22" s="158" t="s">
        <v>17</v>
      </c>
      <c r="AA22" s="394">
        <f>AVERAGE(AA5:AA21)</f>
        <v>10.967647058823527</v>
      </c>
      <c r="AB22" s="394">
        <f t="shared" ref="AB22:AD22" si="4">AVERAGE(AB5:AB21)</f>
        <v>89.034705882352924</v>
      </c>
      <c r="AC22" s="394">
        <f t="shared" si="4"/>
        <v>8.9888235294117642</v>
      </c>
      <c r="AD22" s="394">
        <f t="shared" si="4"/>
        <v>65.460588235294125</v>
      </c>
    </row>
    <row r="23" spans="1:32" x14ac:dyDescent="0.25">
      <c r="A23" s="886" t="s">
        <v>802</v>
      </c>
      <c r="B23" s="886"/>
      <c r="C23" s="886"/>
      <c r="D23" s="886"/>
      <c r="E23" s="886"/>
      <c r="F23" s="886"/>
      <c r="G23" s="886"/>
      <c r="H23" s="886"/>
      <c r="P23" s="539"/>
      <c r="R23" s="541"/>
      <c r="S23" s="626" t="s">
        <v>798</v>
      </c>
      <c r="T23" s="625">
        <f>STDEV(T5:T21)</f>
        <v>2.0204856715724779</v>
      </c>
      <c r="U23" s="625">
        <f>STDEV(U5:U21)</f>
        <v>2.9103846604832917</v>
      </c>
      <c r="V23" s="625">
        <f>STDEV(V5:V21)</f>
        <v>1.4813689646844548</v>
      </c>
      <c r="W23" s="625">
        <f>STDEV(W5:W21)</f>
        <v>194.51841019982271</v>
      </c>
    </row>
    <row r="24" spans="1:32" ht="13" x14ac:dyDescent="0.3">
      <c r="A24" s="886" t="s">
        <v>775</v>
      </c>
      <c r="B24" s="886"/>
      <c r="C24" s="886"/>
      <c r="D24" s="886"/>
      <c r="E24" s="886"/>
      <c r="F24" s="886"/>
      <c r="G24" s="886"/>
      <c r="H24" s="886"/>
      <c r="J24" s="894" t="s">
        <v>320</v>
      </c>
      <c r="K24" s="64">
        <v>2010</v>
      </c>
      <c r="L24" s="64">
        <v>2011</v>
      </c>
      <c r="M24" s="64">
        <v>2012</v>
      </c>
      <c r="P24" s="6"/>
      <c r="Q24" s="6"/>
      <c r="R24" s="6"/>
      <c r="S24" s="6"/>
    </row>
    <row r="25" spans="1:32" ht="13" x14ac:dyDescent="0.3">
      <c r="A25" s="56"/>
      <c r="B25" s="200"/>
      <c r="C25" s="200"/>
      <c r="D25" s="200"/>
      <c r="E25" s="200"/>
      <c r="F25" s="200"/>
      <c r="G25" s="200"/>
      <c r="H25" s="200"/>
      <c r="J25" s="895"/>
      <c r="K25" s="891" t="s">
        <v>361</v>
      </c>
      <c r="L25" s="891"/>
      <c r="M25" s="891"/>
    </row>
    <row r="26" spans="1:32" x14ac:dyDescent="0.25">
      <c r="A26" s="56"/>
      <c r="B26" s="200"/>
      <c r="C26" s="200"/>
      <c r="D26" s="200"/>
      <c r="E26" s="200"/>
      <c r="F26" s="200"/>
      <c r="G26" s="200"/>
      <c r="H26" s="200"/>
      <c r="J26" s="56" t="s">
        <v>299</v>
      </c>
      <c r="K26" s="192">
        <f>AVERAGE(T5:T10)</f>
        <v>4.3491194896533019</v>
      </c>
      <c r="L26" s="192">
        <f>AVERAGE(U5:U10)</f>
        <v>3.6552933840216748</v>
      </c>
      <c r="M26" s="192">
        <f>AVERAGE(V5:V10)</f>
        <v>3.8173319372958154</v>
      </c>
    </row>
    <row r="27" spans="1:32" x14ac:dyDescent="0.25">
      <c r="A27" s="56"/>
      <c r="B27" s="200"/>
      <c r="C27" s="200"/>
      <c r="D27" s="200"/>
      <c r="E27" s="200"/>
      <c r="F27" s="200"/>
      <c r="G27" s="200"/>
      <c r="H27" s="200"/>
      <c r="J27" s="56" t="s">
        <v>306</v>
      </c>
      <c r="K27" s="192">
        <f>AVERAGE(T11:T15)</f>
        <v>5.9893998028085038</v>
      </c>
      <c r="L27" s="192">
        <f>AVERAGE(U11:U15)</f>
        <v>5.6182301467443114</v>
      </c>
      <c r="M27" s="192">
        <f>AVERAGE(V11:V15)</f>
        <v>3.7111414120596655</v>
      </c>
    </row>
    <row r="28" spans="1:32" x14ac:dyDescent="0.25">
      <c r="A28" s="200"/>
      <c r="B28" s="200"/>
      <c r="C28" s="200"/>
      <c r="D28" s="200"/>
      <c r="E28" s="200"/>
      <c r="F28" s="200"/>
      <c r="G28" s="200"/>
      <c r="H28" s="200"/>
      <c r="J28" s="56" t="s">
        <v>312</v>
      </c>
      <c r="K28" s="192">
        <f>AVERAGE(T16:T21)</f>
        <v>5.4423184588214175</v>
      </c>
      <c r="L28" s="192">
        <f>AVERAGE(U16:U21)</f>
        <v>4.1821494521791349</v>
      </c>
      <c r="M28" s="192">
        <f>AVERAGE(V16:V21)</f>
        <v>2.2683333333333331</v>
      </c>
    </row>
    <row r="29" spans="1:32" x14ac:dyDescent="0.25">
      <c r="A29" s="62"/>
      <c r="B29" s="62"/>
      <c r="C29" s="62"/>
      <c r="D29" s="62"/>
      <c r="E29" s="62"/>
      <c r="F29" s="62"/>
      <c r="G29" s="62"/>
      <c r="H29" s="62"/>
    </row>
    <row r="31" spans="1:32" x14ac:dyDescent="0.25">
      <c r="A31" t="s">
        <v>298</v>
      </c>
      <c r="B31" s="87">
        <v>41197</v>
      </c>
    </row>
    <row r="32" spans="1:32" x14ac:dyDescent="0.25">
      <c r="A32" s="883" t="s">
        <v>320</v>
      </c>
      <c r="B32" s="896" t="s">
        <v>319</v>
      </c>
      <c r="C32" s="896" t="s">
        <v>322</v>
      </c>
      <c r="D32" s="896" t="s">
        <v>323</v>
      </c>
      <c r="E32" s="56"/>
      <c r="F32" s="56" t="s">
        <v>331</v>
      </c>
      <c r="G32" s="528"/>
      <c r="H32" s="896" t="s">
        <v>6</v>
      </c>
    </row>
    <row r="33" spans="1:13" x14ac:dyDescent="0.25">
      <c r="A33" s="885"/>
      <c r="B33" s="897"/>
      <c r="C33" s="897"/>
      <c r="D33" s="897"/>
      <c r="E33" s="56" t="s">
        <v>153</v>
      </c>
      <c r="F33" s="56" t="s">
        <v>560</v>
      </c>
      <c r="G33" s="529"/>
      <c r="H33" s="897"/>
    </row>
    <row r="34" spans="1:13" x14ac:dyDescent="0.25">
      <c r="A34" s="883" t="s">
        <v>299</v>
      </c>
      <c r="B34" s="56" t="s">
        <v>300</v>
      </c>
      <c r="C34" s="56" t="s">
        <v>321</v>
      </c>
      <c r="D34" s="56" t="s">
        <v>324</v>
      </c>
      <c r="E34" s="80"/>
      <c r="F34" s="321">
        <v>0.5</v>
      </c>
      <c r="G34" s="321"/>
      <c r="H34" s="56"/>
    </row>
    <row r="35" spans="1:13" x14ac:dyDescent="0.25">
      <c r="A35" s="884"/>
      <c r="B35" s="56" t="s">
        <v>301</v>
      </c>
      <c r="C35" s="56" t="s">
        <v>325</v>
      </c>
      <c r="D35" s="56" t="s">
        <v>326</v>
      </c>
      <c r="E35" s="80"/>
      <c r="F35" s="321">
        <v>0.5</v>
      </c>
      <c r="G35" s="321"/>
      <c r="H35" s="56"/>
    </row>
    <row r="36" spans="1:13" x14ac:dyDescent="0.25">
      <c r="A36" s="884"/>
      <c r="B36" s="56" t="s">
        <v>302</v>
      </c>
      <c r="C36" s="56" t="s">
        <v>327</v>
      </c>
      <c r="D36" s="56" t="s">
        <v>328</v>
      </c>
      <c r="E36" s="80"/>
      <c r="F36" s="321">
        <v>0.5</v>
      </c>
      <c r="G36" s="321"/>
      <c r="H36" s="56"/>
    </row>
    <row r="37" spans="1:13" x14ac:dyDescent="0.25">
      <c r="A37" s="884"/>
      <c r="B37" s="56" t="s">
        <v>303</v>
      </c>
      <c r="C37" s="56" t="s">
        <v>329</v>
      </c>
      <c r="D37" s="56" t="s">
        <v>330</v>
      </c>
      <c r="E37" s="80"/>
      <c r="F37" s="321">
        <v>0.5</v>
      </c>
      <c r="G37" s="321"/>
      <c r="H37" s="56"/>
    </row>
    <row r="38" spans="1:13" x14ac:dyDescent="0.25">
      <c r="A38" s="884"/>
      <c r="B38" s="56" t="s">
        <v>304</v>
      </c>
      <c r="C38" s="56" t="s">
        <v>332</v>
      </c>
      <c r="D38" s="56" t="s">
        <v>333</v>
      </c>
      <c r="E38" s="80"/>
      <c r="F38" s="321">
        <v>0.5</v>
      </c>
      <c r="G38" s="321"/>
      <c r="H38" s="56"/>
    </row>
    <row r="39" spans="1:13" x14ac:dyDescent="0.25">
      <c r="A39" s="885"/>
      <c r="B39" s="56" t="s">
        <v>305</v>
      </c>
      <c r="C39" s="56" t="s">
        <v>336</v>
      </c>
      <c r="D39" s="56" t="s">
        <v>337</v>
      </c>
      <c r="E39" s="80"/>
      <c r="F39" s="321">
        <v>0.5</v>
      </c>
      <c r="G39" s="321"/>
      <c r="H39" s="56"/>
    </row>
    <row r="40" spans="1:13" x14ac:dyDescent="0.25">
      <c r="A40" s="883" t="s">
        <v>306</v>
      </c>
      <c r="B40" s="56" t="s">
        <v>307</v>
      </c>
      <c r="C40" s="56" t="s">
        <v>334</v>
      </c>
      <c r="D40" s="56" t="s">
        <v>335</v>
      </c>
      <c r="E40" s="80"/>
      <c r="F40" s="321">
        <v>0.5</v>
      </c>
      <c r="G40" s="321"/>
      <c r="H40" s="56"/>
    </row>
    <row r="41" spans="1:13" x14ac:dyDescent="0.25">
      <c r="A41" s="884"/>
      <c r="B41" s="56" t="s">
        <v>308</v>
      </c>
      <c r="C41" s="56" t="s">
        <v>338</v>
      </c>
      <c r="D41" s="56" t="s">
        <v>339</v>
      </c>
      <c r="E41" s="80"/>
      <c r="F41" s="321">
        <v>0.5</v>
      </c>
      <c r="G41" s="321"/>
      <c r="H41" s="56"/>
    </row>
    <row r="42" spans="1:13" x14ac:dyDescent="0.25">
      <c r="A42" s="884"/>
      <c r="B42" s="56" t="s">
        <v>309</v>
      </c>
      <c r="C42" s="56" t="s">
        <v>340</v>
      </c>
      <c r="D42" s="56" t="s">
        <v>341</v>
      </c>
      <c r="E42" s="80"/>
      <c r="F42" s="321">
        <v>0.5</v>
      </c>
      <c r="G42" s="321"/>
      <c r="H42" s="56"/>
    </row>
    <row r="43" spans="1:13" x14ac:dyDescent="0.25">
      <c r="A43" s="884"/>
      <c r="B43" s="56" t="s">
        <v>310</v>
      </c>
      <c r="C43" s="56" t="s">
        <v>342</v>
      </c>
      <c r="D43" s="56" t="s">
        <v>343</v>
      </c>
      <c r="E43" s="80"/>
      <c r="F43" s="321">
        <v>0.5</v>
      </c>
      <c r="G43" s="321"/>
      <c r="H43" s="56"/>
    </row>
    <row r="44" spans="1:13" x14ac:dyDescent="0.25">
      <c r="A44" s="885"/>
      <c r="B44" s="56" t="s">
        <v>311</v>
      </c>
      <c r="C44" s="56" t="s">
        <v>344</v>
      </c>
      <c r="D44" s="56" t="s">
        <v>345</v>
      </c>
      <c r="E44" s="80"/>
      <c r="F44" s="321">
        <v>0.5</v>
      </c>
      <c r="G44" s="321"/>
      <c r="H44" s="56"/>
    </row>
    <row r="45" spans="1:13" x14ac:dyDescent="0.25">
      <c r="A45" s="883" t="s">
        <v>312</v>
      </c>
      <c r="B45" s="56" t="s">
        <v>313</v>
      </c>
      <c r="C45" s="56" t="s">
        <v>346</v>
      </c>
      <c r="D45" s="56" t="s">
        <v>347</v>
      </c>
      <c r="E45" s="80"/>
      <c r="F45" s="321">
        <v>0.5</v>
      </c>
      <c r="G45" s="321"/>
      <c r="H45" s="56"/>
    </row>
    <row r="46" spans="1:13" x14ac:dyDescent="0.25">
      <c r="A46" s="884"/>
      <c r="B46" s="56" t="s">
        <v>314</v>
      </c>
      <c r="C46" s="56" t="s">
        <v>348</v>
      </c>
      <c r="D46" s="56" t="s">
        <v>349</v>
      </c>
      <c r="E46" s="80"/>
      <c r="F46" s="321">
        <v>0.5</v>
      </c>
      <c r="G46" s="321"/>
      <c r="H46" s="56"/>
      <c r="J46" s="887" t="s">
        <v>320</v>
      </c>
      <c r="K46" s="889" t="s">
        <v>563</v>
      </c>
      <c r="L46" s="393">
        <v>2011</v>
      </c>
      <c r="M46" s="393">
        <v>2010</v>
      </c>
    </row>
    <row r="47" spans="1:13" x14ac:dyDescent="0.25">
      <c r="A47" s="884"/>
      <c r="B47" s="56" t="s">
        <v>315</v>
      </c>
      <c r="C47" s="56" t="s">
        <v>350</v>
      </c>
      <c r="D47" s="56" t="s">
        <v>351</v>
      </c>
      <c r="E47" s="80"/>
      <c r="F47" s="321">
        <v>0.5</v>
      </c>
      <c r="G47" s="321"/>
      <c r="H47" s="56"/>
      <c r="J47" s="888"/>
      <c r="K47" s="890"/>
      <c r="L47" s="158" t="s">
        <v>361</v>
      </c>
      <c r="M47" s="158" t="s">
        <v>361</v>
      </c>
    </row>
    <row r="48" spans="1:13" x14ac:dyDescent="0.25">
      <c r="A48" s="884"/>
      <c r="B48" s="56" t="s">
        <v>316</v>
      </c>
      <c r="C48" s="56" t="s">
        <v>352</v>
      </c>
      <c r="D48" s="56" t="s">
        <v>353</v>
      </c>
      <c r="E48" s="80"/>
      <c r="F48" s="321">
        <v>0.5</v>
      </c>
      <c r="G48" s="321"/>
      <c r="H48" s="56"/>
      <c r="J48" s="883" t="s">
        <v>299</v>
      </c>
      <c r="K48" s="199" t="s">
        <v>300</v>
      </c>
      <c r="L48" s="190">
        <v>2.4166805029663672</v>
      </c>
      <c r="M48" s="190">
        <v>2.6370406543767548</v>
      </c>
    </row>
    <row r="49" spans="1:13" x14ac:dyDescent="0.25">
      <c r="A49" s="884"/>
      <c r="B49" s="56" t="s">
        <v>317</v>
      </c>
      <c r="C49" s="56" t="s">
        <v>354</v>
      </c>
      <c r="D49" s="56" t="s">
        <v>355</v>
      </c>
      <c r="E49" s="80"/>
      <c r="F49" s="321">
        <v>0.5</v>
      </c>
      <c r="G49" s="321"/>
      <c r="H49" s="56"/>
      <c r="J49" s="884"/>
      <c r="K49" s="199" t="s">
        <v>301</v>
      </c>
      <c r="L49" s="190">
        <v>4.3739860395091013</v>
      </c>
      <c r="M49" s="190">
        <v>6.4286420729898124</v>
      </c>
    </row>
    <row r="50" spans="1:13" x14ac:dyDescent="0.25">
      <c r="A50" s="885"/>
      <c r="B50" s="56" t="s">
        <v>318</v>
      </c>
      <c r="C50" s="56" t="s">
        <v>356</v>
      </c>
      <c r="D50" s="56" t="s">
        <v>357</v>
      </c>
      <c r="E50" s="80"/>
      <c r="F50" s="321">
        <v>0.5</v>
      </c>
      <c r="G50" s="321"/>
      <c r="H50" s="56"/>
      <c r="J50" s="884"/>
      <c r="K50" s="199" t="s">
        <v>302</v>
      </c>
      <c r="L50" s="190">
        <v>6.1080592218524057</v>
      </c>
      <c r="M50" s="190">
        <v>4.1211823868514657</v>
      </c>
    </row>
    <row r="51" spans="1:13" x14ac:dyDescent="0.25">
      <c r="A51" s="886" t="s">
        <v>767</v>
      </c>
      <c r="B51" s="886"/>
      <c r="C51" s="886"/>
      <c r="D51" s="886"/>
      <c r="E51" s="886"/>
      <c r="F51" s="886"/>
      <c r="G51" s="886"/>
      <c r="H51" s="886"/>
      <c r="J51" s="884"/>
      <c r="K51" s="199" t="s">
        <v>303</v>
      </c>
      <c r="L51" s="190">
        <v>2.7492439653545286</v>
      </c>
      <c r="M51" s="190">
        <v>5.3199349785724852</v>
      </c>
    </row>
    <row r="52" spans="1:13" x14ac:dyDescent="0.25">
      <c r="A52" s="886" t="s">
        <v>769</v>
      </c>
      <c r="B52" s="886"/>
      <c r="C52" s="886"/>
      <c r="D52" s="886"/>
      <c r="E52" s="886"/>
      <c r="F52" s="886"/>
      <c r="G52" s="886"/>
      <c r="H52" s="886"/>
      <c r="J52" s="884"/>
      <c r="K52" s="199" t="s">
        <v>304</v>
      </c>
      <c r="L52" s="190">
        <v>5.2067836979534228</v>
      </c>
      <c r="M52" s="190">
        <v>3.5015041672831289</v>
      </c>
    </row>
    <row r="53" spans="1:13" x14ac:dyDescent="0.25">
      <c r="A53" s="886" t="s">
        <v>768</v>
      </c>
      <c r="B53" s="886"/>
      <c r="C53" s="886"/>
      <c r="D53" s="886"/>
      <c r="E53" s="886"/>
      <c r="F53" s="886"/>
      <c r="G53" s="886"/>
      <c r="H53" s="886"/>
      <c r="J53" s="885"/>
      <c r="K53" s="199" t="s">
        <v>305</v>
      </c>
      <c r="L53" s="190">
        <v>1.0770068764942204</v>
      </c>
      <c r="M53" s="190">
        <v>4.0864126778461616</v>
      </c>
    </row>
    <row r="54" spans="1:13" x14ac:dyDescent="0.25">
      <c r="A54" s="886"/>
      <c r="B54" s="886"/>
      <c r="C54" s="886"/>
      <c r="D54" s="886"/>
      <c r="E54" s="886"/>
      <c r="F54" s="886"/>
      <c r="G54" s="886"/>
      <c r="H54" s="886"/>
      <c r="J54" s="883" t="s">
        <v>306</v>
      </c>
      <c r="K54" s="199" t="s">
        <v>307</v>
      </c>
      <c r="L54" s="190">
        <v>4.1364767922466621</v>
      </c>
      <c r="M54" s="190">
        <v>5.3938754995464242</v>
      </c>
    </row>
    <row r="55" spans="1:13" x14ac:dyDescent="0.25">
      <c r="A55" s="56" t="s">
        <v>770</v>
      </c>
      <c r="B55" s="200" t="s">
        <v>771</v>
      </c>
      <c r="C55" s="200"/>
      <c r="D55" s="200"/>
      <c r="E55" s="200"/>
      <c r="F55" s="200"/>
      <c r="G55" s="200"/>
      <c r="H55" s="200"/>
      <c r="J55" s="884"/>
      <c r="K55" s="199" t="s">
        <v>308</v>
      </c>
      <c r="L55" s="190">
        <v>3.3936332651670083</v>
      </c>
      <c r="M55" s="190">
        <v>7.4663283232480975</v>
      </c>
    </row>
    <row r="56" spans="1:13" x14ac:dyDescent="0.25">
      <c r="A56" s="56"/>
      <c r="B56" s="200" t="s">
        <v>772</v>
      </c>
      <c r="C56" s="200"/>
      <c r="D56" s="200"/>
      <c r="E56" s="200"/>
      <c r="F56" s="200"/>
      <c r="G56" s="200"/>
      <c r="H56" s="200"/>
      <c r="J56" s="884"/>
      <c r="K56" s="199" t="s">
        <v>309</v>
      </c>
      <c r="L56" s="190">
        <v>11.49762708547385</v>
      </c>
      <c r="M56" s="190">
        <v>6.2458504438488198</v>
      </c>
    </row>
    <row r="57" spans="1:13" x14ac:dyDescent="0.25">
      <c r="A57" s="56"/>
      <c r="B57" s="200" t="s">
        <v>773</v>
      </c>
      <c r="C57" s="200"/>
      <c r="D57" s="200"/>
      <c r="E57" s="200"/>
      <c r="F57" s="200"/>
      <c r="G57" s="200"/>
      <c r="H57" s="200"/>
      <c r="J57" s="884"/>
      <c r="K57" s="199" t="s">
        <v>310</v>
      </c>
      <c r="L57" s="190">
        <v>2.2027169018312818</v>
      </c>
      <c r="M57" s="190">
        <v>3.1283605435526449</v>
      </c>
    </row>
    <row r="58" spans="1:13" x14ac:dyDescent="0.25">
      <c r="A58" s="200"/>
      <c r="B58" s="200"/>
      <c r="C58" s="200"/>
      <c r="D58" s="200"/>
      <c r="E58" s="200"/>
      <c r="F58" s="200"/>
      <c r="G58" s="200"/>
      <c r="H58" s="200"/>
      <c r="J58" s="885"/>
      <c r="K58" s="199" t="s">
        <v>311</v>
      </c>
      <c r="L58" s="190">
        <v>6.8606966890027588</v>
      </c>
      <c r="M58" s="190">
        <v>7.7125842038465304</v>
      </c>
    </row>
    <row r="59" spans="1:13" x14ac:dyDescent="0.25">
      <c r="J59" s="883" t="s">
        <v>312</v>
      </c>
      <c r="K59" s="199" t="s">
        <v>313</v>
      </c>
      <c r="L59" s="190">
        <v>0.51812424813310021</v>
      </c>
      <c r="M59" s="190">
        <v>2.6890920647337797</v>
      </c>
    </row>
    <row r="60" spans="1:13" x14ac:dyDescent="0.25">
      <c r="J60" s="884"/>
      <c r="K60" s="199" t="s">
        <v>314</v>
      </c>
      <c r="L60" s="190">
        <v>3.224198541895535</v>
      </c>
      <c r="M60" s="190">
        <v>1.7363694994294789</v>
      </c>
    </row>
    <row r="61" spans="1:13" x14ac:dyDescent="0.25">
      <c r="J61" s="884"/>
      <c r="K61" s="199" t="s">
        <v>315</v>
      </c>
      <c r="L61" s="190">
        <v>8.1071638861629065</v>
      </c>
      <c r="M61" s="190">
        <v>7.3158675234799802</v>
      </c>
    </row>
    <row r="62" spans="1:13" x14ac:dyDescent="0.25">
      <c r="J62" s="884"/>
      <c r="K62" s="199" t="s">
        <v>316</v>
      </c>
      <c r="L62" s="190">
        <v>8.1487420849608192</v>
      </c>
      <c r="M62" s="190">
        <v>6.9890765132816881</v>
      </c>
    </row>
    <row r="63" spans="1:13" x14ac:dyDescent="0.25">
      <c r="J63" s="884"/>
      <c r="K63" s="199" t="s">
        <v>317</v>
      </c>
      <c r="L63" s="190">
        <v>1.9119371482176362</v>
      </c>
      <c r="M63" s="190">
        <v>5.761255556383321</v>
      </c>
    </row>
    <row r="64" spans="1:13" x14ac:dyDescent="0.25">
      <c r="J64" s="885"/>
      <c r="K64" s="199" t="s">
        <v>318</v>
      </c>
      <c r="L64" s="190">
        <v>3.1827308037048101</v>
      </c>
      <c r="M64" s="190">
        <v>8.1622495956202545</v>
      </c>
    </row>
    <row r="65" spans="11:13" x14ac:dyDescent="0.25">
      <c r="K65" s="105" t="s">
        <v>17</v>
      </c>
      <c r="L65" s="190">
        <v>4.4185769265250832</v>
      </c>
      <c r="M65" s="190">
        <v>5.2173898061700488</v>
      </c>
    </row>
    <row r="66" spans="11:13" x14ac:dyDescent="0.25">
      <c r="K66" s="105" t="s">
        <v>561</v>
      </c>
      <c r="L66" s="190">
        <v>2.9103846604832917</v>
      </c>
      <c r="M66" s="190">
        <v>2.0204856715724779</v>
      </c>
    </row>
    <row r="67" spans="11:13" x14ac:dyDescent="0.25">
      <c r="K67" s="105" t="s">
        <v>562</v>
      </c>
      <c r="L67" s="190">
        <v>0.17976645713600614</v>
      </c>
      <c r="M67" s="190"/>
    </row>
  </sheetData>
  <mergeCells count="53">
    <mergeCell ref="AE3:AF3"/>
    <mergeCell ref="G2:G3"/>
    <mergeCell ref="E2:E3"/>
    <mergeCell ref="F2:F3"/>
    <mergeCell ref="AA3:AB3"/>
    <mergeCell ref="AC3:AD3"/>
    <mergeCell ref="Z3:Z4"/>
    <mergeCell ref="Y3:Y4"/>
    <mergeCell ref="A2:A3"/>
    <mergeCell ref="B2:B3"/>
    <mergeCell ref="R11:R15"/>
    <mergeCell ref="R16:R21"/>
    <mergeCell ref="K3:K4"/>
    <mergeCell ref="D2:D3"/>
    <mergeCell ref="H2:H3"/>
    <mergeCell ref="L3:M3"/>
    <mergeCell ref="J5:J10"/>
    <mergeCell ref="R3:R4"/>
    <mergeCell ref="R5:R10"/>
    <mergeCell ref="C2:C3"/>
    <mergeCell ref="J3:J4"/>
    <mergeCell ref="A4:A9"/>
    <mergeCell ref="A10:A14"/>
    <mergeCell ref="A21:H21"/>
    <mergeCell ref="Y5:Y10"/>
    <mergeCell ref="S3:S4"/>
    <mergeCell ref="J59:J64"/>
    <mergeCell ref="Y11:Y15"/>
    <mergeCell ref="A22:H22"/>
    <mergeCell ref="A23:H23"/>
    <mergeCell ref="A24:H24"/>
    <mergeCell ref="Y16:Y21"/>
    <mergeCell ref="J24:J25"/>
    <mergeCell ref="A32:A33"/>
    <mergeCell ref="B32:B33"/>
    <mergeCell ref="C32:C33"/>
    <mergeCell ref="D32:D33"/>
    <mergeCell ref="H32:H33"/>
    <mergeCell ref="A34:A39"/>
    <mergeCell ref="J11:J15"/>
    <mergeCell ref="J16:J21"/>
    <mergeCell ref="J46:J47"/>
    <mergeCell ref="K46:K47"/>
    <mergeCell ref="K25:M25"/>
    <mergeCell ref="A15:A20"/>
    <mergeCell ref="J48:J53"/>
    <mergeCell ref="J54:J58"/>
    <mergeCell ref="A54:H54"/>
    <mergeCell ref="A40:A44"/>
    <mergeCell ref="A45:A50"/>
    <mergeCell ref="A51:H51"/>
    <mergeCell ref="A52:H52"/>
    <mergeCell ref="A53:H53"/>
  </mergeCells>
  <pageMargins left="0.37" right="0.48" top="0.75" bottom="0.75" header="0.33" footer="0.3"/>
  <pageSetup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50"/>
  <sheetViews>
    <sheetView workbookViewId="0">
      <selection activeCell="G34" sqref="G34"/>
    </sheetView>
  </sheetViews>
  <sheetFormatPr defaultRowHeight="12.5" x14ac:dyDescent="0.25"/>
  <cols>
    <col min="1" max="1" width="26.6328125" bestFit="1" customWidth="1"/>
    <col min="3" max="3" width="12.08984375" customWidth="1"/>
    <col min="4" max="5" width="9.36328125" bestFit="1" customWidth="1"/>
    <col min="6" max="6" width="13.90625" bestFit="1" customWidth="1"/>
    <col min="7" max="7" width="7.6328125" bestFit="1" customWidth="1"/>
  </cols>
  <sheetData>
    <row r="1" spans="1:9" x14ac:dyDescent="0.25">
      <c r="C1" s="187">
        <v>1</v>
      </c>
    </row>
    <row r="2" spans="1:9" x14ac:dyDescent="0.25">
      <c r="A2" s="883" t="s">
        <v>320</v>
      </c>
      <c r="B2" s="892" t="s">
        <v>319</v>
      </c>
      <c r="C2" t="s">
        <v>365</v>
      </c>
      <c r="D2" t="s">
        <v>366</v>
      </c>
      <c r="E2" t="s">
        <v>367</v>
      </c>
      <c r="F2" t="s">
        <v>368</v>
      </c>
      <c r="G2" t="s">
        <v>369</v>
      </c>
    </row>
    <row r="3" spans="1:9" x14ac:dyDescent="0.25">
      <c r="A3" s="885"/>
      <c r="B3" s="893"/>
      <c r="C3" s="56" t="s">
        <v>364</v>
      </c>
      <c r="D3" s="56">
        <v>60</v>
      </c>
      <c r="E3" s="56">
        <v>120</v>
      </c>
      <c r="F3" s="56">
        <v>200</v>
      </c>
      <c r="G3" s="56" t="s">
        <v>363</v>
      </c>
    </row>
    <row r="4" spans="1:9" x14ac:dyDescent="0.25">
      <c r="A4" s="883" t="s">
        <v>299</v>
      </c>
      <c r="B4" s="199" t="s">
        <v>300</v>
      </c>
      <c r="C4" s="56">
        <f t="shared" ref="C4:C9" si="0">C33</f>
        <v>22</v>
      </c>
      <c r="D4" s="56">
        <f t="shared" ref="D4:G4" si="1">D33</f>
        <v>34</v>
      </c>
      <c r="E4" s="56">
        <f t="shared" si="1"/>
        <v>18</v>
      </c>
      <c r="F4" s="56">
        <f t="shared" si="1"/>
        <v>20</v>
      </c>
      <c r="G4" s="56">
        <f t="shared" si="1"/>
        <v>6</v>
      </c>
      <c r="H4" s="56">
        <f>SUM(C4:G4)</f>
        <v>100</v>
      </c>
      <c r="I4" s="110"/>
    </row>
    <row r="5" spans="1:9" x14ac:dyDescent="0.25">
      <c r="A5" s="884"/>
      <c r="B5" s="199" t="s">
        <v>301</v>
      </c>
      <c r="C5" s="248">
        <f t="shared" si="0"/>
        <v>18</v>
      </c>
      <c r="D5" s="248">
        <f t="shared" ref="D5:G5" si="2">D34</f>
        <v>23</v>
      </c>
      <c r="E5" s="248">
        <f t="shared" si="2"/>
        <v>27</v>
      </c>
      <c r="F5" s="248">
        <f t="shared" si="2"/>
        <v>14</v>
      </c>
      <c r="G5" s="248">
        <f t="shared" si="2"/>
        <v>18</v>
      </c>
      <c r="H5" s="248">
        <f t="shared" ref="H5:H20" si="3">SUM(C5:G5)</f>
        <v>100</v>
      </c>
    </row>
    <row r="6" spans="1:9" x14ac:dyDescent="0.25">
      <c r="A6" s="884"/>
      <c r="B6" s="199" t="s">
        <v>302</v>
      </c>
      <c r="C6" s="56">
        <f t="shared" si="0"/>
        <v>3</v>
      </c>
      <c r="D6" s="56">
        <f t="shared" ref="D6:G6" si="4">D35</f>
        <v>15</v>
      </c>
      <c r="E6" s="56">
        <f t="shared" si="4"/>
        <v>23</v>
      </c>
      <c r="F6" s="56">
        <f t="shared" si="4"/>
        <v>35</v>
      </c>
      <c r="G6" s="56">
        <f t="shared" si="4"/>
        <v>24</v>
      </c>
      <c r="H6" s="56">
        <f t="shared" si="3"/>
        <v>100</v>
      </c>
    </row>
    <row r="7" spans="1:9" x14ac:dyDescent="0.25">
      <c r="A7" s="884"/>
      <c r="B7" s="199" t="s">
        <v>303</v>
      </c>
      <c r="C7" s="248">
        <f t="shared" si="0"/>
        <v>9</v>
      </c>
      <c r="D7" s="248">
        <f t="shared" ref="D7:G7" si="5">D36</f>
        <v>16</v>
      </c>
      <c r="E7" s="248">
        <f t="shared" si="5"/>
        <v>40</v>
      </c>
      <c r="F7" s="248">
        <f t="shared" si="5"/>
        <v>18</v>
      </c>
      <c r="G7" s="248">
        <f t="shared" si="5"/>
        <v>17</v>
      </c>
      <c r="H7" s="56">
        <f t="shared" si="3"/>
        <v>100</v>
      </c>
    </row>
    <row r="8" spans="1:9" x14ac:dyDescent="0.25">
      <c r="A8" s="884"/>
      <c r="B8" s="199" t="s">
        <v>304</v>
      </c>
      <c r="C8" s="56">
        <f t="shared" si="0"/>
        <v>12</v>
      </c>
      <c r="D8" s="56">
        <f t="shared" ref="D8:G8" si="6">D37</f>
        <v>38</v>
      </c>
      <c r="E8" s="56">
        <f t="shared" si="6"/>
        <v>18</v>
      </c>
      <c r="F8" s="56">
        <f t="shared" si="6"/>
        <v>11</v>
      </c>
      <c r="G8" s="56">
        <f t="shared" si="6"/>
        <v>21</v>
      </c>
      <c r="H8" s="56">
        <f t="shared" si="3"/>
        <v>100</v>
      </c>
    </row>
    <row r="9" spans="1:9" x14ac:dyDescent="0.25">
      <c r="A9" s="885"/>
      <c r="B9" s="199" t="s">
        <v>305</v>
      </c>
      <c r="C9" s="248">
        <f t="shared" si="0"/>
        <v>7</v>
      </c>
      <c r="D9" s="248">
        <f t="shared" ref="D9:G9" si="7">D38</f>
        <v>28</v>
      </c>
      <c r="E9" s="248">
        <f t="shared" si="7"/>
        <v>33</v>
      </c>
      <c r="F9" s="248">
        <f t="shared" si="7"/>
        <v>14</v>
      </c>
      <c r="G9" s="248">
        <f t="shared" si="7"/>
        <v>18</v>
      </c>
      <c r="H9" s="248">
        <f t="shared" si="3"/>
        <v>100</v>
      </c>
    </row>
    <row r="10" spans="1:9" x14ac:dyDescent="0.25">
      <c r="A10" s="883" t="s">
        <v>306</v>
      </c>
      <c r="B10" s="199" t="s">
        <v>307</v>
      </c>
      <c r="C10" s="248">
        <f t="shared" ref="C10:G20" si="8">C39</f>
        <v>13</v>
      </c>
      <c r="D10" s="248">
        <f t="shared" si="8"/>
        <v>39</v>
      </c>
      <c r="E10" s="248">
        <f t="shared" si="8"/>
        <v>28</v>
      </c>
      <c r="F10" s="248">
        <f t="shared" si="8"/>
        <v>9</v>
      </c>
      <c r="G10" s="248">
        <f t="shared" si="8"/>
        <v>11</v>
      </c>
      <c r="H10" s="56">
        <f t="shared" si="3"/>
        <v>100</v>
      </c>
    </row>
    <row r="11" spans="1:9" x14ac:dyDescent="0.25">
      <c r="A11" s="884"/>
      <c r="B11" s="199" t="s">
        <v>308</v>
      </c>
      <c r="C11" s="248">
        <f t="shared" si="8"/>
        <v>6</v>
      </c>
      <c r="D11" s="248">
        <f t="shared" si="8"/>
        <v>38</v>
      </c>
      <c r="E11" s="248">
        <f t="shared" si="8"/>
        <v>36</v>
      </c>
      <c r="F11" s="248">
        <f t="shared" si="8"/>
        <v>14</v>
      </c>
      <c r="G11" s="248">
        <f t="shared" si="8"/>
        <v>6</v>
      </c>
      <c r="H11" s="56">
        <f t="shared" si="3"/>
        <v>100</v>
      </c>
    </row>
    <row r="12" spans="1:9" x14ac:dyDescent="0.25">
      <c r="A12" s="884"/>
      <c r="B12" s="199" t="s">
        <v>309</v>
      </c>
      <c r="C12" s="248">
        <f t="shared" si="8"/>
        <v>10</v>
      </c>
      <c r="D12" s="248">
        <f t="shared" si="8"/>
        <v>17</v>
      </c>
      <c r="E12" s="248">
        <f t="shared" si="8"/>
        <v>35</v>
      </c>
      <c r="F12" s="248">
        <f t="shared" si="8"/>
        <v>18</v>
      </c>
      <c r="G12" s="248">
        <f t="shared" si="8"/>
        <v>20</v>
      </c>
      <c r="H12" s="248">
        <f t="shared" si="3"/>
        <v>100</v>
      </c>
    </row>
    <row r="13" spans="1:9" x14ac:dyDescent="0.25">
      <c r="A13" s="884"/>
      <c r="B13" s="199" t="s">
        <v>310</v>
      </c>
      <c r="C13" s="248">
        <f t="shared" si="8"/>
        <v>12</v>
      </c>
      <c r="D13" s="248">
        <f t="shared" si="8"/>
        <v>28</v>
      </c>
      <c r="E13" s="248">
        <f t="shared" si="8"/>
        <v>33</v>
      </c>
      <c r="F13" s="248">
        <f t="shared" si="8"/>
        <v>9</v>
      </c>
      <c r="G13" s="248">
        <f t="shared" si="8"/>
        <v>18</v>
      </c>
      <c r="H13" s="248">
        <f>SUM(C13:G13)</f>
        <v>100</v>
      </c>
    </row>
    <row r="14" spans="1:9" x14ac:dyDescent="0.25">
      <c r="A14" s="885"/>
      <c r="B14" s="199" t="s">
        <v>311</v>
      </c>
      <c r="C14" s="248">
        <f t="shared" si="8"/>
        <v>3</v>
      </c>
      <c r="D14" s="248">
        <f t="shared" si="8"/>
        <v>34</v>
      </c>
      <c r="E14" s="248">
        <f t="shared" si="8"/>
        <v>29</v>
      </c>
      <c r="F14" s="248">
        <f t="shared" si="8"/>
        <v>20</v>
      </c>
      <c r="G14" s="248">
        <f t="shared" si="8"/>
        <v>14</v>
      </c>
      <c r="H14" s="56">
        <f t="shared" si="3"/>
        <v>100</v>
      </c>
    </row>
    <row r="15" spans="1:9" x14ac:dyDescent="0.25">
      <c r="A15" s="883" t="s">
        <v>312</v>
      </c>
      <c r="B15" s="199" t="s">
        <v>313</v>
      </c>
      <c r="C15" s="248">
        <f t="shared" si="8"/>
        <v>18</v>
      </c>
      <c r="D15" s="248">
        <f t="shared" si="8"/>
        <v>45</v>
      </c>
      <c r="E15" s="248">
        <f t="shared" si="8"/>
        <v>18</v>
      </c>
      <c r="F15" s="248">
        <f t="shared" si="8"/>
        <v>10</v>
      </c>
      <c r="G15" s="248">
        <f t="shared" si="8"/>
        <v>9</v>
      </c>
      <c r="H15" s="56">
        <f t="shared" si="3"/>
        <v>100</v>
      </c>
    </row>
    <row r="16" spans="1:9" x14ac:dyDescent="0.25">
      <c r="A16" s="884"/>
      <c r="B16" s="199" t="s">
        <v>314</v>
      </c>
      <c r="C16" s="248">
        <f t="shared" si="8"/>
        <v>4</v>
      </c>
      <c r="D16" s="248">
        <f t="shared" si="8"/>
        <v>52</v>
      </c>
      <c r="E16" s="248">
        <f t="shared" si="8"/>
        <v>16</v>
      </c>
      <c r="F16" s="248">
        <f t="shared" si="8"/>
        <v>12</v>
      </c>
      <c r="G16" s="248">
        <f t="shared" si="8"/>
        <v>16</v>
      </c>
      <c r="H16" s="56">
        <f t="shared" si="3"/>
        <v>100</v>
      </c>
    </row>
    <row r="17" spans="1:8" x14ac:dyDescent="0.25">
      <c r="A17" s="884"/>
      <c r="B17" s="199" t="s">
        <v>315</v>
      </c>
      <c r="C17" s="248">
        <f t="shared" si="8"/>
        <v>9</v>
      </c>
      <c r="D17" s="248">
        <f t="shared" si="8"/>
        <v>40</v>
      </c>
      <c r="E17" s="248">
        <f t="shared" si="8"/>
        <v>25</v>
      </c>
      <c r="F17" s="248">
        <f t="shared" si="8"/>
        <v>12</v>
      </c>
      <c r="G17" s="248">
        <f t="shared" si="8"/>
        <v>14</v>
      </c>
      <c r="H17" s="248">
        <f t="shared" si="3"/>
        <v>100</v>
      </c>
    </row>
    <row r="18" spans="1:8" x14ac:dyDescent="0.25">
      <c r="A18" s="884"/>
      <c r="B18" s="199" t="s">
        <v>316</v>
      </c>
      <c r="C18" s="248">
        <f t="shared" si="8"/>
        <v>5</v>
      </c>
      <c r="D18" s="248">
        <f t="shared" si="8"/>
        <v>29</v>
      </c>
      <c r="E18" s="248">
        <f t="shared" si="8"/>
        <v>30</v>
      </c>
      <c r="F18" s="248">
        <f t="shared" si="8"/>
        <v>15</v>
      </c>
      <c r="G18" s="248">
        <f t="shared" si="8"/>
        <v>21</v>
      </c>
      <c r="H18" s="248">
        <f t="shared" si="3"/>
        <v>100</v>
      </c>
    </row>
    <row r="19" spans="1:8" x14ac:dyDescent="0.25">
      <c r="A19" s="884"/>
      <c r="B19" s="199" t="s">
        <v>317</v>
      </c>
      <c r="C19" s="248">
        <f t="shared" si="8"/>
        <v>8</v>
      </c>
      <c r="D19" s="248">
        <f t="shared" si="8"/>
        <v>31</v>
      </c>
      <c r="E19" s="248">
        <f t="shared" si="8"/>
        <v>28</v>
      </c>
      <c r="F19" s="248">
        <f t="shared" si="8"/>
        <v>14</v>
      </c>
      <c r="G19" s="248">
        <f t="shared" si="8"/>
        <v>19</v>
      </c>
      <c r="H19" s="248">
        <f t="shared" si="3"/>
        <v>100</v>
      </c>
    </row>
    <row r="20" spans="1:8" x14ac:dyDescent="0.25">
      <c r="A20" s="885"/>
      <c r="B20" s="199" t="s">
        <v>318</v>
      </c>
      <c r="C20" s="248">
        <f t="shared" si="8"/>
        <v>2</v>
      </c>
      <c r="D20" s="248">
        <f t="shared" si="8"/>
        <v>12</v>
      </c>
      <c r="E20" s="248">
        <f t="shared" si="8"/>
        <v>22</v>
      </c>
      <c r="F20" s="248">
        <f t="shared" si="8"/>
        <v>52</v>
      </c>
      <c r="G20" s="248">
        <f t="shared" si="8"/>
        <v>12</v>
      </c>
      <c r="H20" s="56">
        <f t="shared" si="3"/>
        <v>100</v>
      </c>
    </row>
    <row r="21" spans="1:8" ht="13" x14ac:dyDescent="0.3">
      <c r="B21" s="396" t="s">
        <v>17</v>
      </c>
      <c r="C21" s="397">
        <f>AVERAGE(C4:C20)</f>
        <v>9.4705882352941178</v>
      </c>
      <c r="D21" s="397">
        <f>AVERAGE(D4:D20)</f>
        <v>30.529411764705884</v>
      </c>
      <c r="E21" s="397">
        <f>AVERAGE(E4:E20)</f>
        <v>27</v>
      </c>
      <c r="F21" s="397">
        <f>AVERAGE(F4:F20)</f>
        <v>17.470588235294116</v>
      </c>
      <c r="G21" s="397">
        <f>AVERAGE(G4:G20)</f>
        <v>15.529411764705882</v>
      </c>
      <c r="H21" s="398"/>
    </row>
    <row r="24" spans="1:8" x14ac:dyDescent="0.25">
      <c r="A24" s="388" t="s">
        <v>382</v>
      </c>
      <c r="B24" s="98" t="s">
        <v>371</v>
      </c>
      <c r="C24" s="189" t="s">
        <v>372</v>
      </c>
      <c r="D24" s="189" t="s">
        <v>373</v>
      </c>
    </row>
    <row r="25" spans="1:8" x14ac:dyDescent="0.25">
      <c r="A25" s="388" t="s">
        <v>381</v>
      </c>
      <c r="B25" s="226">
        <v>25</v>
      </c>
      <c r="C25" s="226">
        <v>2.5999999999999999E-2</v>
      </c>
      <c r="D25" s="98" t="s">
        <v>374</v>
      </c>
    </row>
    <row r="26" spans="1:8" x14ac:dyDescent="0.25">
      <c r="A26" s="388" t="s">
        <v>378</v>
      </c>
      <c r="B26" s="226">
        <v>60</v>
      </c>
      <c r="C26" s="226">
        <v>8.9999999999999993E-3</v>
      </c>
      <c r="D26" s="98" t="s">
        <v>375</v>
      </c>
    </row>
    <row r="27" spans="1:8" x14ac:dyDescent="0.25">
      <c r="A27" s="388" t="s">
        <v>367</v>
      </c>
      <c r="B27" s="226">
        <v>120</v>
      </c>
      <c r="C27" s="226">
        <v>4.5999999999999999E-3</v>
      </c>
      <c r="D27" s="98" t="s">
        <v>376</v>
      </c>
    </row>
    <row r="28" spans="1:8" x14ac:dyDescent="0.25">
      <c r="A28" s="388" t="s">
        <v>368</v>
      </c>
      <c r="B28" s="226">
        <v>200</v>
      </c>
      <c r="C28" s="226">
        <v>2.8999999999999998E-3</v>
      </c>
      <c r="D28" s="98" t="s">
        <v>377</v>
      </c>
    </row>
    <row r="29" spans="1:8" x14ac:dyDescent="0.25">
      <c r="A29" s="388" t="s">
        <v>379</v>
      </c>
      <c r="B29" s="225" t="s">
        <v>380</v>
      </c>
      <c r="C29" s="226"/>
      <c r="D29" s="56"/>
    </row>
    <row r="31" spans="1:8" x14ac:dyDescent="0.25">
      <c r="A31" s="883" t="s">
        <v>320</v>
      </c>
      <c r="B31" s="892" t="s">
        <v>319</v>
      </c>
      <c r="C31" t="s">
        <v>365</v>
      </c>
      <c r="D31" t="s">
        <v>366</v>
      </c>
      <c r="E31" t="s">
        <v>367</v>
      </c>
      <c r="F31" t="s">
        <v>368</v>
      </c>
      <c r="G31" t="s">
        <v>369</v>
      </c>
    </row>
    <row r="32" spans="1:8" x14ac:dyDescent="0.25">
      <c r="A32" s="885"/>
      <c r="B32" s="893"/>
      <c r="C32" s="56" t="s">
        <v>364</v>
      </c>
      <c r="D32" s="56">
        <v>60</v>
      </c>
      <c r="E32" s="56">
        <v>120</v>
      </c>
      <c r="F32" s="56">
        <v>200</v>
      </c>
      <c r="G32" s="56" t="s">
        <v>363</v>
      </c>
    </row>
    <row r="33" spans="1:10" x14ac:dyDescent="0.25">
      <c r="A33" s="883" t="s">
        <v>299</v>
      </c>
      <c r="B33" s="199" t="s">
        <v>300</v>
      </c>
      <c r="C33" s="56">
        <v>22</v>
      </c>
      <c r="D33" s="56">
        <v>34</v>
      </c>
      <c r="E33" s="56">
        <v>18</v>
      </c>
      <c r="F33" s="56">
        <v>20</v>
      </c>
      <c r="G33" s="56">
        <v>6</v>
      </c>
      <c r="H33" s="56">
        <f>SUM(C33:G33)</f>
        <v>100</v>
      </c>
      <c r="I33" s="110"/>
      <c r="J33" s="6"/>
    </row>
    <row r="34" spans="1:10" x14ac:dyDescent="0.25">
      <c r="A34" s="884"/>
      <c r="B34" s="199" t="s">
        <v>301</v>
      </c>
      <c r="C34" s="56">
        <v>18</v>
      </c>
      <c r="D34" s="56">
        <v>23</v>
      </c>
      <c r="E34" s="56">
        <v>27</v>
      </c>
      <c r="F34" s="56">
        <v>14</v>
      </c>
      <c r="G34" s="56">
        <v>18</v>
      </c>
      <c r="H34" s="56">
        <f t="shared" ref="H34:H49" si="9">SUM(C34:G34)</f>
        <v>100</v>
      </c>
      <c r="J34" s="6"/>
    </row>
    <row r="35" spans="1:10" x14ac:dyDescent="0.25">
      <c r="A35" s="884"/>
      <c r="B35" s="199" t="s">
        <v>302</v>
      </c>
      <c r="C35" s="56">
        <v>3</v>
      </c>
      <c r="D35" s="56">
        <v>15</v>
      </c>
      <c r="E35" s="56">
        <v>23</v>
      </c>
      <c r="F35" s="56">
        <v>35</v>
      </c>
      <c r="G35" s="56">
        <v>24</v>
      </c>
      <c r="H35" s="56">
        <f t="shared" si="9"/>
        <v>100</v>
      </c>
      <c r="J35" s="6"/>
    </row>
    <row r="36" spans="1:10" x14ac:dyDescent="0.25">
      <c r="A36" s="884"/>
      <c r="B36" s="199" t="s">
        <v>303</v>
      </c>
      <c r="C36" s="56">
        <v>9</v>
      </c>
      <c r="D36" s="56">
        <v>16</v>
      </c>
      <c r="E36" s="56">
        <v>40</v>
      </c>
      <c r="F36" s="56">
        <v>18</v>
      </c>
      <c r="G36" s="56">
        <v>17</v>
      </c>
      <c r="H36" s="56">
        <f t="shared" si="9"/>
        <v>100</v>
      </c>
      <c r="J36" s="6"/>
    </row>
    <row r="37" spans="1:10" x14ac:dyDescent="0.25">
      <c r="A37" s="884"/>
      <c r="B37" s="199" t="s">
        <v>304</v>
      </c>
      <c r="C37" s="56">
        <v>12</v>
      </c>
      <c r="D37" s="56">
        <v>38</v>
      </c>
      <c r="E37" s="56">
        <v>18</v>
      </c>
      <c r="F37" s="56">
        <v>11</v>
      </c>
      <c r="G37" s="56">
        <v>21</v>
      </c>
      <c r="H37" s="56">
        <f t="shared" si="9"/>
        <v>100</v>
      </c>
      <c r="J37" s="395"/>
    </row>
    <row r="38" spans="1:10" x14ac:dyDescent="0.25">
      <c r="A38" s="885"/>
      <c r="B38" s="199" t="s">
        <v>305</v>
      </c>
      <c r="C38" s="56">
        <v>7</v>
      </c>
      <c r="D38" s="56">
        <v>28</v>
      </c>
      <c r="E38" s="56">
        <v>33</v>
      </c>
      <c r="F38" s="56">
        <v>14</v>
      </c>
      <c r="G38" s="56">
        <v>18</v>
      </c>
      <c r="H38" s="56">
        <f t="shared" si="9"/>
        <v>100</v>
      </c>
      <c r="J38" s="395"/>
    </row>
    <row r="39" spans="1:10" x14ac:dyDescent="0.25">
      <c r="A39" s="883" t="s">
        <v>306</v>
      </c>
      <c r="B39" s="199" t="s">
        <v>307</v>
      </c>
      <c r="C39" s="56">
        <v>13</v>
      </c>
      <c r="D39" s="56">
        <v>39</v>
      </c>
      <c r="E39" s="56">
        <v>28</v>
      </c>
      <c r="F39" s="56">
        <v>9</v>
      </c>
      <c r="G39" s="56">
        <v>11</v>
      </c>
      <c r="H39" s="56">
        <f t="shared" si="9"/>
        <v>100</v>
      </c>
      <c r="J39" s="395"/>
    </row>
    <row r="40" spans="1:10" x14ac:dyDescent="0.25">
      <c r="A40" s="884"/>
      <c r="B40" s="199" t="s">
        <v>308</v>
      </c>
      <c r="C40" s="56">
        <v>6</v>
      </c>
      <c r="D40" s="56">
        <v>38</v>
      </c>
      <c r="E40" s="56">
        <v>36</v>
      </c>
      <c r="F40" s="56">
        <v>14</v>
      </c>
      <c r="G40" s="56">
        <v>6</v>
      </c>
      <c r="H40" s="56">
        <f t="shared" si="9"/>
        <v>100</v>
      </c>
      <c r="J40" s="395"/>
    </row>
    <row r="41" spans="1:10" x14ac:dyDescent="0.25">
      <c r="A41" s="884"/>
      <c r="B41" s="199" t="s">
        <v>309</v>
      </c>
      <c r="C41" s="56">
        <v>10</v>
      </c>
      <c r="D41" s="56">
        <v>17</v>
      </c>
      <c r="E41" s="56">
        <v>35</v>
      </c>
      <c r="F41" s="56">
        <v>18</v>
      </c>
      <c r="G41" s="56">
        <v>20</v>
      </c>
      <c r="H41" s="56">
        <f t="shared" si="9"/>
        <v>100</v>
      </c>
      <c r="J41" s="395"/>
    </row>
    <row r="42" spans="1:10" x14ac:dyDescent="0.25">
      <c r="A42" s="884"/>
      <c r="B42" s="199" t="s">
        <v>310</v>
      </c>
      <c r="C42" s="56">
        <v>12</v>
      </c>
      <c r="D42" s="56">
        <v>28</v>
      </c>
      <c r="E42" s="56">
        <v>33</v>
      </c>
      <c r="F42" s="56">
        <v>9</v>
      </c>
      <c r="G42" s="56">
        <v>18</v>
      </c>
      <c r="H42" s="56">
        <f t="shared" si="9"/>
        <v>100</v>
      </c>
      <c r="J42" s="395"/>
    </row>
    <row r="43" spans="1:10" x14ac:dyDescent="0.25">
      <c r="A43" s="885"/>
      <c r="B43" s="199" t="s">
        <v>311</v>
      </c>
      <c r="C43" s="56">
        <v>3</v>
      </c>
      <c r="D43" s="56">
        <v>34</v>
      </c>
      <c r="E43" s="56">
        <v>29</v>
      </c>
      <c r="F43" s="56">
        <v>20</v>
      </c>
      <c r="G43" s="56">
        <v>14</v>
      </c>
      <c r="H43" s="56">
        <f t="shared" si="9"/>
        <v>100</v>
      </c>
      <c r="J43" s="395"/>
    </row>
    <row r="44" spans="1:10" x14ac:dyDescent="0.25">
      <c r="A44" s="883" t="s">
        <v>312</v>
      </c>
      <c r="B44" s="199" t="s">
        <v>313</v>
      </c>
      <c r="C44" s="56">
        <v>18</v>
      </c>
      <c r="D44" s="56">
        <v>45</v>
      </c>
      <c r="E44" s="56">
        <v>18</v>
      </c>
      <c r="F44" s="56">
        <v>10</v>
      </c>
      <c r="G44" s="56">
        <v>9</v>
      </c>
      <c r="H44" s="56">
        <f>SUM(C44:G44)</f>
        <v>100</v>
      </c>
      <c r="J44" s="395"/>
    </row>
    <row r="45" spans="1:10" x14ac:dyDescent="0.25">
      <c r="A45" s="884"/>
      <c r="B45" s="199" t="s">
        <v>314</v>
      </c>
      <c r="C45" s="56">
        <v>4</v>
      </c>
      <c r="D45" s="56">
        <v>52</v>
      </c>
      <c r="E45" s="56">
        <v>16</v>
      </c>
      <c r="F45" s="56">
        <v>12</v>
      </c>
      <c r="G45" s="56">
        <v>16</v>
      </c>
      <c r="H45" s="56">
        <f>SUM(C45:G45)</f>
        <v>100</v>
      </c>
      <c r="J45" s="395"/>
    </row>
    <row r="46" spans="1:10" x14ac:dyDescent="0.25">
      <c r="A46" s="884"/>
      <c r="B46" s="199" t="s">
        <v>315</v>
      </c>
      <c r="C46" s="56">
        <v>9</v>
      </c>
      <c r="D46" s="56">
        <v>40</v>
      </c>
      <c r="E46" s="56">
        <v>25</v>
      </c>
      <c r="F46" s="56">
        <v>12</v>
      </c>
      <c r="G46" s="56">
        <v>14</v>
      </c>
      <c r="H46" s="56">
        <f>SUM(C46:G46)</f>
        <v>100</v>
      </c>
      <c r="J46" s="395"/>
    </row>
    <row r="47" spans="1:10" x14ac:dyDescent="0.25">
      <c r="A47" s="884"/>
      <c r="B47" s="199" t="s">
        <v>316</v>
      </c>
      <c r="C47" s="56">
        <v>5</v>
      </c>
      <c r="D47" s="56">
        <v>29</v>
      </c>
      <c r="E47" s="56">
        <v>30</v>
      </c>
      <c r="F47" s="56">
        <v>15</v>
      </c>
      <c r="G47" s="56">
        <v>21</v>
      </c>
      <c r="H47" s="56">
        <f>SUM(C47:G47)</f>
        <v>100</v>
      </c>
      <c r="J47" s="395"/>
    </row>
    <row r="48" spans="1:10" x14ac:dyDescent="0.25">
      <c r="A48" s="884"/>
      <c r="B48" s="199" t="s">
        <v>317</v>
      </c>
      <c r="C48" s="56">
        <v>8</v>
      </c>
      <c r="D48" s="56">
        <v>31</v>
      </c>
      <c r="E48" s="56">
        <v>28</v>
      </c>
      <c r="F48" s="56">
        <v>14</v>
      </c>
      <c r="G48" s="56">
        <v>19</v>
      </c>
      <c r="H48" s="56">
        <f>SUM(C48:G48)</f>
        <v>100</v>
      </c>
      <c r="J48" s="395"/>
    </row>
    <row r="49" spans="1:10" x14ac:dyDescent="0.25">
      <c r="A49" s="885"/>
      <c r="B49" s="199" t="s">
        <v>318</v>
      </c>
      <c r="C49" s="56">
        <v>2</v>
      </c>
      <c r="D49" s="56">
        <v>12</v>
      </c>
      <c r="E49" s="56">
        <v>22</v>
      </c>
      <c r="F49" s="56">
        <v>52</v>
      </c>
      <c r="G49" s="56">
        <v>12</v>
      </c>
      <c r="H49" s="56">
        <f t="shared" si="9"/>
        <v>100</v>
      </c>
      <c r="J49" s="395"/>
    </row>
    <row r="50" spans="1:10" x14ac:dyDescent="0.25">
      <c r="B50" s="224" t="s">
        <v>17</v>
      </c>
      <c r="C50" s="5">
        <f>AVERAGE(C33:C49)</f>
        <v>9.4705882352941178</v>
      </c>
      <c r="D50" s="5">
        <f>AVERAGE(D33:D49)</f>
        <v>30.529411764705884</v>
      </c>
      <c r="E50" s="5">
        <f>AVERAGE(E33:E49)</f>
        <v>27</v>
      </c>
      <c r="F50" s="5">
        <f>AVERAGE(F33:F49)</f>
        <v>17.470588235294116</v>
      </c>
      <c r="G50" s="5">
        <f>AVERAGE(G33:G49)</f>
        <v>15.529411764705882</v>
      </c>
    </row>
  </sheetData>
  <mergeCells count="10">
    <mergeCell ref="A2:A3"/>
    <mergeCell ref="B2:B3"/>
    <mergeCell ref="A4:A9"/>
    <mergeCell ref="A10:A14"/>
    <mergeCell ref="A15:A20"/>
    <mergeCell ref="A31:A32"/>
    <mergeCell ref="B31:B32"/>
    <mergeCell ref="A33:A38"/>
    <mergeCell ref="A39:A43"/>
    <mergeCell ref="A44:A49"/>
  </mergeCell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J20"/>
  <sheetViews>
    <sheetView workbookViewId="0">
      <selection activeCell="C33" sqref="C33"/>
    </sheetView>
  </sheetViews>
  <sheetFormatPr defaultColWidth="12.54296875" defaultRowHeight="12.5" x14ac:dyDescent="0.25"/>
  <cols>
    <col min="1" max="1" width="1.36328125" customWidth="1"/>
    <col min="2" max="2" width="8.453125" bestFit="1" customWidth="1"/>
    <col min="3" max="3" width="53.6328125" customWidth="1"/>
    <col min="4" max="4" width="21.54296875" style="30" customWidth="1"/>
    <col min="5" max="5" width="9.6328125" bestFit="1" customWidth="1"/>
    <col min="6" max="6" width="7.54296875" customWidth="1"/>
    <col min="7" max="7" width="5.90625" customWidth="1"/>
    <col min="8" max="8" width="9.6328125" bestFit="1" customWidth="1"/>
    <col min="9" max="9" width="7.6328125" customWidth="1"/>
    <col min="10" max="10" width="6" customWidth="1"/>
  </cols>
  <sheetData>
    <row r="1" spans="2:10" x14ac:dyDescent="0.25">
      <c r="F1" s="900" t="s">
        <v>432</v>
      </c>
      <c r="G1" s="901"/>
      <c r="I1" s="900" t="s">
        <v>432</v>
      </c>
      <c r="J1" s="901"/>
    </row>
    <row r="2" spans="2:10" x14ac:dyDescent="0.25">
      <c r="B2" s="903" t="s">
        <v>394</v>
      </c>
      <c r="C2" s="903" t="s">
        <v>394</v>
      </c>
      <c r="D2" s="905" t="s">
        <v>239</v>
      </c>
      <c r="E2" s="903" t="s">
        <v>430</v>
      </c>
      <c r="F2" s="902" t="s">
        <v>433</v>
      </c>
      <c r="G2" s="902"/>
      <c r="H2" s="903" t="s">
        <v>430</v>
      </c>
      <c r="I2" s="902" t="s">
        <v>433</v>
      </c>
      <c r="J2" s="902"/>
    </row>
    <row r="3" spans="2:10" x14ac:dyDescent="0.25">
      <c r="B3" s="904"/>
      <c r="C3" s="904"/>
      <c r="D3" s="906"/>
      <c r="E3" s="904"/>
      <c r="F3" s="249" t="s">
        <v>434</v>
      </c>
      <c r="G3" s="249" t="s">
        <v>435</v>
      </c>
      <c r="H3" s="904"/>
      <c r="I3" s="249" t="s">
        <v>434</v>
      </c>
      <c r="J3" s="249" t="s">
        <v>435</v>
      </c>
    </row>
    <row r="4" spans="2:10" ht="23" x14ac:dyDescent="0.25">
      <c r="B4" s="239" t="s">
        <v>395</v>
      </c>
      <c r="C4" s="237" t="s">
        <v>419</v>
      </c>
      <c r="D4" s="240" t="s">
        <v>421</v>
      </c>
      <c r="E4" s="239" t="s">
        <v>431</v>
      </c>
      <c r="F4" s="241">
        <v>17</v>
      </c>
      <c r="G4" s="241">
        <v>21.2</v>
      </c>
      <c r="H4" s="239" t="s">
        <v>436</v>
      </c>
      <c r="I4" s="241">
        <v>9</v>
      </c>
      <c r="J4" s="241">
        <v>13</v>
      </c>
    </row>
    <row r="5" spans="2:10" ht="25" x14ac:dyDescent="0.25">
      <c r="B5" s="239" t="s">
        <v>396</v>
      </c>
      <c r="C5" s="237" t="s">
        <v>418</v>
      </c>
      <c r="D5" s="238" t="s">
        <v>422</v>
      </c>
      <c r="E5" s="239" t="s">
        <v>420</v>
      </c>
      <c r="F5" s="242">
        <v>19.3</v>
      </c>
      <c r="G5" s="242">
        <v>23.8</v>
      </c>
      <c r="H5" s="239" t="s">
        <v>437</v>
      </c>
      <c r="I5" s="241">
        <v>9</v>
      </c>
      <c r="J5" s="241">
        <v>13</v>
      </c>
    </row>
    <row r="6" spans="2:10" ht="25" x14ac:dyDescent="0.25">
      <c r="B6" s="239" t="s">
        <v>397</v>
      </c>
      <c r="C6" s="237" t="s">
        <v>417</v>
      </c>
      <c r="D6" s="238" t="s">
        <v>423</v>
      </c>
      <c r="E6" s="243" t="s">
        <v>438</v>
      </c>
      <c r="F6" s="242">
        <v>23.3</v>
      </c>
      <c r="G6" s="242">
        <v>23.8</v>
      </c>
      <c r="H6" s="243" t="s">
        <v>439</v>
      </c>
      <c r="I6" s="241">
        <v>9</v>
      </c>
      <c r="J6" s="241">
        <v>13</v>
      </c>
    </row>
    <row r="7" spans="2:10" ht="13.5" x14ac:dyDescent="0.25">
      <c r="B7" s="239" t="s">
        <v>398</v>
      </c>
      <c r="C7" s="237" t="s">
        <v>416</v>
      </c>
      <c r="D7" s="238" t="s">
        <v>424</v>
      </c>
      <c r="E7" s="243" t="s">
        <v>438</v>
      </c>
      <c r="F7" s="242">
        <v>18.2</v>
      </c>
      <c r="G7" s="242">
        <v>23.8</v>
      </c>
      <c r="H7" s="243" t="s">
        <v>439</v>
      </c>
      <c r="I7" s="241">
        <v>9</v>
      </c>
      <c r="J7" s="241">
        <v>13</v>
      </c>
    </row>
    <row r="8" spans="2:10" ht="25" x14ac:dyDescent="0.25">
      <c r="B8" s="239" t="s">
        <v>399</v>
      </c>
      <c r="C8" s="237" t="s">
        <v>415</v>
      </c>
      <c r="D8" s="238" t="s">
        <v>425</v>
      </c>
      <c r="E8" s="239" t="s">
        <v>420</v>
      </c>
      <c r="F8" s="242">
        <v>19.3</v>
      </c>
      <c r="G8" s="242">
        <v>23.8</v>
      </c>
      <c r="H8" s="239" t="s">
        <v>437</v>
      </c>
      <c r="I8" s="241">
        <v>9</v>
      </c>
      <c r="J8" s="241">
        <v>13</v>
      </c>
    </row>
    <row r="9" spans="2:10" ht="23" x14ac:dyDescent="0.25">
      <c r="B9" s="242">
        <v>2</v>
      </c>
      <c r="C9" s="237" t="s">
        <v>414</v>
      </c>
      <c r="D9" s="240" t="s">
        <v>429</v>
      </c>
      <c r="E9" s="239" t="s">
        <v>440</v>
      </c>
      <c r="F9" s="242">
        <v>27.5</v>
      </c>
      <c r="G9" s="242">
        <v>28.6</v>
      </c>
      <c r="H9" s="239" t="s">
        <v>437</v>
      </c>
      <c r="I9" s="241">
        <v>13.7</v>
      </c>
      <c r="J9" s="241">
        <v>14.3</v>
      </c>
    </row>
    <row r="10" spans="2:10" ht="23" x14ac:dyDescent="0.25">
      <c r="B10" s="242">
        <v>3</v>
      </c>
      <c r="C10" s="237" t="s">
        <v>413</v>
      </c>
      <c r="D10" s="240" t="s">
        <v>421</v>
      </c>
      <c r="E10" s="239" t="s">
        <v>431</v>
      </c>
      <c r="F10" s="241">
        <v>17</v>
      </c>
      <c r="G10" s="241">
        <v>21.2</v>
      </c>
      <c r="H10" s="239" t="s">
        <v>436</v>
      </c>
      <c r="I10" s="241">
        <v>9</v>
      </c>
      <c r="J10" s="241">
        <v>13</v>
      </c>
    </row>
    <row r="11" spans="2:10" ht="34.5" x14ac:dyDescent="0.25">
      <c r="B11" s="239" t="s">
        <v>400</v>
      </c>
      <c r="C11" s="237" t="s">
        <v>412</v>
      </c>
      <c r="D11" s="240" t="s">
        <v>426</v>
      </c>
      <c r="E11" s="239" t="s">
        <v>440</v>
      </c>
      <c r="F11" s="242">
        <v>24.2</v>
      </c>
      <c r="G11" s="242">
        <v>29</v>
      </c>
      <c r="H11" s="239" t="s">
        <v>441</v>
      </c>
      <c r="I11" s="241">
        <v>12.1</v>
      </c>
      <c r="J11" s="241">
        <v>14.5</v>
      </c>
    </row>
    <row r="12" spans="2:10" ht="34.5" x14ac:dyDescent="0.25">
      <c r="B12" s="242">
        <v>5</v>
      </c>
      <c r="C12" s="237" t="s">
        <v>411</v>
      </c>
      <c r="D12" s="240" t="s">
        <v>427</v>
      </c>
      <c r="E12" s="239" t="s">
        <v>420</v>
      </c>
      <c r="F12" s="242">
        <v>18.2</v>
      </c>
      <c r="G12" s="242">
        <v>23.8</v>
      </c>
      <c r="H12" s="239" t="s">
        <v>437</v>
      </c>
      <c r="I12" s="241">
        <v>9</v>
      </c>
      <c r="J12" s="241">
        <v>13</v>
      </c>
    </row>
    <row r="13" spans="2:10" ht="34.5" x14ac:dyDescent="0.25">
      <c r="B13" s="239" t="s">
        <v>401</v>
      </c>
      <c r="C13" s="237" t="s">
        <v>410</v>
      </c>
      <c r="D13" s="240" t="s">
        <v>427</v>
      </c>
      <c r="E13" s="239" t="s">
        <v>420</v>
      </c>
      <c r="F13" s="242">
        <v>18.2</v>
      </c>
      <c r="G13" s="242">
        <v>23.8</v>
      </c>
      <c r="H13" s="239" t="s">
        <v>437</v>
      </c>
      <c r="I13" s="241">
        <v>9</v>
      </c>
      <c r="J13" s="241">
        <v>13</v>
      </c>
    </row>
    <row r="14" spans="2:10" ht="23" x14ac:dyDescent="0.25">
      <c r="B14" s="239" t="s">
        <v>402</v>
      </c>
      <c r="C14" s="237" t="s">
        <v>409</v>
      </c>
      <c r="D14" s="240" t="s">
        <v>421</v>
      </c>
      <c r="E14" s="239" t="s">
        <v>431</v>
      </c>
      <c r="F14" s="241">
        <v>17</v>
      </c>
      <c r="G14" s="241">
        <v>21.2</v>
      </c>
      <c r="H14" s="239" t="s">
        <v>436</v>
      </c>
      <c r="I14" s="241">
        <v>9</v>
      </c>
      <c r="J14" s="241">
        <v>13</v>
      </c>
    </row>
    <row r="15" spans="2:10" ht="23" x14ac:dyDescent="0.25">
      <c r="B15" s="242">
        <v>7</v>
      </c>
      <c r="C15" s="237" t="s">
        <v>408</v>
      </c>
      <c r="D15" s="240" t="s">
        <v>421</v>
      </c>
      <c r="E15" s="239" t="s">
        <v>431</v>
      </c>
      <c r="F15" s="241">
        <v>17</v>
      </c>
      <c r="G15" s="241">
        <v>21.2</v>
      </c>
      <c r="H15" s="239" t="s">
        <v>436</v>
      </c>
      <c r="I15" s="241">
        <v>9</v>
      </c>
      <c r="J15" s="241">
        <v>13</v>
      </c>
    </row>
    <row r="16" spans="2:10" ht="23" x14ac:dyDescent="0.25">
      <c r="B16" s="242">
        <v>8</v>
      </c>
      <c r="C16" s="237" t="s">
        <v>407</v>
      </c>
      <c r="D16" s="240" t="s">
        <v>428</v>
      </c>
      <c r="E16" s="239" t="s">
        <v>438</v>
      </c>
      <c r="F16" s="241">
        <v>17</v>
      </c>
      <c r="G16" s="241">
        <v>21.2</v>
      </c>
      <c r="H16" s="239" t="s">
        <v>439</v>
      </c>
      <c r="I16" s="241">
        <v>9</v>
      </c>
      <c r="J16" s="241">
        <v>13</v>
      </c>
    </row>
    <row r="17" spans="2:10" ht="23" x14ac:dyDescent="0.25">
      <c r="B17" s="242">
        <v>9</v>
      </c>
      <c r="C17" s="237" t="s">
        <v>406</v>
      </c>
      <c r="D17" s="240" t="s">
        <v>428</v>
      </c>
      <c r="E17" s="239" t="s">
        <v>438</v>
      </c>
      <c r="F17" s="241">
        <v>17</v>
      </c>
      <c r="G17" s="241">
        <v>21.2</v>
      </c>
      <c r="H17" s="239" t="s">
        <v>439</v>
      </c>
      <c r="I17" s="241">
        <v>9</v>
      </c>
      <c r="J17" s="241">
        <v>13</v>
      </c>
    </row>
    <row r="18" spans="2:10" ht="34.5" x14ac:dyDescent="0.25">
      <c r="B18" s="242">
        <v>10</v>
      </c>
      <c r="C18" s="237" t="s">
        <v>405</v>
      </c>
      <c r="D18" s="240" t="s">
        <v>428</v>
      </c>
      <c r="E18" s="239" t="s">
        <v>438</v>
      </c>
      <c r="F18" s="241">
        <v>17</v>
      </c>
      <c r="G18" s="241">
        <v>21.2</v>
      </c>
      <c r="H18" s="239" t="s">
        <v>439</v>
      </c>
      <c r="I18" s="241">
        <v>9</v>
      </c>
      <c r="J18" s="241">
        <v>13</v>
      </c>
    </row>
    <row r="19" spans="2:10" ht="39.75" customHeight="1" x14ac:dyDescent="0.25">
      <c r="B19" s="242">
        <v>11</v>
      </c>
      <c r="C19" s="237" t="s">
        <v>404</v>
      </c>
      <c r="D19" s="240" t="s">
        <v>428</v>
      </c>
      <c r="E19" s="239" t="s">
        <v>438</v>
      </c>
      <c r="F19" s="241">
        <v>17</v>
      </c>
      <c r="G19" s="241">
        <v>21.2</v>
      </c>
      <c r="H19" s="239" t="s">
        <v>439</v>
      </c>
      <c r="I19" s="241">
        <v>9</v>
      </c>
      <c r="J19" s="241">
        <v>13</v>
      </c>
    </row>
    <row r="20" spans="2:10" ht="23" x14ac:dyDescent="0.25">
      <c r="B20" s="242">
        <v>12</v>
      </c>
      <c r="C20" s="237" t="s">
        <v>403</v>
      </c>
      <c r="D20" s="240" t="s">
        <v>428</v>
      </c>
      <c r="E20" s="239" t="s">
        <v>438</v>
      </c>
      <c r="F20" s="241">
        <v>17</v>
      </c>
      <c r="G20" s="241">
        <v>21.2</v>
      </c>
      <c r="H20" s="239" t="s">
        <v>439</v>
      </c>
      <c r="I20" s="241">
        <v>9</v>
      </c>
      <c r="J20" s="241">
        <v>13</v>
      </c>
    </row>
  </sheetData>
  <mergeCells count="9">
    <mergeCell ref="I1:J1"/>
    <mergeCell ref="I2:J2"/>
    <mergeCell ref="E2:E3"/>
    <mergeCell ref="H2:H3"/>
    <mergeCell ref="B2:B3"/>
    <mergeCell ref="C2:C3"/>
    <mergeCell ref="D2:D3"/>
    <mergeCell ref="F1:G1"/>
    <mergeCell ref="F2:G2"/>
  </mergeCells>
  <pageMargins left="0.55000000000000004" right="0.47" top="0.4" bottom="0.4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7"/>
  <sheetViews>
    <sheetView workbookViewId="0">
      <selection activeCell="AA9" sqref="AA9"/>
    </sheetView>
  </sheetViews>
  <sheetFormatPr defaultRowHeight="12.5" x14ac:dyDescent="0.25"/>
  <cols>
    <col min="1" max="1" width="16.453125" customWidth="1"/>
    <col min="2" max="2" width="12.36328125" bestFit="1" customWidth="1"/>
    <col min="3" max="14" width="5" bestFit="1" customWidth="1"/>
    <col min="15" max="16" width="5" customWidth="1"/>
    <col min="17" max="17" width="5" bestFit="1" customWidth="1"/>
    <col min="18" max="21" width="5" customWidth="1"/>
    <col min="22" max="22" width="5" bestFit="1" customWidth="1"/>
    <col min="23" max="23" width="5" customWidth="1"/>
    <col min="24" max="24" width="7" bestFit="1" customWidth="1"/>
    <col min="25" max="25" width="6" bestFit="1" customWidth="1"/>
    <col min="28" max="28" width="15.6328125" customWidth="1"/>
    <col min="29" max="29" width="12.6328125" customWidth="1"/>
    <col min="34" max="34" width="21" customWidth="1"/>
  </cols>
  <sheetData>
    <row r="1" spans="1:27" ht="15.5" x14ac:dyDescent="0.35">
      <c r="A1" s="775" t="s">
        <v>717</v>
      </c>
      <c r="B1" s="776"/>
      <c r="C1" s="776"/>
      <c r="D1" s="776"/>
      <c r="E1" s="776"/>
      <c r="F1" s="776"/>
      <c r="G1" s="776"/>
      <c r="H1" s="776"/>
      <c r="I1" s="776"/>
      <c r="J1" s="776"/>
      <c r="K1" s="776"/>
      <c r="L1" s="776"/>
      <c r="M1" s="776"/>
      <c r="N1" s="776"/>
      <c r="O1" s="776"/>
      <c r="P1" s="776"/>
      <c r="Q1" s="776"/>
      <c r="R1" s="776"/>
      <c r="S1" s="776"/>
      <c r="T1" s="776"/>
      <c r="U1" s="776"/>
      <c r="V1" s="776"/>
      <c r="W1" s="776"/>
      <c r="X1" s="776"/>
      <c r="Y1" s="776"/>
    </row>
    <row r="2" spans="1:27" ht="13" x14ac:dyDescent="0.3">
      <c r="A2" s="777" t="s">
        <v>10</v>
      </c>
      <c r="B2" s="779" t="s">
        <v>11</v>
      </c>
      <c r="C2" s="781" t="s">
        <v>105</v>
      </c>
      <c r="D2" s="781"/>
      <c r="E2" s="781"/>
      <c r="F2" s="781"/>
      <c r="G2" s="781"/>
      <c r="H2" s="781"/>
      <c r="I2" s="781"/>
      <c r="J2" s="781"/>
      <c r="K2" s="781"/>
      <c r="L2" s="781"/>
      <c r="M2" s="781"/>
      <c r="N2" s="781"/>
      <c r="O2" s="781"/>
      <c r="P2" s="781"/>
      <c r="Q2" s="781"/>
      <c r="R2" s="781"/>
      <c r="S2" s="781"/>
      <c r="T2" s="781"/>
      <c r="U2" s="781"/>
      <c r="V2" s="781"/>
      <c r="W2" s="781"/>
      <c r="X2" s="781"/>
      <c r="Y2" s="781"/>
    </row>
    <row r="3" spans="1:27" ht="26" x14ac:dyDescent="0.3">
      <c r="A3" s="778"/>
      <c r="B3" s="780"/>
      <c r="C3" s="51">
        <v>1991</v>
      </c>
      <c r="D3" s="51">
        <v>1992</v>
      </c>
      <c r="E3" s="51">
        <v>1993</v>
      </c>
      <c r="F3" s="51">
        <v>1994</v>
      </c>
      <c r="G3" s="51">
        <v>1995</v>
      </c>
      <c r="H3" s="51">
        <v>1996</v>
      </c>
      <c r="I3" s="51">
        <v>1997</v>
      </c>
      <c r="J3" s="51">
        <v>1998</v>
      </c>
      <c r="K3" s="51">
        <v>1999</v>
      </c>
      <c r="L3" s="52">
        <v>2000</v>
      </c>
      <c r="M3" s="52">
        <v>2001</v>
      </c>
      <c r="N3" s="51">
        <v>2002</v>
      </c>
      <c r="O3" s="51">
        <v>2003</v>
      </c>
      <c r="P3" s="51">
        <v>2004</v>
      </c>
      <c r="Q3" s="51">
        <v>2005</v>
      </c>
      <c r="R3" s="51">
        <v>2006</v>
      </c>
      <c r="S3" s="51">
        <v>2007</v>
      </c>
      <c r="T3" s="51">
        <v>2008</v>
      </c>
      <c r="U3" s="51">
        <v>2009</v>
      </c>
      <c r="V3" s="51">
        <v>2010</v>
      </c>
      <c r="W3" s="51">
        <v>2011</v>
      </c>
      <c r="X3" s="51">
        <v>2012</v>
      </c>
      <c r="Y3" s="12" t="s">
        <v>718</v>
      </c>
      <c r="Z3" s="497" t="s">
        <v>719</v>
      </c>
      <c r="AA3" s="469"/>
    </row>
    <row r="4" spans="1:27" x14ac:dyDescent="0.25">
      <c r="A4" s="772" t="s">
        <v>12</v>
      </c>
      <c r="B4" s="255" t="s">
        <v>107</v>
      </c>
      <c r="C4" s="124">
        <v>17.670000000000002</v>
      </c>
      <c r="D4" s="124">
        <v>26.03</v>
      </c>
      <c r="E4" s="124">
        <v>13.73</v>
      </c>
      <c r="F4" s="124">
        <v>29.68</v>
      </c>
      <c r="G4" s="124">
        <v>9.4</v>
      </c>
      <c r="H4" s="124">
        <v>17.100000000000001</v>
      </c>
      <c r="I4" s="124">
        <v>8.23</v>
      </c>
      <c r="J4" s="124">
        <v>4.9000000000000004</v>
      </c>
      <c r="K4" s="124">
        <v>6.2</v>
      </c>
      <c r="L4" s="254">
        <v>23.9</v>
      </c>
      <c r="M4" s="254">
        <v>24.6</v>
      </c>
      <c r="N4" s="254">
        <v>15.4</v>
      </c>
      <c r="O4" s="254">
        <v>14.8</v>
      </c>
      <c r="P4" s="254">
        <v>6.6</v>
      </c>
      <c r="Q4" s="254">
        <v>15.4</v>
      </c>
      <c r="R4" s="254">
        <v>9.1</v>
      </c>
      <c r="S4" s="254">
        <v>9.3000000000000007</v>
      </c>
      <c r="T4" s="254">
        <v>17.3</v>
      </c>
      <c r="U4" s="254">
        <v>12.5</v>
      </c>
      <c r="V4" s="254">
        <v>10.6</v>
      </c>
      <c r="W4" s="320">
        <v>10.8</v>
      </c>
      <c r="X4" s="320">
        <v>14.9</v>
      </c>
      <c r="Y4" s="15">
        <f>AVERAGE(C4:X4)</f>
        <v>14.460909090909093</v>
      </c>
      <c r="Z4" s="470">
        <f>MEDIAN(C4:W4)</f>
        <v>13.73</v>
      </c>
    </row>
    <row r="5" spans="1:27" x14ac:dyDescent="0.25">
      <c r="A5" s="773"/>
      <c r="B5" s="255" t="s">
        <v>108</v>
      </c>
      <c r="C5" s="124">
        <v>19.82</v>
      </c>
      <c r="D5" s="124">
        <v>15.51</v>
      </c>
      <c r="E5" s="124">
        <v>5.85</v>
      </c>
      <c r="F5" s="124">
        <v>17.02</v>
      </c>
      <c r="G5" s="124">
        <v>6.2</v>
      </c>
      <c r="H5" s="124">
        <v>10.3</v>
      </c>
      <c r="I5" s="124">
        <v>2.4300000000000002</v>
      </c>
      <c r="J5" s="124">
        <v>5.4</v>
      </c>
      <c r="K5" s="124">
        <v>5.5</v>
      </c>
      <c r="L5" s="254">
        <v>8.9</v>
      </c>
      <c r="M5" s="254">
        <v>6.3</v>
      </c>
      <c r="N5" s="254"/>
      <c r="O5" s="254"/>
      <c r="P5" s="254"/>
      <c r="Q5" s="254"/>
      <c r="R5" s="254"/>
      <c r="S5" s="254"/>
      <c r="T5" s="254"/>
      <c r="U5" s="254"/>
      <c r="V5" s="254"/>
      <c r="W5" s="320"/>
      <c r="X5" s="320"/>
      <c r="Y5" s="15">
        <f t="shared" ref="Y5:Y21" si="0">AVERAGE(C5:W5)</f>
        <v>9.3845454545454565</v>
      </c>
      <c r="Z5" s="470">
        <f t="shared" ref="Z5:Z22" si="1">MEDIAN(C5:W5)</f>
        <v>6.3</v>
      </c>
    </row>
    <row r="6" spans="1:27" ht="14.25" customHeight="1" x14ac:dyDescent="0.25">
      <c r="A6" s="774"/>
      <c r="B6" s="53" t="s">
        <v>106</v>
      </c>
      <c r="C6" s="256">
        <f t="shared" ref="C6:J6" si="2">AVERAGE(C4:C5)</f>
        <v>18.745000000000001</v>
      </c>
      <c r="D6" s="256">
        <f t="shared" si="2"/>
        <v>20.77</v>
      </c>
      <c r="E6" s="256">
        <f t="shared" si="2"/>
        <v>9.7899999999999991</v>
      </c>
      <c r="F6" s="256">
        <f t="shared" si="2"/>
        <v>23.35</v>
      </c>
      <c r="G6" s="256">
        <f t="shared" si="2"/>
        <v>7.8000000000000007</v>
      </c>
      <c r="H6" s="256">
        <f t="shared" si="2"/>
        <v>13.700000000000001</v>
      </c>
      <c r="I6" s="256">
        <f t="shared" si="2"/>
        <v>5.33</v>
      </c>
      <c r="J6" s="256">
        <f t="shared" si="2"/>
        <v>5.15</v>
      </c>
      <c r="K6" s="256">
        <f>AVERAGE(K4:K5)</f>
        <v>5.85</v>
      </c>
      <c r="L6" s="256">
        <f>AVERAGE(L4:L5)</f>
        <v>16.399999999999999</v>
      </c>
      <c r="M6" s="256">
        <f>AVERAGE(M4:M5)</f>
        <v>15.450000000000001</v>
      </c>
      <c r="N6" s="256">
        <f>AVERAGE(N4:N5)</f>
        <v>15.4</v>
      </c>
      <c r="O6" s="256">
        <f t="shared" ref="O6:T6" si="3">AVERAGE(O4:O5)</f>
        <v>14.8</v>
      </c>
      <c r="P6" s="256">
        <f t="shared" si="3"/>
        <v>6.6</v>
      </c>
      <c r="Q6" s="256">
        <f t="shared" si="3"/>
        <v>15.4</v>
      </c>
      <c r="R6" s="256">
        <f t="shared" si="3"/>
        <v>9.1</v>
      </c>
      <c r="S6" s="256">
        <f t="shared" si="3"/>
        <v>9.3000000000000007</v>
      </c>
      <c r="T6" s="256">
        <f t="shared" si="3"/>
        <v>17.3</v>
      </c>
      <c r="U6" s="256">
        <f>AVERAGE(U4:U5)</f>
        <v>12.5</v>
      </c>
      <c r="V6" s="256">
        <f>AVERAGE(V4:V5)</f>
        <v>10.6</v>
      </c>
      <c r="W6" s="256">
        <f>AVERAGE(W4:W5)</f>
        <v>10.8</v>
      </c>
      <c r="X6" s="256">
        <f>AVERAGE(X4:X5)</f>
        <v>14.9</v>
      </c>
      <c r="Y6" s="15">
        <f t="shared" si="0"/>
        <v>12.577857142857143</v>
      </c>
      <c r="Z6" s="470">
        <f t="shared" si="1"/>
        <v>12.5</v>
      </c>
    </row>
    <row r="7" spans="1:27" ht="14.25" customHeight="1" x14ac:dyDescent="0.25">
      <c r="A7" s="785" t="s">
        <v>1104</v>
      </c>
      <c r="B7" s="678" t="s">
        <v>107</v>
      </c>
      <c r="C7" s="246"/>
      <c r="D7" s="246"/>
      <c r="E7" s="246"/>
      <c r="F7" s="246"/>
      <c r="G7" s="246"/>
      <c r="H7" s="246"/>
      <c r="I7" s="246"/>
      <c r="J7" s="246"/>
      <c r="K7" s="246"/>
      <c r="L7" s="246"/>
      <c r="M7" s="246"/>
      <c r="N7" s="246"/>
      <c r="O7" s="246"/>
      <c r="P7" s="246"/>
      <c r="Q7" s="246"/>
      <c r="R7" s="246"/>
      <c r="S7" s="246"/>
      <c r="T7" s="246"/>
      <c r="U7" s="246"/>
      <c r="V7" s="246"/>
      <c r="W7" s="246"/>
      <c r="X7" s="246">
        <v>491</v>
      </c>
      <c r="Y7" s="15"/>
      <c r="Z7" s="470"/>
    </row>
    <row r="8" spans="1:27" ht="14.25" customHeight="1" x14ac:dyDescent="0.25">
      <c r="A8" s="786"/>
      <c r="B8" s="678" t="s">
        <v>451</v>
      </c>
      <c r="C8" s="246"/>
      <c r="D8" s="246"/>
      <c r="E8" s="246"/>
      <c r="F8" s="246"/>
      <c r="G8" s="246"/>
      <c r="H8" s="246"/>
      <c r="I8" s="246"/>
      <c r="J8" s="246"/>
      <c r="K8" s="246"/>
      <c r="L8" s="246"/>
      <c r="M8" s="246"/>
      <c r="N8" s="246"/>
      <c r="O8" s="246"/>
      <c r="P8" s="246"/>
      <c r="Q8" s="246"/>
      <c r="R8" s="246"/>
      <c r="S8" s="246"/>
      <c r="T8" s="246"/>
      <c r="U8" s="246"/>
      <c r="V8" s="246"/>
      <c r="W8" s="246"/>
      <c r="X8" s="246">
        <v>516</v>
      </c>
      <c r="Y8" s="15"/>
      <c r="Z8" s="470"/>
    </row>
    <row r="9" spans="1:27" ht="14.25" customHeight="1" x14ac:dyDescent="0.25">
      <c r="A9" s="787"/>
      <c r="B9" s="678" t="s">
        <v>106</v>
      </c>
      <c r="C9" s="246"/>
      <c r="D9" s="246"/>
      <c r="E9" s="246"/>
      <c r="F9" s="246"/>
      <c r="G9" s="246"/>
      <c r="H9" s="246"/>
      <c r="I9" s="246"/>
      <c r="J9" s="246"/>
      <c r="K9" s="246"/>
      <c r="L9" s="246"/>
      <c r="M9" s="246"/>
      <c r="N9" s="246"/>
      <c r="O9" s="246"/>
      <c r="P9" s="246"/>
      <c r="Q9" s="246"/>
      <c r="R9" s="246"/>
      <c r="S9" s="246"/>
      <c r="T9" s="246"/>
      <c r="U9" s="246"/>
      <c r="V9" s="246"/>
      <c r="W9" s="246"/>
      <c r="X9" s="246">
        <f>AVERAGE(X7:X8)</f>
        <v>503.5</v>
      </c>
      <c r="Y9" s="15"/>
      <c r="Z9" s="470"/>
    </row>
    <row r="10" spans="1:27" ht="13" x14ac:dyDescent="0.3">
      <c r="A10" s="782" t="s">
        <v>13</v>
      </c>
      <c r="B10" s="255" t="s">
        <v>107</v>
      </c>
      <c r="C10" s="254">
        <v>442</v>
      </c>
      <c r="D10" s="254">
        <v>289</v>
      </c>
      <c r="E10" s="254">
        <v>504</v>
      </c>
      <c r="F10" s="254">
        <v>382</v>
      </c>
      <c r="G10" s="254">
        <v>474</v>
      </c>
      <c r="H10" s="254">
        <v>578</v>
      </c>
      <c r="I10" s="254">
        <v>393</v>
      </c>
      <c r="J10" s="254">
        <v>388</v>
      </c>
      <c r="K10" s="254">
        <v>224</v>
      </c>
      <c r="L10" s="254">
        <v>431</v>
      </c>
      <c r="M10" s="254">
        <v>401</v>
      </c>
      <c r="N10" s="254">
        <v>289</v>
      </c>
      <c r="O10" s="254">
        <v>268</v>
      </c>
      <c r="P10" s="254">
        <v>268</v>
      </c>
      <c r="Q10" s="121">
        <v>193.23769230769227</v>
      </c>
      <c r="R10" s="121">
        <v>158.27857142857144</v>
      </c>
      <c r="S10" s="75">
        <v>221.96199999999999</v>
      </c>
      <c r="T10" s="75">
        <v>233</v>
      </c>
      <c r="U10" s="75">
        <v>291</v>
      </c>
      <c r="V10" s="75">
        <v>287</v>
      </c>
      <c r="W10" s="75">
        <v>158</v>
      </c>
      <c r="X10" s="75">
        <v>165</v>
      </c>
      <c r="Y10" s="15">
        <f>AVERAGE(C10:X10)</f>
        <v>319.93083016983019</v>
      </c>
      <c r="Z10" s="470">
        <f t="shared" si="1"/>
        <v>289</v>
      </c>
    </row>
    <row r="11" spans="1:27" ht="13" x14ac:dyDescent="0.3">
      <c r="A11" s="783"/>
      <c r="B11" s="255" t="s">
        <v>108</v>
      </c>
      <c r="C11" s="254">
        <v>381</v>
      </c>
      <c r="D11" s="254">
        <v>282</v>
      </c>
      <c r="E11" s="254">
        <v>451</v>
      </c>
      <c r="F11" s="254">
        <v>356</v>
      </c>
      <c r="G11" s="254">
        <v>502</v>
      </c>
      <c r="H11" s="254">
        <v>589</v>
      </c>
      <c r="I11" s="254">
        <v>365</v>
      </c>
      <c r="J11" s="254">
        <v>372</v>
      </c>
      <c r="K11" s="254">
        <v>220</v>
      </c>
      <c r="L11" s="254">
        <v>443</v>
      </c>
      <c r="M11" s="254">
        <v>395</v>
      </c>
      <c r="N11" s="254">
        <v>288</v>
      </c>
      <c r="O11" s="254">
        <v>271</v>
      </c>
      <c r="P11" s="254">
        <v>249</v>
      </c>
      <c r="Q11" s="121">
        <v>206.98615384615383</v>
      </c>
      <c r="R11" s="121">
        <v>149.7446153846154</v>
      </c>
      <c r="S11" s="75">
        <v>233.56642857142859</v>
      </c>
      <c r="T11" s="75"/>
      <c r="U11" s="75"/>
      <c r="V11" s="75"/>
      <c r="W11" s="75"/>
      <c r="X11" s="75"/>
      <c r="Y11" s="15">
        <f t="shared" si="0"/>
        <v>338.48807045895279</v>
      </c>
      <c r="Z11" s="470">
        <f t="shared" si="1"/>
        <v>356</v>
      </c>
    </row>
    <row r="12" spans="1:27" ht="13" x14ac:dyDescent="0.3">
      <c r="A12" s="783"/>
      <c r="B12" s="255" t="s">
        <v>451</v>
      </c>
      <c r="C12" s="254">
        <v>341</v>
      </c>
      <c r="D12" s="254">
        <v>228</v>
      </c>
      <c r="E12" s="254">
        <v>333</v>
      </c>
      <c r="F12" s="254">
        <v>308</v>
      </c>
      <c r="G12" s="254">
        <v>503</v>
      </c>
      <c r="H12" s="254">
        <v>561</v>
      </c>
      <c r="I12" s="254">
        <v>341</v>
      </c>
      <c r="J12" s="254">
        <v>342</v>
      </c>
      <c r="K12" s="254">
        <v>231</v>
      </c>
      <c r="L12" s="254">
        <v>483</v>
      </c>
      <c r="M12" s="254">
        <v>390</v>
      </c>
      <c r="N12" s="254">
        <v>268</v>
      </c>
      <c r="O12" s="254">
        <v>259</v>
      </c>
      <c r="P12" s="254">
        <v>224</v>
      </c>
      <c r="Q12" s="121">
        <v>220.75615384615381</v>
      </c>
      <c r="R12" s="121">
        <v>151.27000000000001</v>
      </c>
      <c r="S12" s="75">
        <v>232.79071428571427</v>
      </c>
      <c r="T12" s="75">
        <v>230</v>
      </c>
      <c r="U12" s="75">
        <v>244</v>
      </c>
      <c r="V12" s="75">
        <v>222</v>
      </c>
      <c r="W12" s="75">
        <v>186</v>
      </c>
      <c r="X12" s="75">
        <v>102</v>
      </c>
      <c r="Y12" s="15">
        <f>AVERAGE(C12:X12)</f>
        <v>290.94622127872128</v>
      </c>
      <c r="Z12" s="470">
        <f t="shared" si="1"/>
        <v>259</v>
      </c>
    </row>
    <row r="13" spans="1:27" x14ac:dyDescent="0.25">
      <c r="A13" s="784"/>
      <c r="B13" s="53" t="s">
        <v>106</v>
      </c>
      <c r="C13" s="257">
        <f t="shared" ref="C13:J13" si="4">AVERAGE(C10:C12)</f>
        <v>388</v>
      </c>
      <c r="D13" s="257">
        <f t="shared" si="4"/>
        <v>266.33333333333331</v>
      </c>
      <c r="E13" s="257">
        <f t="shared" si="4"/>
        <v>429.33333333333331</v>
      </c>
      <c r="F13" s="257">
        <f t="shared" si="4"/>
        <v>348.66666666666669</v>
      </c>
      <c r="G13" s="257">
        <f t="shared" si="4"/>
        <v>493</v>
      </c>
      <c r="H13" s="257">
        <f t="shared" si="4"/>
        <v>576</v>
      </c>
      <c r="I13" s="257">
        <f t="shared" si="4"/>
        <v>366.33333333333331</v>
      </c>
      <c r="J13" s="257">
        <f t="shared" si="4"/>
        <v>367.33333333333331</v>
      </c>
      <c r="K13" s="257">
        <f>AVERAGE(K10:K12)</f>
        <v>225</v>
      </c>
      <c r="L13" s="258">
        <v>441</v>
      </c>
      <c r="M13" s="258">
        <v>387</v>
      </c>
      <c r="N13" s="257">
        <f t="shared" ref="N13:X13" si="5">AVERAGE(N10:N12)</f>
        <v>281.66666666666669</v>
      </c>
      <c r="O13" s="257">
        <f t="shared" si="5"/>
        <v>266</v>
      </c>
      <c r="P13" s="257">
        <f t="shared" si="5"/>
        <v>247</v>
      </c>
      <c r="Q13" s="257">
        <f t="shared" si="5"/>
        <v>206.99333333333331</v>
      </c>
      <c r="R13" s="257">
        <f t="shared" si="5"/>
        <v>153.09772893772893</v>
      </c>
      <c r="S13" s="257">
        <f t="shared" si="5"/>
        <v>229.4397142857143</v>
      </c>
      <c r="T13" s="257">
        <f t="shared" si="5"/>
        <v>231.5</v>
      </c>
      <c r="U13" s="257">
        <f t="shared" si="5"/>
        <v>267.5</v>
      </c>
      <c r="V13" s="257">
        <f t="shared" si="5"/>
        <v>254.5</v>
      </c>
      <c r="W13" s="257">
        <f t="shared" si="5"/>
        <v>172</v>
      </c>
      <c r="X13" s="257">
        <f t="shared" si="5"/>
        <v>133.5</v>
      </c>
      <c r="Y13" s="15">
        <f t="shared" si="0"/>
        <v>314.17606872492587</v>
      </c>
      <c r="Z13" s="470">
        <f t="shared" si="1"/>
        <v>267.5</v>
      </c>
    </row>
    <row r="14" spans="1:27" ht="13" x14ac:dyDescent="0.3">
      <c r="A14" s="772" t="s">
        <v>14</v>
      </c>
      <c r="B14" s="255" t="s">
        <v>107</v>
      </c>
      <c r="C14" s="254">
        <v>144</v>
      </c>
      <c r="D14" s="254">
        <v>146</v>
      </c>
      <c r="E14" s="254">
        <v>175</v>
      </c>
      <c r="F14" s="254">
        <v>83</v>
      </c>
      <c r="G14" s="254">
        <v>34</v>
      </c>
      <c r="H14" s="254">
        <v>29</v>
      </c>
      <c r="I14" s="254">
        <v>38</v>
      </c>
      <c r="J14" s="254">
        <v>33</v>
      </c>
      <c r="K14" s="254">
        <v>34</v>
      </c>
      <c r="L14" s="254">
        <v>59</v>
      </c>
      <c r="M14" s="254">
        <v>42</v>
      </c>
      <c r="N14" s="254">
        <v>46</v>
      </c>
      <c r="O14" s="254">
        <v>79</v>
      </c>
      <c r="P14" s="254">
        <v>24</v>
      </c>
      <c r="Q14" s="121">
        <v>33.021419788316948</v>
      </c>
      <c r="R14" s="259">
        <f>AVERAGE(A14:Q14)</f>
        <v>66.601427985887796</v>
      </c>
      <c r="S14" s="73">
        <v>29.742840573556929</v>
      </c>
      <c r="T14" s="73">
        <v>39.799999999999997</v>
      </c>
      <c r="U14" s="73">
        <v>34.200000000000003</v>
      </c>
      <c r="V14" s="73">
        <v>28.3</v>
      </c>
      <c r="W14" s="73">
        <v>33.700000000000003</v>
      </c>
      <c r="X14" s="73">
        <v>53.4</v>
      </c>
      <c r="Y14" s="15">
        <f>AVERAGE(C14:X14)</f>
        <v>58.39844037944372</v>
      </c>
      <c r="Z14" s="470">
        <f t="shared" si="1"/>
        <v>38</v>
      </c>
    </row>
    <row r="15" spans="1:27" ht="13" x14ac:dyDescent="0.3">
      <c r="A15" s="773"/>
      <c r="B15" s="255" t="s">
        <v>108</v>
      </c>
      <c r="C15" s="254">
        <v>138</v>
      </c>
      <c r="D15" s="254">
        <v>140</v>
      </c>
      <c r="E15" s="254">
        <v>164</v>
      </c>
      <c r="F15" s="254">
        <v>79</v>
      </c>
      <c r="G15" s="254">
        <v>37</v>
      </c>
      <c r="H15" s="254">
        <v>33</v>
      </c>
      <c r="I15" s="254">
        <v>45</v>
      </c>
      <c r="J15" s="254">
        <v>40</v>
      </c>
      <c r="K15" s="254">
        <v>37</v>
      </c>
      <c r="L15" s="254">
        <v>57</v>
      </c>
      <c r="M15" s="254">
        <v>42</v>
      </c>
      <c r="N15" s="254">
        <v>49</v>
      </c>
      <c r="O15" s="254">
        <v>63</v>
      </c>
      <c r="P15" s="254">
        <v>27</v>
      </c>
      <c r="Q15" s="121">
        <v>34.148239344480501</v>
      </c>
      <c r="R15" s="259">
        <f>AVERAGE(A15:Q15)</f>
        <v>65.676549289632035</v>
      </c>
      <c r="S15" s="73">
        <v>31.47923603241675</v>
      </c>
      <c r="T15" s="73"/>
      <c r="U15" s="73"/>
      <c r="V15" s="73"/>
      <c r="W15" s="73"/>
      <c r="X15" s="73"/>
      <c r="Y15" s="15">
        <f t="shared" si="0"/>
        <v>63.664942627442905</v>
      </c>
      <c r="Z15" s="470">
        <f t="shared" si="1"/>
        <v>45</v>
      </c>
    </row>
    <row r="16" spans="1:27" ht="13" x14ac:dyDescent="0.3">
      <c r="A16" s="773"/>
      <c r="B16" s="255" t="s">
        <v>451</v>
      </c>
      <c r="C16" s="254">
        <v>270</v>
      </c>
      <c r="D16" s="254">
        <v>201</v>
      </c>
      <c r="E16" s="254">
        <v>240</v>
      </c>
      <c r="F16" s="254">
        <v>99</v>
      </c>
      <c r="G16" s="254">
        <v>52</v>
      </c>
      <c r="H16" s="254">
        <v>66</v>
      </c>
      <c r="I16" s="254">
        <v>86</v>
      </c>
      <c r="J16" s="254">
        <v>69</v>
      </c>
      <c r="K16" s="254">
        <v>54</v>
      </c>
      <c r="L16" s="254">
        <v>56</v>
      </c>
      <c r="M16" s="254">
        <v>64</v>
      </c>
      <c r="N16" s="254">
        <v>56</v>
      </c>
      <c r="O16" s="254">
        <v>56</v>
      </c>
      <c r="P16" s="254">
        <v>44</v>
      </c>
      <c r="Q16" s="121">
        <v>47.091899981300472</v>
      </c>
      <c r="R16" s="259">
        <f>AVERAGE(A16:Q16)</f>
        <v>97.33945999875337</v>
      </c>
      <c r="S16" s="73">
        <v>30.821478699787626</v>
      </c>
      <c r="T16" s="73">
        <v>62.2</v>
      </c>
      <c r="U16" s="73">
        <v>35.299999999999997</v>
      </c>
      <c r="V16" s="73">
        <v>38.9</v>
      </c>
      <c r="W16" s="73">
        <v>47.9</v>
      </c>
      <c r="X16" s="73">
        <v>69.8</v>
      </c>
      <c r="Y16" s="15">
        <f>AVERAGE(C16:X16)</f>
        <v>83.743310849083713</v>
      </c>
      <c r="Z16" s="470">
        <f t="shared" si="1"/>
        <v>56</v>
      </c>
    </row>
    <row r="17" spans="1:37" x14ac:dyDescent="0.25">
      <c r="A17" s="774"/>
      <c r="B17" s="53" t="s">
        <v>106</v>
      </c>
      <c r="C17" s="257">
        <f t="shared" ref="C17:J17" si="6">AVERAGE(C14:C16)</f>
        <v>184</v>
      </c>
      <c r="D17" s="257">
        <f t="shared" si="6"/>
        <v>162.33333333333334</v>
      </c>
      <c r="E17" s="257">
        <f t="shared" si="6"/>
        <v>193</v>
      </c>
      <c r="F17" s="257">
        <f t="shared" si="6"/>
        <v>87</v>
      </c>
      <c r="G17" s="257">
        <f t="shared" si="6"/>
        <v>41</v>
      </c>
      <c r="H17" s="257">
        <f t="shared" si="6"/>
        <v>42.666666666666664</v>
      </c>
      <c r="I17" s="257">
        <f t="shared" si="6"/>
        <v>56.333333333333336</v>
      </c>
      <c r="J17" s="257">
        <f t="shared" si="6"/>
        <v>47.333333333333336</v>
      </c>
      <c r="K17" s="257">
        <f>AVERAGE(K14:K16)</f>
        <v>41.666666666666664</v>
      </c>
      <c r="L17" s="258">
        <v>60</v>
      </c>
      <c r="M17" s="258">
        <v>50</v>
      </c>
      <c r="N17" s="257">
        <f t="shared" ref="N17:X17" si="7">AVERAGE(N14:N16)</f>
        <v>50.333333333333336</v>
      </c>
      <c r="O17" s="257">
        <f t="shared" si="7"/>
        <v>66</v>
      </c>
      <c r="P17" s="257">
        <f t="shared" si="7"/>
        <v>31.666666666666668</v>
      </c>
      <c r="Q17" s="257">
        <f t="shared" si="7"/>
        <v>38.087186371365974</v>
      </c>
      <c r="R17" s="257">
        <f t="shared" si="7"/>
        <v>76.539145758091067</v>
      </c>
      <c r="S17" s="257">
        <f t="shared" si="7"/>
        <v>30.681185101920438</v>
      </c>
      <c r="T17" s="257">
        <f t="shared" si="7"/>
        <v>51</v>
      </c>
      <c r="U17" s="257">
        <f t="shared" si="7"/>
        <v>34.75</v>
      </c>
      <c r="V17" s="257">
        <f t="shared" si="7"/>
        <v>33.6</v>
      </c>
      <c r="W17" s="257">
        <f t="shared" si="7"/>
        <v>40.799999999999997</v>
      </c>
      <c r="X17" s="257">
        <f t="shared" si="7"/>
        <v>61.599999999999994</v>
      </c>
      <c r="Y17" s="15">
        <f t="shared" si="0"/>
        <v>67.561469074510043</v>
      </c>
      <c r="Z17" s="470">
        <f t="shared" si="1"/>
        <v>50</v>
      </c>
    </row>
    <row r="18" spans="1:37" ht="13" x14ac:dyDescent="0.3">
      <c r="A18" s="772" t="s">
        <v>15</v>
      </c>
      <c r="B18" s="255" t="s">
        <v>107</v>
      </c>
      <c r="C18" s="254">
        <v>6</v>
      </c>
      <c r="D18" s="254">
        <v>7</v>
      </c>
      <c r="E18" s="254">
        <v>4</v>
      </c>
      <c r="F18" s="254">
        <v>9</v>
      </c>
      <c r="G18" s="254">
        <v>6</v>
      </c>
      <c r="H18" s="254">
        <v>4</v>
      </c>
      <c r="I18" s="254">
        <v>12</v>
      </c>
      <c r="J18" s="254">
        <v>6</v>
      </c>
      <c r="K18" s="254">
        <v>7</v>
      </c>
      <c r="L18" s="254">
        <v>6</v>
      </c>
      <c r="M18" s="254">
        <v>7</v>
      </c>
      <c r="N18" s="254">
        <v>5</v>
      </c>
      <c r="O18" s="254">
        <v>7</v>
      </c>
      <c r="P18" s="254">
        <v>3</v>
      </c>
      <c r="Q18" s="54">
        <v>5.4026666666666667</v>
      </c>
      <c r="R18" s="260">
        <f>AVERAGE(A18:Q18)</f>
        <v>6.2935111111111111</v>
      </c>
      <c r="S18" s="73">
        <v>5.7373968253968224</v>
      </c>
      <c r="T18" s="73">
        <v>11.2</v>
      </c>
      <c r="U18" s="73">
        <v>6.9</v>
      </c>
      <c r="V18" s="73">
        <v>7.3</v>
      </c>
      <c r="W18" s="73">
        <v>6.2</v>
      </c>
      <c r="X18" s="73">
        <v>6.4</v>
      </c>
      <c r="Y18" s="15">
        <f>AVERAGE(C18:X18)</f>
        <v>6.5651624819624823</v>
      </c>
      <c r="Z18" s="470">
        <f t="shared" si="1"/>
        <v>6.2</v>
      </c>
    </row>
    <row r="19" spans="1:37" ht="13" x14ac:dyDescent="0.3">
      <c r="A19" s="773"/>
      <c r="B19" s="255" t="s">
        <v>108</v>
      </c>
      <c r="C19" s="254">
        <v>8</v>
      </c>
      <c r="D19" s="254">
        <v>6</v>
      </c>
      <c r="E19" s="254">
        <v>6</v>
      </c>
      <c r="F19" s="254">
        <v>8</v>
      </c>
      <c r="G19" s="254">
        <v>7</v>
      </c>
      <c r="H19" s="254">
        <v>4</v>
      </c>
      <c r="I19" s="254">
        <v>15</v>
      </c>
      <c r="J19" s="254">
        <v>8</v>
      </c>
      <c r="K19" s="254">
        <v>9</v>
      </c>
      <c r="L19" s="254">
        <v>5</v>
      </c>
      <c r="M19" s="254">
        <v>7</v>
      </c>
      <c r="N19" s="254">
        <v>5</v>
      </c>
      <c r="O19" s="254">
        <v>6</v>
      </c>
      <c r="P19" s="254">
        <v>5</v>
      </c>
      <c r="Q19" s="54">
        <v>6.2253333333333343</v>
      </c>
      <c r="R19" s="260">
        <f>AVERAGE(A19:Q19)</f>
        <v>7.0150222222222229</v>
      </c>
      <c r="S19" s="73">
        <v>5.7020506912442395</v>
      </c>
      <c r="T19" s="73"/>
      <c r="U19" s="73"/>
      <c r="V19" s="73"/>
      <c r="W19" s="73"/>
      <c r="X19" s="73"/>
      <c r="Y19" s="15">
        <f t="shared" si="0"/>
        <v>6.9377886027529296</v>
      </c>
      <c r="Z19" s="470">
        <f t="shared" si="1"/>
        <v>6.2253333333333343</v>
      </c>
    </row>
    <row r="20" spans="1:37" ht="13" x14ac:dyDescent="0.3">
      <c r="A20" s="773"/>
      <c r="B20" s="255" t="s">
        <v>451</v>
      </c>
      <c r="C20" s="254">
        <v>19</v>
      </c>
      <c r="D20" s="254">
        <v>8</v>
      </c>
      <c r="E20" s="254">
        <v>5</v>
      </c>
      <c r="F20" s="254">
        <v>9</v>
      </c>
      <c r="G20" s="254">
        <v>13</v>
      </c>
      <c r="H20" s="254">
        <v>7</v>
      </c>
      <c r="I20" s="254">
        <v>22</v>
      </c>
      <c r="J20" s="254">
        <v>12</v>
      </c>
      <c r="K20" s="254">
        <v>12</v>
      </c>
      <c r="L20" s="254">
        <v>8</v>
      </c>
      <c r="M20" s="254">
        <v>10</v>
      </c>
      <c r="N20" s="254">
        <v>5</v>
      </c>
      <c r="O20" s="254">
        <v>8</v>
      </c>
      <c r="P20" s="254">
        <v>9</v>
      </c>
      <c r="Q20" s="54">
        <v>7.4459215686274529</v>
      </c>
      <c r="R20" s="260">
        <f>AVERAGE(A20:Q20)</f>
        <v>10.296394771241831</v>
      </c>
      <c r="S20" s="73">
        <v>6.033309794757165</v>
      </c>
      <c r="T20" s="73">
        <v>20.9</v>
      </c>
      <c r="U20" s="73">
        <v>10</v>
      </c>
      <c r="V20" s="73">
        <v>8.9</v>
      </c>
      <c r="W20" s="73">
        <v>10.5</v>
      </c>
      <c r="X20" s="73">
        <v>13.4</v>
      </c>
      <c r="Y20" s="15">
        <f>AVERAGE(C20:X20)</f>
        <v>10.657983006119386</v>
      </c>
      <c r="Z20" s="470">
        <f t="shared" si="1"/>
        <v>9</v>
      </c>
    </row>
    <row r="21" spans="1:37" x14ac:dyDescent="0.25">
      <c r="A21" s="774"/>
      <c r="B21" s="53" t="s">
        <v>106</v>
      </c>
      <c r="C21" s="257">
        <f t="shared" ref="C21:J21" si="8">AVERAGE(C18:C20)</f>
        <v>11</v>
      </c>
      <c r="D21" s="257">
        <f t="shared" si="8"/>
        <v>7</v>
      </c>
      <c r="E21" s="257">
        <f t="shared" si="8"/>
        <v>5</v>
      </c>
      <c r="F21" s="257">
        <f t="shared" si="8"/>
        <v>8.6666666666666661</v>
      </c>
      <c r="G21" s="257">
        <f t="shared" si="8"/>
        <v>8.6666666666666661</v>
      </c>
      <c r="H21" s="257">
        <f t="shared" si="8"/>
        <v>5</v>
      </c>
      <c r="I21" s="257">
        <f t="shared" si="8"/>
        <v>16.333333333333332</v>
      </c>
      <c r="J21" s="257">
        <f t="shared" si="8"/>
        <v>8.6666666666666661</v>
      </c>
      <c r="K21" s="257">
        <f>AVERAGE(K18:K20)</f>
        <v>9.3333333333333339</v>
      </c>
      <c r="L21" s="258">
        <v>6.4</v>
      </c>
      <c r="M21" s="258">
        <v>8</v>
      </c>
      <c r="N21" s="258">
        <f t="shared" ref="N21:X21" si="9">AVERAGE(N18:N20)</f>
        <v>5</v>
      </c>
      <c r="O21" s="258">
        <f t="shared" si="9"/>
        <v>7</v>
      </c>
      <c r="P21" s="257">
        <f t="shared" si="9"/>
        <v>5.666666666666667</v>
      </c>
      <c r="Q21" s="257">
        <f t="shared" si="9"/>
        <v>6.3579738562091519</v>
      </c>
      <c r="R21" s="257">
        <f t="shared" si="9"/>
        <v>7.8683093681917216</v>
      </c>
      <c r="S21" s="257">
        <f t="shared" si="9"/>
        <v>5.824252437132742</v>
      </c>
      <c r="T21" s="257">
        <f t="shared" si="9"/>
        <v>16.049999999999997</v>
      </c>
      <c r="U21" s="257">
        <f t="shared" si="9"/>
        <v>8.4499999999999993</v>
      </c>
      <c r="V21" s="257">
        <f t="shared" si="9"/>
        <v>8.1</v>
      </c>
      <c r="W21" s="257">
        <f t="shared" si="9"/>
        <v>8.35</v>
      </c>
      <c r="X21" s="257">
        <f t="shared" si="9"/>
        <v>9.9</v>
      </c>
      <c r="Y21" s="15">
        <f t="shared" si="0"/>
        <v>8.2254223330889022</v>
      </c>
      <c r="Z21" s="470">
        <f t="shared" si="1"/>
        <v>8</v>
      </c>
    </row>
    <row r="22" spans="1:37" ht="14" x14ac:dyDescent="0.4">
      <c r="A22" s="16" t="s">
        <v>16</v>
      </c>
      <c r="B22" s="255" t="s">
        <v>107</v>
      </c>
      <c r="C22" s="254">
        <v>2.17</v>
      </c>
      <c r="D22" s="254">
        <v>2.1</v>
      </c>
      <c r="E22" s="254">
        <v>2.84</v>
      </c>
      <c r="F22" s="254">
        <v>1.79</v>
      </c>
      <c r="G22" s="254">
        <v>2.14</v>
      </c>
      <c r="H22" s="254">
        <v>2.5099999999999998</v>
      </c>
      <c r="I22" s="254">
        <v>1.7</v>
      </c>
      <c r="J22" s="254">
        <v>1.8</v>
      </c>
      <c r="K22" s="254">
        <v>1.8</v>
      </c>
      <c r="L22" s="254">
        <v>2.4</v>
      </c>
      <c r="M22" s="254">
        <v>2.2999999999999998</v>
      </c>
      <c r="N22" s="254">
        <v>3</v>
      </c>
      <c r="O22" s="254">
        <v>1.7</v>
      </c>
      <c r="P22" s="254">
        <v>2.6</v>
      </c>
      <c r="Q22" s="124">
        <v>2.0656249999999998</v>
      </c>
      <c r="R22" s="124">
        <v>2.4</v>
      </c>
      <c r="S22" s="124">
        <v>1.7</v>
      </c>
      <c r="T22" s="124">
        <v>2.4</v>
      </c>
      <c r="U22" s="124">
        <v>2.7</v>
      </c>
      <c r="V22" s="124">
        <v>1.7</v>
      </c>
      <c r="W22" s="124">
        <v>2.2000000000000002</v>
      </c>
      <c r="X22" s="124">
        <v>2.1800000000000002</v>
      </c>
      <c r="Y22" s="15">
        <f>AVERAGE(C22:X22)</f>
        <v>2.1907102272727275</v>
      </c>
      <c r="Z22" s="470">
        <f t="shared" si="1"/>
        <v>2.17</v>
      </c>
    </row>
    <row r="24" spans="1:37" ht="13" x14ac:dyDescent="0.3">
      <c r="AH24" s="777" t="s">
        <v>10</v>
      </c>
      <c r="AI24" s="779" t="s">
        <v>11</v>
      </c>
      <c r="AJ24" s="781" t="s">
        <v>720</v>
      </c>
      <c r="AK24" s="781"/>
    </row>
    <row r="25" spans="1:37" ht="26" x14ac:dyDescent="0.25">
      <c r="AH25" s="778"/>
      <c r="AI25" s="780"/>
      <c r="AJ25" s="51">
        <v>2012</v>
      </c>
      <c r="AK25" s="12" t="s">
        <v>718</v>
      </c>
    </row>
    <row r="26" spans="1:37" x14ac:dyDescent="0.25">
      <c r="AH26" s="772" t="s">
        <v>12</v>
      </c>
      <c r="AI26" s="255" t="s">
        <v>107</v>
      </c>
      <c r="AJ26" s="254">
        <v>14.9</v>
      </c>
      <c r="AK26" s="15">
        <f>Y4</f>
        <v>14.460909090909093</v>
      </c>
    </row>
    <row r="27" spans="1:37" ht="23" x14ac:dyDescent="0.25">
      <c r="AH27" s="774"/>
      <c r="AI27" s="53" t="s">
        <v>106</v>
      </c>
      <c r="AJ27" s="124"/>
      <c r="AK27" s="15">
        <f>Y6</f>
        <v>12.577857142857143</v>
      </c>
    </row>
    <row r="28" spans="1:37" x14ac:dyDescent="0.25">
      <c r="AH28" s="782" t="s">
        <v>13</v>
      </c>
      <c r="AI28" s="255" t="s">
        <v>107</v>
      </c>
      <c r="AJ28" s="121">
        <v>165</v>
      </c>
      <c r="AK28" s="15">
        <f>Y10</f>
        <v>319.93083016983019</v>
      </c>
    </row>
    <row r="29" spans="1:37" x14ac:dyDescent="0.25">
      <c r="AH29" s="783"/>
      <c r="AI29" s="255" t="s">
        <v>451</v>
      </c>
      <c r="AJ29" s="121">
        <v>102</v>
      </c>
      <c r="AK29" s="15">
        <f>Y12</f>
        <v>290.94622127872128</v>
      </c>
    </row>
    <row r="30" spans="1:37" ht="23" x14ac:dyDescent="0.25">
      <c r="AH30" s="784"/>
      <c r="AI30" s="53" t="s">
        <v>106</v>
      </c>
      <c r="AJ30" s="121">
        <f>X13</f>
        <v>133.5</v>
      </c>
      <c r="AK30" s="15">
        <f>Y13</f>
        <v>314.17606872492587</v>
      </c>
    </row>
    <row r="31" spans="1:37" x14ac:dyDescent="0.25">
      <c r="AH31" s="772" t="s">
        <v>14</v>
      </c>
      <c r="AI31" s="255" t="s">
        <v>107</v>
      </c>
      <c r="AJ31" s="274">
        <v>53.4</v>
      </c>
      <c r="AK31" s="15">
        <f>Y14</f>
        <v>58.39844037944372</v>
      </c>
    </row>
    <row r="32" spans="1:37" x14ac:dyDescent="0.25">
      <c r="AH32" s="773"/>
      <c r="AI32" s="255" t="s">
        <v>451</v>
      </c>
      <c r="AJ32" s="124">
        <v>69.8</v>
      </c>
      <c r="AK32" s="15">
        <f>Y16</f>
        <v>83.743310849083713</v>
      </c>
    </row>
    <row r="33" spans="34:37" ht="23" x14ac:dyDescent="0.25">
      <c r="AH33" s="774"/>
      <c r="AI33" s="53" t="s">
        <v>106</v>
      </c>
      <c r="AJ33" s="121">
        <f>X17</f>
        <v>61.599999999999994</v>
      </c>
      <c r="AK33" s="15">
        <f>Y17</f>
        <v>67.561469074510043</v>
      </c>
    </row>
    <row r="34" spans="34:37" x14ac:dyDescent="0.25">
      <c r="AH34" s="772" t="s">
        <v>15</v>
      </c>
      <c r="AI34" s="255" t="s">
        <v>107</v>
      </c>
      <c r="AJ34" s="124">
        <v>6.4</v>
      </c>
      <c r="AK34" s="15">
        <f>Y18</f>
        <v>6.5651624819624823</v>
      </c>
    </row>
    <row r="35" spans="34:37" x14ac:dyDescent="0.25">
      <c r="AH35" s="773"/>
      <c r="AI35" s="255" t="s">
        <v>451</v>
      </c>
      <c r="AJ35" s="124">
        <v>13.4</v>
      </c>
      <c r="AK35" s="15">
        <f>Y20</f>
        <v>10.657983006119386</v>
      </c>
    </row>
    <row r="36" spans="34:37" ht="23" x14ac:dyDescent="0.25">
      <c r="AH36" s="774"/>
      <c r="AI36" s="53" t="s">
        <v>106</v>
      </c>
      <c r="AJ36" s="121">
        <f>X21</f>
        <v>9.9</v>
      </c>
      <c r="AK36" s="15">
        <f>Y21</f>
        <v>8.2254223330889022</v>
      </c>
    </row>
    <row r="37" spans="34:37" ht="14" x14ac:dyDescent="0.4">
      <c r="AH37" s="16" t="s">
        <v>16</v>
      </c>
      <c r="AI37" s="255" t="s">
        <v>107</v>
      </c>
      <c r="AJ37" s="124">
        <v>2.1800000000000002</v>
      </c>
      <c r="AK37" s="15">
        <f>Y22</f>
        <v>2.1907102272727275</v>
      </c>
    </row>
  </sheetData>
  <mergeCells count="16">
    <mergeCell ref="AH31:AH33"/>
    <mergeCell ref="AH34:AH36"/>
    <mergeCell ref="AH24:AH25"/>
    <mergeCell ref="AI24:AI25"/>
    <mergeCell ref="AJ24:AK24"/>
    <mergeCell ref="AH26:AH27"/>
    <mergeCell ref="AH28:AH30"/>
    <mergeCell ref="A14:A17"/>
    <mergeCell ref="A18:A21"/>
    <mergeCell ref="A1:Y1"/>
    <mergeCell ref="A2:A3"/>
    <mergeCell ref="B2:B3"/>
    <mergeCell ref="C2:Y2"/>
    <mergeCell ref="A4:A6"/>
    <mergeCell ref="A10:A13"/>
    <mergeCell ref="A7:A9"/>
  </mergeCells>
  <phoneticPr fontId="8" type="noConversion"/>
  <pageMargins left="0.75" right="0.75" top="1" bottom="1" header="0.5" footer="0.5"/>
  <pageSetup orientation="landscape" horizontalDpi="4294967293"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F18"/>
  <sheetViews>
    <sheetView topLeftCell="N1" workbookViewId="0">
      <selection activeCell="S1" sqref="S1:AF18"/>
    </sheetView>
  </sheetViews>
  <sheetFormatPr defaultRowHeight="12.5" x14ac:dyDescent="0.25"/>
  <cols>
    <col min="1" max="1" width="23.08984375" bestFit="1" customWidth="1"/>
    <col min="2" max="2" width="3.90625" bestFit="1" customWidth="1"/>
    <col min="3" max="4" width="4.08984375" bestFit="1" customWidth="1"/>
    <col min="5" max="5" width="4" bestFit="1" customWidth="1"/>
    <col min="6" max="6" width="4.54296875" bestFit="1" customWidth="1"/>
    <col min="7" max="9" width="4" bestFit="1" customWidth="1"/>
    <col min="10" max="13" width="4.36328125" bestFit="1" customWidth="1"/>
    <col min="14" max="15" width="4" bestFit="1" customWidth="1"/>
    <col min="16" max="16" width="4.36328125" bestFit="1" customWidth="1"/>
    <col min="17" max="17" width="7.54296875" bestFit="1" customWidth="1"/>
    <col min="18" max="18" width="4.36328125" customWidth="1"/>
    <col min="19" max="19" width="23.08984375" bestFit="1" customWidth="1"/>
    <col min="20" max="21" width="4.54296875" bestFit="1" customWidth="1"/>
    <col min="22" max="22" width="4.6328125" bestFit="1" customWidth="1"/>
    <col min="23" max="23" width="4.90625" bestFit="1" customWidth="1"/>
    <col min="24" max="25" width="6" bestFit="1" customWidth="1"/>
    <col min="26" max="28" width="6.90625" bestFit="1" customWidth="1"/>
    <col min="29" max="29" width="5.6328125" bestFit="1" customWidth="1"/>
    <col min="30" max="30" width="4.54296875" bestFit="1" customWidth="1"/>
    <col min="31" max="31" width="4.453125" bestFit="1" customWidth="1"/>
    <col min="32" max="32" width="7.54296875" bestFit="1" customWidth="1"/>
  </cols>
  <sheetData>
    <row r="1" spans="1:32" x14ac:dyDescent="0.25">
      <c r="A1" s="907" t="s">
        <v>297</v>
      </c>
      <c r="B1" s="804" t="s">
        <v>447</v>
      </c>
      <c r="C1" s="804"/>
      <c r="D1" s="804"/>
      <c r="E1" s="804"/>
      <c r="F1" s="804"/>
      <c r="G1" s="804"/>
      <c r="H1" s="804"/>
      <c r="I1" s="804"/>
      <c r="J1" s="804"/>
      <c r="K1" s="804"/>
      <c r="L1" s="804"/>
      <c r="M1" s="804"/>
      <c r="N1" s="804"/>
      <c r="O1" s="804"/>
      <c r="P1" s="804"/>
      <c r="S1" s="907" t="s">
        <v>297</v>
      </c>
      <c r="T1" s="804" t="s">
        <v>448</v>
      </c>
      <c r="U1" s="804"/>
      <c r="V1" s="804"/>
      <c r="W1" s="804"/>
      <c r="X1" s="804"/>
      <c r="Y1" s="804"/>
      <c r="Z1" s="804"/>
      <c r="AA1" s="804"/>
      <c r="AB1" s="804"/>
      <c r="AC1" s="804"/>
      <c r="AD1" s="804"/>
      <c r="AE1" s="804"/>
    </row>
    <row r="2" spans="1:32" x14ac:dyDescent="0.25">
      <c r="A2" s="908"/>
      <c r="B2" s="164" t="s">
        <v>69</v>
      </c>
      <c r="C2" s="164" t="s">
        <v>70</v>
      </c>
      <c r="D2" s="164" t="s">
        <v>71</v>
      </c>
      <c r="E2" s="164" t="s">
        <v>72</v>
      </c>
      <c r="F2" s="164" t="s">
        <v>73</v>
      </c>
      <c r="G2" s="164" t="s">
        <v>74</v>
      </c>
      <c r="H2" s="164" t="s">
        <v>75</v>
      </c>
      <c r="I2" s="164" t="s">
        <v>75</v>
      </c>
      <c r="J2" s="164" t="s">
        <v>76</v>
      </c>
      <c r="K2" s="164" t="s">
        <v>76</v>
      </c>
      <c r="L2" s="164" t="s">
        <v>77</v>
      </c>
      <c r="M2" s="164" t="s">
        <v>77</v>
      </c>
      <c r="N2" s="164" t="s">
        <v>78</v>
      </c>
      <c r="O2" s="164" t="s">
        <v>79</v>
      </c>
      <c r="P2" s="164" t="s">
        <v>80</v>
      </c>
      <c r="Q2" s="161" t="s">
        <v>446</v>
      </c>
      <c r="S2" s="908"/>
      <c r="T2" s="164" t="s">
        <v>69</v>
      </c>
      <c r="U2" s="164" t="s">
        <v>70</v>
      </c>
      <c r="V2" s="164" t="s">
        <v>71</v>
      </c>
      <c r="W2" s="164" t="s">
        <v>72</v>
      </c>
      <c r="X2" s="164" t="s">
        <v>73</v>
      </c>
      <c r="Y2" s="164" t="s">
        <v>74</v>
      </c>
      <c r="Z2" s="164" t="s">
        <v>75</v>
      </c>
      <c r="AA2" s="164" t="s">
        <v>76</v>
      </c>
      <c r="AB2" s="164" t="s">
        <v>77</v>
      </c>
      <c r="AC2" s="164" t="s">
        <v>78</v>
      </c>
      <c r="AD2" s="164" t="s">
        <v>79</v>
      </c>
      <c r="AE2" s="164" t="s">
        <v>80</v>
      </c>
      <c r="AF2" s="164" t="s">
        <v>446</v>
      </c>
    </row>
    <row r="3" spans="1:32" ht="13" x14ac:dyDescent="0.3">
      <c r="A3" s="107" t="s">
        <v>235</v>
      </c>
      <c r="B3" s="56">
        <v>4</v>
      </c>
      <c r="C3" s="56">
        <v>0</v>
      </c>
      <c r="D3" s="56">
        <v>7</v>
      </c>
      <c r="E3" s="56">
        <v>4</v>
      </c>
      <c r="F3" s="56">
        <v>10</v>
      </c>
      <c r="G3" s="56">
        <v>7</v>
      </c>
      <c r="H3" s="56">
        <v>4</v>
      </c>
      <c r="I3" s="56">
        <v>11</v>
      </c>
      <c r="J3" s="56">
        <v>4</v>
      </c>
      <c r="K3" s="56">
        <v>11</v>
      </c>
      <c r="L3" s="56">
        <v>4</v>
      </c>
      <c r="M3" s="56">
        <v>2</v>
      </c>
      <c r="N3" s="56">
        <v>2</v>
      </c>
      <c r="O3" s="56">
        <v>0</v>
      </c>
      <c r="P3" s="56">
        <v>0</v>
      </c>
      <c r="Q3" s="247">
        <f>MEDIAN(B3:P3)</f>
        <v>4</v>
      </c>
      <c r="S3" s="107" t="s">
        <v>235</v>
      </c>
      <c r="T3" s="56">
        <f t="shared" ref="T3:Y3" si="0">B3*1.5</f>
        <v>6</v>
      </c>
      <c r="U3" s="56">
        <f t="shared" si="0"/>
        <v>0</v>
      </c>
      <c r="V3" s="248">
        <f t="shared" si="0"/>
        <v>10.5</v>
      </c>
      <c r="W3" s="713">
        <f t="shared" si="0"/>
        <v>6</v>
      </c>
      <c r="X3" s="713">
        <f t="shared" si="0"/>
        <v>15</v>
      </c>
      <c r="Y3" s="248">
        <f t="shared" si="0"/>
        <v>10.5</v>
      </c>
      <c r="Z3" s="248">
        <f>((H3+I3)/2)*1.5</f>
        <v>11.25</v>
      </c>
      <c r="AA3" s="248">
        <f>((J3+K3)/2)*1.5</f>
        <v>11.25</v>
      </c>
      <c r="AB3" s="248">
        <f>((L3+M3)/2)*1.5</f>
        <v>4.5</v>
      </c>
      <c r="AC3" s="248">
        <f>N3*1.5</f>
        <v>3</v>
      </c>
      <c r="AD3" s="248">
        <f>O3*1.5</f>
        <v>0</v>
      </c>
      <c r="AE3" s="56">
        <f>P3*1.5</f>
        <v>0</v>
      </c>
      <c r="AF3" s="247">
        <f>MEDIAN(T3:AE3)</f>
        <v>6</v>
      </c>
    </row>
    <row r="4" spans="1:32" ht="13" x14ac:dyDescent="0.3">
      <c r="A4" s="107" t="s">
        <v>226</v>
      </c>
      <c r="B4" s="56">
        <v>49</v>
      </c>
      <c r="C4" s="56">
        <v>44</v>
      </c>
      <c r="D4" s="56">
        <v>26</v>
      </c>
      <c r="E4" s="56">
        <v>23</v>
      </c>
      <c r="F4" s="56">
        <v>19</v>
      </c>
      <c r="G4" s="56">
        <v>17</v>
      </c>
      <c r="H4" s="56">
        <v>14</v>
      </c>
      <c r="I4" s="56">
        <v>52</v>
      </c>
      <c r="J4" s="56">
        <v>60</v>
      </c>
      <c r="K4" s="56">
        <v>11</v>
      </c>
      <c r="L4" s="56">
        <v>12</v>
      </c>
      <c r="M4" s="56">
        <v>72</v>
      </c>
      <c r="N4" s="56">
        <v>17</v>
      </c>
      <c r="O4" s="56">
        <v>21</v>
      </c>
      <c r="P4" s="56">
        <v>32</v>
      </c>
      <c r="Q4" s="247">
        <f t="shared" ref="Q4:Q10" si="1">MEDIAN(B4:P4)</f>
        <v>23</v>
      </c>
      <c r="S4" s="107" t="s">
        <v>226</v>
      </c>
      <c r="T4" s="56">
        <f t="shared" ref="T4:T16" si="2">B4*1.5</f>
        <v>73.5</v>
      </c>
      <c r="U4" s="56">
        <f t="shared" ref="U4:U16" si="3">C4*1.5</f>
        <v>66</v>
      </c>
      <c r="V4" s="248">
        <f t="shared" ref="V4:V16" si="4">D4*1.5</f>
        <v>39</v>
      </c>
      <c r="W4" s="713">
        <f t="shared" ref="W4:W16" si="5">E4*1.5</f>
        <v>34.5</v>
      </c>
      <c r="X4" s="713">
        <f t="shared" ref="X4:X16" si="6">F4*1.5</f>
        <v>28.5</v>
      </c>
      <c r="Y4" s="248">
        <f t="shared" ref="Y4:Y16" si="7">G4*1.5</f>
        <v>25.5</v>
      </c>
      <c r="Z4" s="248">
        <f t="shared" ref="Z4:Z16" si="8">((H4+I4)/2)*1.5</f>
        <v>49.5</v>
      </c>
      <c r="AA4" s="248">
        <f t="shared" ref="AA4:AA16" si="9">((J4+K4)/2)*1.5</f>
        <v>53.25</v>
      </c>
      <c r="AB4" s="248">
        <f t="shared" ref="AB4:AB16" si="10">((L4+M4)/2)*1.5</f>
        <v>63</v>
      </c>
      <c r="AC4" s="248">
        <f t="shared" ref="AC4:AC16" si="11">N4*1.5</f>
        <v>25.5</v>
      </c>
      <c r="AD4" s="248">
        <f t="shared" ref="AD4:AD16" si="12">O4*1.5</f>
        <v>31.5</v>
      </c>
      <c r="AE4" s="56">
        <f t="shared" ref="AE4:AE16" si="13">P4*1.5</f>
        <v>48</v>
      </c>
      <c r="AF4" s="247">
        <f t="shared" ref="AF4:AF10" si="14">MEDIAN(T4:AE4)</f>
        <v>43.5</v>
      </c>
    </row>
    <row r="5" spans="1:32" ht="13" x14ac:dyDescent="0.3">
      <c r="A5" s="302" t="s">
        <v>465</v>
      </c>
      <c r="B5" s="56">
        <v>9</v>
      </c>
      <c r="C5" s="56">
        <v>10</v>
      </c>
      <c r="D5" s="56">
        <v>12</v>
      </c>
      <c r="E5" s="56">
        <v>10</v>
      </c>
      <c r="F5" s="56">
        <v>1</v>
      </c>
      <c r="G5" s="56">
        <v>2</v>
      </c>
      <c r="H5" s="56">
        <v>4</v>
      </c>
      <c r="I5" s="56">
        <v>6</v>
      </c>
      <c r="J5" s="56">
        <v>11</v>
      </c>
      <c r="K5" s="56">
        <v>2</v>
      </c>
      <c r="L5" s="56">
        <v>1</v>
      </c>
      <c r="M5" s="56">
        <v>8</v>
      </c>
      <c r="N5" s="56">
        <v>1</v>
      </c>
      <c r="O5" s="56">
        <v>10</v>
      </c>
      <c r="P5" s="56">
        <v>7</v>
      </c>
      <c r="Q5" s="247">
        <f t="shared" si="1"/>
        <v>7</v>
      </c>
      <c r="S5" s="302" t="s">
        <v>465</v>
      </c>
      <c r="T5" s="56">
        <f t="shared" si="2"/>
        <v>13.5</v>
      </c>
      <c r="U5" s="56">
        <f t="shared" si="3"/>
        <v>15</v>
      </c>
      <c r="V5" s="248">
        <f t="shared" si="4"/>
        <v>18</v>
      </c>
      <c r="W5" s="713">
        <f t="shared" si="5"/>
        <v>15</v>
      </c>
      <c r="X5" s="713">
        <f t="shared" si="6"/>
        <v>1.5</v>
      </c>
      <c r="Y5" s="248">
        <f t="shared" si="7"/>
        <v>3</v>
      </c>
      <c r="Z5" s="248">
        <f t="shared" si="8"/>
        <v>7.5</v>
      </c>
      <c r="AA5" s="248">
        <f t="shared" si="9"/>
        <v>9.75</v>
      </c>
      <c r="AB5" s="248">
        <f t="shared" si="10"/>
        <v>6.75</v>
      </c>
      <c r="AC5" s="248">
        <f t="shared" si="11"/>
        <v>1.5</v>
      </c>
      <c r="AD5" s="248">
        <f t="shared" si="12"/>
        <v>15</v>
      </c>
      <c r="AE5" s="56">
        <f t="shared" si="13"/>
        <v>10.5</v>
      </c>
      <c r="AF5" s="247">
        <f t="shared" si="14"/>
        <v>10.125</v>
      </c>
    </row>
    <row r="6" spans="1:32" ht="13" x14ac:dyDescent="0.3">
      <c r="A6" s="302" t="s">
        <v>466</v>
      </c>
      <c r="B6" s="56">
        <v>2</v>
      </c>
      <c r="C6" s="56">
        <v>1</v>
      </c>
      <c r="D6" s="56">
        <v>2</v>
      </c>
      <c r="E6" s="56">
        <v>3</v>
      </c>
      <c r="F6" s="56">
        <v>3</v>
      </c>
      <c r="G6" s="56">
        <v>2</v>
      </c>
      <c r="H6" s="56">
        <v>1</v>
      </c>
      <c r="I6" s="56">
        <v>2</v>
      </c>
      <c r="J6" s="56">
        <v>1</v>
      </c>
      <c r="K6" s="56">
        <v>0</v>
      </c>
      <c r="L6" s="56">
        <v>0</v>
      </c>
      <c r="M6" s="56">
        <v>3</v>
      </c>
      <c r="N6" s="56">
        <v>1</v>
      </c>
      <c r="O6" s="56">
        <v>0</v>
      </c>
      <c r="P6" s="56">
        <v>0</v>
      </c>
      <c r="Q6" s="247">
        <f t="shared" si="1"/>
        <v>1</v>
      </c>
      <c r="S6" s="302" t="s">
        <v>466</v>
      </c>
      <c r="T6" s="56">
        <f t="shared" si="2"/>
        <v>3</v>
      </c>
      <c r="U6" s="56">
        <f t="shared" si="3"/>
        <v>1.5</v>
      </c>
      <c r="V6" s="248">
        <f t="shared" si="4"/>
        <v>3</v>
      </c>
      <c r="W6" s="713">
        <f t="shared" si="5"/>
        <v>4.5</v>
      </c>
      <c r="X6" s="713">
        <f t="shared" si="6"/>
        <v>4.5</v>
      </c>
      <c r="Y6" s="248">
        <f t="shared" si="7"/>
        <v>3</v>
      </c>
      <c r="Z6" s="248">
        <f t="shared" si="8"/>
        <v>2.25</v>
      </c>
      <c r="AA6" s="248">
        <f t="shared" si="9"/>
        <v>0.75</v>
      </c>
      <c r="AB6" s="248">
        <f t="shared" si="10"/>
        <v>2.25</v>
      </c>
      <c r="AC6" s="248">
        <f t="shared" si="11"/>
        <v>1.5</v>
      </c>
      <c r="AD6" s="248">
        <f t="shared" si="12"/>
        <v>0</v>
      </c>
      <c r="AE6" s="56">
        <f t="shared" si="13"/>
        <v>0</v>
      </c>
      <c r="AF6" s="247">
        <f t="shared" si="14"/>
        <v>2.25</v>
      </c>
    </row>
    <row r="7" spans="1:32" ht="13" x14ac:dyDescent="0.3">
      <c r="A7" s="107" t="s">
        <v>228</v>
      </c>
      <c r="B7" s="56">
        <v>4</v>
      </c>
      <c r="C7" s="56">
        <v>12</v>
      </c>
      <c r="D7" s="56">
        <v>29</v>
      </c>
      <c r="E7" s="56">
        <v>43</v>
      </c>
      <c r="F7" s="56">
        <v>92</v>
      </c>
      <c r="G7" s="56">
        <v>63</v>
      </c>
      <c r="H7" s="56">
        <v>23</v>
      </c>
      <c r="I7" s="56">
        <v>44</v>
      </c>
      <c r="J7" s="56">
        <v>47</v>
      </c>
      <c r="K7" s="56">
        <v>43</v>
      </c>
      <c r="L7" s="56">
        <v>41</v>
      </c>
      <c r="M7" s="56">
        <v>30</v>
      </c>
      <c r="N7" s="56">
        <v>24</v>
      </c>
      <c r="O7" s="56">
        <v>3</v>
      </c>
      <c r="P7" s="56">
        <v>12</v>
      </c>
      <c r="Q7" s="247">
        <f t="shared" si="1"/>
        <v>30</v>
      </c>
      <c r="S7" s="107" t="s">
        <v>228</v>
      </c>
      <c r="T7" s="56">
        <f t="shared" si="2"/>
        <v>6</v>
      </c>
      <c r="U7" s="56">
        <f t="shared" si="3"/>
        <v>18</v>
      </c>
      <c r="V7" s="248">
        <f t="shared" si="4"/>
        <v>43.5</v>
      </c>
      <c r="W7" s="713">
        <f t="shared" si="5"/>
        <v>64.5</v>
      </c>
      <c r="X7" s="713">
        <f t="shared" si="6"/>
        <v>138</v>
      </c>
      <c r="Y7" s="248">
        <f t="shared" si="7"/>
        <v>94.5</v>
      </c>
      <c r="Z7" s="248">
        <f t="shared" si="8"/>
        <v>50.25</v>
      </c>
      <c r="AA7" s="248">
        <f t="shared" si="9"/>
        <v>67.5</v>
      </c>
      <c r="AB7" s="248">
        <f t="shared" si="10"/>
        <v>53.25</v>
      </c>
      <c r="AC7" s="248">
        <f t="shared" si="11"/>
        <v>36</v>
      </c>
      <c r="AD7" s="248">
        <f t="shared" si="12"/>
        <v>4.5</v>
      </c>
      <c r="AE7" s="56">
        <f t="shared" si="13"/>
        <v>18</v>
      </c>
      <c r="AF7" s="247">
        <f t="shared" si="14"/>
        <v>46.875</v>
      </c>
    </row>
    <row r="8" spans="1:32" ht="13" x14ac:dyDescent="0.3">
      <c r="A8" s="107" t="s">
        <v>229</v>
      </c>
      <c r="B8" s="56">
        <v>0</v>
      </c>
      <c r="C8" s="56">
        <v>0</v>
      </c>
      <c r="D8" s="56">
        <v>1</v>
      </c>
      <c r="E8" s="56">
        <v>9</v>
      </c>
      <c r="F8" s="56">
        <v>3</v>
      </c>
      <c r="G8" s="56">
        <v>13</v>
      </c>
      <c r="H8" s="56">
        <v>12</v>
      </c>
      <c r="I8" s="56">
        <v>15</v>
      </c>
      <c r="J8" s="56">
        <v>3</v>
      </c>
      <c r="K8" s="56">
        <v>5</v>
      </c>
      <c r="L8" s="56">
        <v>4</v>
      </c>
      <c r="M8" s="56">
        <v>1</v>
      </c>
      <c r="N8" s="56">
        <v>1</v>
      </c>
      <c r="O8" s="56">
        <v>0</v>
      </c>
      <c r="P8" s="56">
        <v>0</v>
      </c>
      <c r="Q8" s="247">
        <f t="shared" si="1"/>
        <v>3</v>
      </c>
      <c r="S8" s="107" t="s">
        <v>229</v>
      </c>
      <c r="T8" s="56">
        <f t="shared" si="2"/>
        <v>0</v>
      </c>
      <c r="U8" s="56">
        <f t="shared" si="3"/>
        <v>0</v>
      </c>
      <c r="V8" s="248">
        <f t="shared" si="4"/>
        <v>1.5</v>
      </c>
      <c r="W8" s="713">
        <f t="shared" si="5"/>
        <v>13.5</v>
      </c>
      <c r="X8" s="713">
        <f t="shared" si="6"/>
        <v>4.5</v>
      </c>
      <c r="Y8" s="248">
        <f t="shared" si="7"/>
        <v>19.5</v>
      </c>
      <c r="Z8" s="248">
        <f t="shared" si="8"/>
        <v>20.25</v>
      </c>
      <c r="AA8" s="248">
        <f t="shared" si="9"/>
        <v>6</v>
      </c>
      <c r="AB8" s="248">
        <f t="shared" si="10"/>
        <v>3.75</v>
      </c>
      <c r="AC8" s="248">
        <f t="shared" si="11"/>
        <v>1.5</v>
      </c>
      <c r="AD8" s="248">
        <f t="shared" si="12"/>
        <v>0</v>
      </c>
      <c r="AE8" s="56">
        <f t="shared" si="13"/>
        <v>0</v>
      </c>
      <c r="AF8" s="247">
        <f t="shared" si="14"/>
        <v>2.625</v>
      </c>
    </row>
    <row r="9" spans="1:32" ht="13" x14ac:dyDescent="0.3">
      <c r="A9" s="302" t="s">
        <v>444</v>
      </c>
      <c r="B9" s="56">
        <v>0</v>
      </c>
      <c r="C9" s="56">
        <v>0</v>
      </c>
      <c r="D9" s="56">
        <v>0</v>
      </c>
      <c r="E9" s="56">
        <v>16</v>
      </c>
      <c r="F9" s="56">
        <v>10</v>
      </c>
      <c r="G9" s="56">
        <v>20</v>
      </c>
      <c r="H9" s="56">
        <v>24</v>
      </c>
      <c r="I9" s="56">
        <v>21</v>
      </c>
      <c r="J9" s="56">
        <v>23</v>
      </c>
      <c r="K9" s="56">
        <v>25</v>
      </c>
      <c r="L9" s="56">
        <v>23</v>
      </c>
      <c r="M9" s="56">
        <v>12</v>
      </c>
      <c r="N9" s="56">
        <v>0</v>
      </c>
      <c r="O9" s="56">
        <v>0</v>
      </c>
      <c r="P9" s="56">
        <v>0</v>
      </c>
      <c r="Q9" s="247">
        <f t="shared" si="1"/>
        <v>12</v>
      </c>
      <c r="S9" s="107" t="s">
        <v>444</v>
      </c>
      <c r="T9" s="56">
        <f t="shared" ref="T9:Y9" si="15">B9</f>
        <v>0</v>
      </c>
      <c r="U9" s="56">
        <f t="shared" si="15"/>
        <v>0</v>
      </c>
      <c r="V9" s="248">
        <f t="shared" si="15"/>
        <v>0</v>
      </c>
      <c r="W9" s="713">
        <f t="shared" si="15"/>
        <v>16</v>
      </c>
      <c r="X9" s="713">
        <f t="shared" si="15"/>
        <v>10</v>
      </c>
      <c r="Y9" s="248">
        <f t="shared" si="15"/>
        <v>20</v>
      </c>
      <c r="Z9" s="248">
        <f>((H9+I9)/2)</f>
        <v>22.5</v>
      </c>
      <c r="AA9" s="248">
        <f>((J9+K9)/2)</f>
        <v>24</v>
      </c>
      <c r="AB9" s="248">
        <f>((L9+M9)/2)</f>
        <v>17.5</v>
      </c>
      <c r="AC9" s="248">
        <f>N9</f>
        <v>0</v>
      </c>
      <c r="AD9" s="248">
        <f>O9</f>
        <v>0</v>
      </c>
      <c r="AE9" s="56">
        <f>P9</f>
        <v>0</v>
      </c>
      <c r="AF9" s="247">
        <f t="shared" si="14"/>
        <v>5</v>
      </c>
    </row>
    <row r="10" spans="1:32" ht="13" x14ac:dyDescent="0.3">
      <c r="A10" s="464" t="s">
        <v>652</v>
      </c>
      <c r="B10" s="158">
        <f>SUM(B8:B9)</f>
        <v>0</v>
      </c>
      <c r="C10" s="158">
        <f t="shared" ref="C10:P10" si="16">SUM(C8:C9)</f>
        <v>0</v>
      </c>
      <c r="D10" s="158">
        <f t="shared" si="16"/>
        <v>1</v>
      </c>
      <c r="E10" s="158">
        <f t="shared" si="16"/>
        <v>25</v>
      </c>
      <c r="F10" s="158">
        <f t="shared" si="16"/>
        <v>13</v>
      </c>
      <c r="G10" s="158">
        <f t="shared" si="16"/>
        <v>33</v>
      </c>
      <c r="H10" s="158">
        <f t="shared" si="16"/>
        <v>36</v>
      </c>
      <c r="I10" s="158">
        <f t="shared" si="16"/>
        <v>36</v>
      </c>
      <c r="J10" s="158">
        <f t="shared" si="16"/>
        <v>26</v>
      </c>
      <c r="K10" s="158">
        <f t="shared" si="16"/>
        <v>30</v>
      </c>
      <c r="L10" s="158">
        <f t="shared" si="16"/>
        <v>27</v>
      </c>
      <c r="M10" s="158">
        <f t="shared" si="16"/>
        <v>13</v>
      </c>
      <c r="N10" s="158">
        <f t="shared" si="16"/>
        <v>1</v>
      </c>
      <c r="O10" s="158">
        <f t="shared" si="16"/>
        <v>0</v>
      </c>
      <c r="P10" s="158">
        <f t="shared" si="16"/>
        <v>0</v>
      </c>
      <c r="Q10" s="247">
        <f t="shared" si="1"/>
        <v>13</v>
      </c>
      <c r="S10" s="464" t="s">
        <v>652</v>
      </c>
      <c r="T10" s="56">
        <f t="shared" si="2"/>
        <v>0</v>
      </c>
      <c r="U10" s="56">
        <f t="shared" si="3"/>
        <v>0</v>
      </c>
      <c r="V10" s="248">
        <f t="shared" si="4"/>
        <v>1.5</v>
      </c>
      <c r="W10" s="713">
        <f t="shared" si="5"/>
        <v>37.5</v>
      </c>
      <c r="X10" s="713">
        <f t="shared" si="6"/>
        <v>19.5</v>
      </c>
      <c r="Y10" s="248">
        <f t="shared" si="7"/>
        <v>49.5</v>
      </c>
      <c r="Z10" s="248">
        <f t="shared" si="8"/>
        <v>54</v>
      </c>
      <c r="AA10" s="248">
        <f t="shared" si="9"/>
        <v>42</v>
      </c>
      <c r="AB10" s="248">
        <f t="shared" si="10"/>
        <v>30</v>
      </c>
      <c r="AC10" s="248">
        <f t="shared" si="11"/>
        <v>1.5</v>
      </c>
      <c r="AD10" s="248">
        <f t="shared" si="12"/>
        <v>0</v>
      </c>
      <c r="AE10" s="56">
        <f t="shared" si="13"/>
        <v>0</v>
      </c>
      <c r="AF10" s="247">
        <f t="shared" si="14"/>
        <v>10.5</v>
      </c>
    </row>
    <row r="11" spans="1:32" ht="13" x14ac:dyDescent="0.3">
      <c r="A11" s="107" t="s">
        <v>230</v>
      </c>
      <c r="B11" s="56">
        <v>17</v>
      </c>
      <c r="C11" s="56">
        <v>17</v>
      </c>
      <c r="D11" s="56">
        <v>38</v>
      </c>
      <c r="E11" s="56">
        <v>43</v>
      </c>
      <c r="F11" s="56">
        <v>77</v>
      </c>
      <c r="G11" s="56">
        <v>34</v>
      </c>
      <c r="H11" s="56">
        <v>25</v>
      </c>
      <c r="I11" s="56">
        <v>31</v>
      </c>
      <c r="J11" s="56">
        <v>33</v>
      </c>
      <c r="K11" s="56">
        <v>13</v>
      </c>
      <c r="L11" s="56">
        <v>28</v>
      </c>
      <c r="M11" s="56">
        <v>19</v>
      </c>
      <c r="N11" s="56">
        <v>20</v>
      </c>
      <c r="O11" s="56">
        <v>18</v>
      </c>
      <c r="P11" s="56">
        <v>13</v>
      </c>
      <c r="Q11" s="247">
        <f t="shared" ref="Q11:Q17" si="17">MEDIAN(B11:P11)</f>
        <v>25</v>
      </c>
      <c r="S11" s="107" t="s">
        <v>230</v>
      </c>
      <c r="T11" s="56">
        <f t="shared" si="2"/>
        <v>25.5</v>
      </c>
      <c r="U11" s="56">
        <f t="shared" si="3"/>
        <v>25.5</v>
      </c>
      <c r="V11" s="248">
        <f t="shared" si="4"/>
        <v>57</v>
      </c>
      <c r="W11" s="713">
        <f t="shared" si="5"/>
        <v>64.5</v>
      </c>
      <c r="X11" s="713">
        <f t="shared" si="6"/>
        <v>115.5</v>
      </c>
      <c r="Y11" s="248">
        <f t="shared" si="7"/>
        <v>51</v>
      </c>
      <c r="Z11" s="248">
        <f t="shared" si="8"/>
        <v>42</v>
      </c>
      <c r="AA11" s="248">
        <f t="shared" si="9"/>
        <v>34.5</v>
      </c>
      <c r="AB11" s="248">
        <f t="shared" si="10"/>
        <v>35.25</v>
      </c>
      <c r="AC11" s="248">
        <f t="shared" si="11"/>
        <v>30</v>
      </c>
      <c r="AD11" s="248">
        <f t="shared" si="12"/>
        <v>27</v>
      </c>
      <c r="AE11" s="56">
        <f t="shared" si="13"/>
        <v>19.5</v>
      </c>
      <c r="AF11" s="247">
        <f t="shared" ref="AF11:AF17" si="18">MEDIAN(T11:AE11)</f>
        <v>34.875</v>
      </c>
    </row>
    <row r="12" spans="1:32" ht="13" x14ac:dyDescent="0.3">
      <c r="A12" s="107" t="s">
        <v>443</v>
      </c>
      <c r="B12" s="56">
        <v>0</v>
      </c>
      <c r="C12" s="56">
        <v>0</v>
      </c>
      <c r="D12" s="56">
        <v>0</v>
      </c>
      <c r="E12" s="56">
        <v>5</v>
      </c>
      <c r="F12" s="56">
        <v>4</v>
      </c>
      <c r="G12" s="56">
        <v>10</v>
      </c>
      <c r="H12" s="56">
        <v>8</v>
      </c>
      <c r="I12" s="56">
        <v>8</v>
      </c>
      <c r="J12" s="56">
        <v>7</v>
      </c>
      <c r="K12" s="56">
        <v>3</v>
      </c>
      <c r="L12" s="56">
        <v>7</v>
      </c>
      <c r="M12" s="56">
        <v>2</v>
      </c>
      <c r="N12" s="56">
        <v>2</v>
      </c>
      <c r="O12" s="56">
        <v>0</v>
      </c>
      <c r="P12" s="56">
        <v>0</v>
      </c>
      <c r="Q12" s="247">
        <f t="shared" si="17"/>
        <v>3</v>
      </c>
      <c r="S12" s="107" t="s">
        <v>443</v>
      </c>
      <c r="T12" s="56">
        <f t="shared" si="2"/>
        <v>0</v>
      </c>
      <c r="U12" s="56">
        <f t="shared" si="3"/>
        <v>0</v>
      </c>
      <c r="V12" s="248">
        <f t="shared" si="4"/>
        <v>0</v>
      </c>
      <c r="W12" s="713">
        <f t="shared" si="5"/>
        <v>7.5</v>
      </c>
      <c r="X12" s="713">
        <f t="shared" si="6"/>
        <v>6</v>
      </c>
      <c r="Y12" s="248">
        <f t="shared" si="7"/>
        <v>15</v>
      </c>
      <c r="Z12" s="248">
        <f t="shared" si="8"/>
        <v>12</v>
      </c>
      <c r="AA12" s="248">
        <f t="shared" si="9"/>
        <v>7.5</v>
      </c>
      <c r="AB12" s="248">
        <f t="shared" si="10"/>
        <v>6.75</v>
      </c>
      <c r="AC12" s="248">
        <f t="shared" si="11"/>
        <v>3</v>
      </c>
      <c r="AD12" s="248">
        <f t="shared" si="12"/>
        <v>0</v>
      </c>
      <c r="AE12" s="56">
        <f t="shared" si="13"/>
        <v>0</v>
      </c>
      <c r="AF12" s="247">
        <f t="shared" si="18"/>
        <v>4.5</v>
      </c>
    </row>
    <row r="13" spans="1:32" ht="13" x14ac:dyDescent="0.3">
      <c r="A13" s="107" t="s">
        <v>232</v>
      </c>
      <c r="B13" s="56">
        <v>0</v>
      </c>
      <c r="C13" s="56">
        <v>0</v>
      </c>
      <c r="D13" s="56">
        <v>0</v>
      </c>
      <c r="E13" s="56">
        <v>11</v>
      </c>
      <c r="F13" s="56">
        <v>11</v>
      </c>
      <c r="G13" s="56">
        <v>14</v>
      </c>
      <c r="H13" s="56">
        <v>14</v>
      </c>
      <c r="I13" s="56">
        <v>26</v>
      </c>
      <c r="J13" s="56">
        <v>25</v>
      </c>
      <c r="K13" s="56">
        <v>11</v>
      </c>
      <c r="L13" s="56">
        <v>17</v>
      </c>
      <c r="M13" s="56">
        <v>25</v>
      </c>
      <c r="N13" s="56">
        <v>9</v>
      </c>
      <c r="O13" s="56">
        <v>0</v>
      </c>
      <c r="P13" s="56">
        <v>0</v>
      </c>
      <c r="Q13" s="247">
        <f t="shared" si="17"/>
        <v>11</v>
      </c>
      <c r="S13" s="107" t="s">
        <v>232</v>
      </c>
      <c r="T13" s="56">
        <f t="shared" si="2"/>
        <v>0</v>
      </c>
      <c r="U13" s="56">
        <f t="shared" si="3"/>
        <v>0</v>
      </c>
      <c r="V13" s="248">
        <f t="shared" si="4"/>
        <v>0</v>
      </c>
      <c r="W13" s="713">
        <f t="shared" si="5"/>
        <v>16.5</v>
      </c>
      <c r="X13" s="713">
        <f t="shared" si="6"/>
        <v>16.5</v>
      </c>
      <c r="Y13" s="248">
        <f t="shared" si="7"/>
        <v>21</v>
      </c>
      <c r="Z13" s="248">
        <f t="shared" si="8"/>
        <v>30</v>
      </c>
      <c r="AA13" s="248">
        <f t="shared" si="9"/>
        <v>27</v>
      </c>
      <c r="AB13" s="248">
        <f t="shared" si="10"/>
        <v>31.5</v>
      </c>
      <c r="AC13" s="248">
        <f t="shared" si="11"/>
        <v>13.5</v>
      </c>
      <c r="AD13" s="248">
        <f t="shared" si="12"/>
        <v>0</v>
      </c>
      <c r="AE13" s="56">
        <f t="shared" si="13"/>
        <v>0</v>
      </c>
      <c r="AF13" s="247">
        <f t="shared" si="18"/>
        <v>15</v>
      </c>
    </row>
    <row r="14" spans="1:32" ht="13" x14ac:dyDescent="0.3">
      <c r="A14" s="107" t="s">
        <v>236</v>
      </c>
      <c r="B14" s="56">
        <v>0</v>
      </c>
      <c r="C14" s="56">
        <v>0</v>
      </c>
      <c r="D14" s="56">
        <v>3</v>
      </c>
      <c r="E14" s="56">
        <v>3</v>
      </c>
      <c r="F14" s="56">
        <v>16</v>
      </c>
      <c r="G14" s="56">
        <v>17</v>
      </c>
      <c r="H14" s="56">
        <v>50</v>
      </c>
      <c r="I14" s="56">
        <v>100</v>
      </c>
      <c r="J14" s="56">
        <v>100</v>
      </c>
      <c r="K14" s="56">
        <v>35</v>
      </c>
      <c r="L14" s="56">
        <v>25</v>
      </c>
      <c r="M14" s="56">
        <v>9</v>
      </c>
      <c r="N14" s="56">
        <v>1</v>
      </c>
      <c r="O14" s="56">
        <v>0</v>
      </c>
      <c r="P14" s="56">
        <v>0</v>
      </c>
      <c r="Q14" s="247">
        <f t="shared" si="17"/>
        <v>9</v>
      </c>
      <c r="S14" s="107" t="s">
        <v>236</v>
      </c>
      <c r="T14" s="56">
        <f t="shared" si="2"/>
        <v>0</v>
      </c>
      <c r="U14" s="56">
        <f t="shared" si="3"/>
        <v>0</v>
      </c>
      <c r="V14" s="248">
        <f t="shared" si="4"/>
        <v>4.5</v>
      </c>
      <c r="W14" s="713">
        <f t="shared" si="5"/>
        <v>4.5</v>
      </c>
      <c r="X14" s="713">
        <f t="shared" si="6"/>
        <v>24</v>
      </c>
      <c r="Y14" s="248">
        <f t="shared" si="7"/>
        <v>25.5</v>
      </c>
      <c r="Z14" s="248">
        <f t="shared" si="8"/>
        <v>112.5</v>
      </c>
      <c r="AA14" s="248">
        <f t="shared" si="9"/>
        <v>101.25</v>
      </c>
      <c r="AB14" s="248">
        <f t="shared" si="10"/>
        <v>25.5</v>
      </c>
      <c r="AC14" s="248">
        <f t="shared" si="11"/>
        <v>1.5</v>
      </c>
      <c r="AD14" s="248">
        <f t="shared" si="12"/>
        <v>0</v>
      </c>
      <c r="AE14" s="56">
        <f t="shared" si="13"/>
        <v>0</v>
      </c>
      <c r="AF14" s="247">
        <f t="shared" si="18"/>
        <v>4.5</v>
      </c>
    </row>
    <row r="15" spans="1:32" ht="13" x14ac:dyDescent="0.3">
      <c r="A15" s="107" t="s">
        <v>445</v>
      </c>
      <c r="B15" s="56">
        <v>0</v>
      </c>
      <c r="C15" s="56">
        <v>0</v>
      </c>
      <c r="D15" s="56">
        <v>0</v>
      </c>
      <c r="E15" s="56">
        <v>1</v>
      </c>
      <c r="F15" s="56">
        <v>1</v>
      </c>
      <c r="G15" s="56">
        <v>2</v>
      </c>
      <c r="H15" s="56">
        <v>3</v>
      </c>
      <c r="I15" s="56">
        <v>8</v>
      </c>
      <c r="J15" s="56">
        <v>8</v>
      </c>
      <c r="K15" s="56">
        <v>6</v>
      </c>
      <c r="L15" s="56">
        <v>3</v>
      </c>
      <c r="M15" s="56">
        <v>0</v>
      </c>
      <c r="N15" s="56">
        <v>0</v>
      </c>
      <c r="O15" s="56">
        <v>0</v>
      </c>
      <c r="P15" s="56">
        <v>0</v>
      </c>
      <c r="Q15" s="247">
        <f t="shared" si="17"/>
        <v>1</v>
      </c>
      <c r="S15" s="107" t="s">
        <v>445</v>
      </c>
      <c r="T15" s="56">
        <f t="shared" si="2"/>
        <v>0</v>
      </c>
      <c r="U15" s="56">
        <f t="shared" si="3"/>
        <v>0</v>
      </c>
      <c r="V15" s="248">
        <f t="shared" si="4"/>
        <v>0</v>
      </c>
      <c r="W15" s="713">
        <f t="shared" si="5"/>
        <v>1.5</v>
      </c>
      <c r="X15" s="713">
        <f t="shared" si="6"/>
        <v>1.5</v>
      </c>
      <c r="Y15" s="248">
        <f t="shared" si="7"/>
        <v>3</v>
      </c>
      <c r="Z15" s="248">
        <f t="shared" si="8"/>
        <v>8.25</v>
      </c>
      <c r="AA15" s="248">
        <f t="shared" si="9"/>
        <v>10.5</v>
      </c>
      <c r="AB15" s="248">
        <f t="shared" si="10"/>
        <v>2.25</v>
      </c>
      <c r="AC15" s="248">
        <f t="shared" si="11"/>
        <v>0</v>
      </c>
      <c r="AD15" s="248">
        <f t="shared" si="12"/>
        <v>0</v>
      </c>
      <c r="AE15" s="56">
        <f t="shared" si="13"/>
        <v>0</v>
      </c>
      <c r="AF15" s="247">
        <f t="shared" si="18"/>
        <v>0.75</v>
      </c>
    </row>
    <row r="16" spans="1:32" ht="13" x14ac:dyDescent="0.3">
      <c r="A16" s="107" t="s">
        <v>240</v>
      </c>
      <c r="B16" s="56">
        <v>0</v>
      </c>
      <c r="C16" s="56">
        <v>0</v>
      </c>
      <c r="D16" s="56">
        <v>0</v>
      </c>
      <c r="E16" s="56">
        <v>0</v>
      </c>
      <c r="F16" s="56">
        <v>1</v>
      </c>
      <c r="G16" s="56">
        <v>1</v>
      </c>
      <c r="H16" s="56">
        <v>3</v>
      </c>
      <c r="I16" s="56">
        <v>4</v>
      </c>
      <c r="J16" s="56">
        <v>6</v>
      </c>
      <c r="K16" s="56">
        <v>5</v>
      </c>
      <c r="L16" s="56">
        <v>2</v>
      </c>
      <c r="M16" s="56">
        <v>0</v>
      </c>
      <c r="N16" s="56">
        <v>0</v>
      </c>
      <c r="O16" s="56">
        <v>0</v>
      </c>
      <c r="P16" s="56">
        <v>0</v>
      </c>
      <c r="Q16" s="247">
        <f t="shared" si="17"/>
        <v>0</v>
      </c>
      <c r="S16" s="107" t="s">
        <v>240</v>
      </c>
      <c r="T16" s="56">
        <f t="shared" si="2"/>
        <v>0</v>
      </c>
      <c r="U16" s="56">
        <f t="shared" si="3"/>
        <v>0</v>
      </c>
      <c r="V16" s="248">
        <f t="shared" si="4"/>
        <v>0</v>
      </c>
      <c r="W16" s="713">
        <f t="shared" si="5"/>
        <v>0</v>
      </c>
      <c r="X16" s="713">
        <f t="shared" si="6"/>
        <v>1.5</v>
      </c>
      <c r="Y16" s="248">
        <f t="shared" si="7"/>
        <v>1.5</v>
      </c>
      <c r="Z16" s="248">
        <f t="shared" si="8"/>
        <v>5.25</v>
      </c>
      <c r="AA16" s="248">
        <f t="shared" si="9"/>
        <v>8.25</v>
      </c>
      <c r="AB16" s="248">
        <f t="shared" si="10"/>
        <v>1.5</v>
      </c>
      <c r="AC16" s="248">
        <f t="shared" si="11"/>
        <v>0</v>
      </c>
      <c r="AD16" s="248">
        <f t="shared" si="12"/>
        <v>0</v>
      </c>
      <c r="AE16" s="56">
        <f t="shared" si="13"/>
        <v>0</v>
      </c>
      <c r="AF16" s="247">
        <f t="shared" si="18"/>
        <v>0</v>
      </c>
    </row>
    <row r="17" spans="1:32" ht="13" x14ac:dyDescent="0.3">
      <c r="A17" s="107" t="s">
        <v>852</v>
      </c>
      <c r="B17" s="56"/>
      <c r="C17" s="56"/>
      <c r="D17" s="56"/>
      <c r="E17" s="105">
        <v>196</v>
      </c>
      <c r="F17" s="105">
        <v>462</v>
      </c>
      <c r="G17" s="105">
        <v>431</v>
      </c>
      <c r="H17" s="56"/>
      <c r="I17" s="105">
        <v>431</v>
      </c>
      <c r="J17" s="56"/>
      <c r="K17" s="105">
        <v>379</v>
      </c>
      <c r="L17" s="56"/>
      <c r="M17" s="105">
        <v>237</v>
      </c>
      <c r="Q17" s="247">
        <f t="shared" si="17"/>
        <v>405</v>
      </c>
      <c r="S17" s="107" t="s">
        <v>1124</v>
      </c>
      <c r="T17" s="56"/>
      <c r="U17" s="56"/>
      <c r="V17" s="56"/>
      <c r="W17" s="56">
        <v>196</v>
      </c>
      <c r="X17" s="56">
        <v>462</v>
      </c>
      <c r="Y17" s="56">
        <v>431</v>
      </c>
      <c r="Z17" s="56">
        <v>431</v>
      </c>
      <c r="AA17" s="56">
        <v>379</v>
      </c>
      <c r="AB17" s="56">
        <v>237</v>
      </c>
      <c r="AC17" s="56"/>
      <c r="AD17" s="56"/>
      <c r="AE17" s="56"/>
      <c r="AF17" s="247">
        <f t="shared" si="18"/>
        <v>405</v>
      </c>
    </row>
    <row r="18" spans="1:32" ht="13" x14ac:dyDescent="0.3">
      <c r="A18" s="107" t="s">
        <v>1123</v>
      </c>
      <c r="Q18" s="714">
        <v>407000</v>
      </c>
      <c r="S18" s="107" t="s">
        <v>1125</v>
      </c>
      <c r="AF18" s="714">
        <v>407000</v>
      </c>
    </row>
  </sheetData>
  <mergeCells count="4">
    <mergeCell ref="B1:P1"/>
    <mergeCell ref="A1:A2"/>
    <mergeCell ref="S1:S2"/>
    <mergeCell ref="T1:AE1"/>
  </mergeCells>
  <pageMargins left="0.48" right="0.44"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N91"/>
  <sheetViews>
    <sheetView workbookViewId="0">
      <selection activeCell="Z13" sqref="Z13"/>
    </sheetView>
  </sheetViews>
  <sheetFormatPr defaultRowHeight="12.5" x14ac:dyDescent="0.25"/>
  <cols>
    <col min="2" max="2" width="14.6328125" bestFit="1" customWidth="1"/>
    <col min="3" max="3" width="6.6328125" bestFit="1" customWidth="1"/>
    <col min="4" max="4" width="10.54296875" bestFit="1" customWidth="1"/>
    <col min="5" max="5" width="12.90625" bestFit="1" customWidth="1"/>
    <col min="6" max="6" width="6.54296875" bestFit="1" customWidth="1"/>
    <col min="7" max="7" width="3.90625" bestFit="1" customWidth="1"/>
    <col min="8" max="8" width="10.453125" bestFit="1" customWidth="1"/>
    <col min="9" max="10" width="10.08984375" bestFit="1" customWidth="1"/>
    <col min="11" max="11" width="11.6328125" bestFit="1" customWidth="1"/>
  </cols>
  <sheetData>
    <row r="1" spans="2:12" ht="13" thickBot="1" x14ac:dyDescent="0.3"/>
    <row r="2" spans="2:12" ht="13" thickBot="1" x14ac:dyDescent="0.3">
      <c r="B2" s="309"/>
      <c r="C2" s="309"/>
      <c r="D2" s="909">
        <v>40360</v>
      </c>
      <c r="E2" s="910"/>
      <c r="F2" s="910"/>
      <c r="G2" s="910"/>
      <c r="H2" s="310"/>
      <c r="I2" s="309"/>
      <c r="J2" s="309"/>
      <c r="K2" s="309"/>
    </row>
    <row r="3" spans="2:12" ht="23" customHeight="1" x14ac:dyDescent="0.25">
      <c r="B3" s="309"/>
      <c r="C3" s="309" t="s">
        <v>480</v>
      </c>
      <c r="D3" s="311" t="s">
        <v>483</v>
      </c>
      <c r="E3" s="311" t="s">
        <v>484</v>
      </c>
      <c r="F3" s="311" t="s">
        <v>485</v>
      </c>
      <c r="G3" s="318" t="s">
        <v>157</v>
      </c>
      <c r="H3" s="312" t="s">
        <v>464</v>
      </c>
      <c r="I3" s="313" t="s">
        <v>134</v>
      </c>
      <c r="J3" s="313" t="s">
        <v>486</v>
      </c>
      <c r="K3" s="313" t="s">
        <v>67</v>
      </c>
    </row>
    <row r="4" spans="2:12" ht="13" thickBot="1" x14ac:dyDescent="0.3">
      <c r="B4" s="307" t="s">
        <v>473</v>
      </c>
      <c r="C4" s="309">
        <v>3</v>
      </c>
      <c r="D4" s="307">
        <v>7.46</v>
      </c>
      <c r="E4" s="307">
        <v>0.02</v>
      </c>
      <c r="F4" s="307">
        <v>7.9</v>
      </c>
      <c r="G4" s="307">
        <v>8.43</v>
      </c>
      <c r="H4" s="314">
        <v>237</v>
      </c>
      <c r="I4" s="315">
        <v>3</v>
      </c>
      <c r="J4" s="315">
        <v>15</v>
      </c>
      <c r="K4" s="315">
        <v>17</v>
      </c>
      <c r="L4" s="315">
        <v>5</v>
      </c>
    </row>
    <row r="5" spans="2:12" ht="13" thickBot="1" x14ac:dyDescent="0.3">
      <c r="B5" s="307" t="s">
        <v>481</v>
      </c>
      <c r="C5" s="309">
        <v>3.1</v>
      </c>
      <c r="D5" s="307">
        <v>7.64</v>
      </c>
      <c r="E5" s="307">
        <v>0.02</v>
      </c>
      <c r="F5" s="307">
        <v>7.9</v>
      </c>
      <c r="G5" s="307">
        <v>9.0399999999999991</v>
      </c>
      <c r="H5" s="314">
        <v>211</v>
      </c>
      <c r="I5" s="315">
        <v>24</v>
      </c>
      <c r="J5" s="315">
        <v>5</v>
      </c>
      <c r="K5" s="315">
        <v>10</v>
      </c>
      <c r="L5" s="315">
        <v>13</v>
      </c>
    </row>
    <row r="6" spans="2:12" ht="13" thickBot="1" x14ac:dyDescent="0.3">
      <c r="B6" s="307" t="s">
        <v>482</v>
      </c>
      <c r="C6" s="309">
        <v>17.600000000000001</v>
      </c>
      <c r="D6" s="307">
        <v>8.7200000000000006</v>
      </c>
      <c r="E6" s="307">
        <v>3.6999999999999998E-2</v>
      </c>
      <c r="F6" s="307">
        <v>10.38</v>
      </c>
      <c r="G6" s="307">
        <v>6.1</v>
      </c>
      <c r="H6" s="314">
        <v>169</v>
      </c>
      <c r="I6" s="315">
        <v>57</v>
      </c>
      <c r="J6" s="315">
        <v>5</v>
      </c>
      <c r="K6" s="315">
        <v>7</v>
      </c>
      <c r="L6" s="315">
        <v>5</v>
      </c>
    </row>
    <row r="7" spans="2:12" ht="13" thickBot="1" x14ac:dyDescent="0.3">
      <c r="B7" s="307" t="s">
        <v>474</v>
      </c>
      <c r="C7" s="309">
        <v>39.299999999999997</v>
      </c>
      <c r="D7" s="307">
        <v>11.41</v>
      </c>
      <c r="E7" s="307">
        <v>4.3999999999999997E-2</v>
      </c>
      <c r="F7" s="307">
        <v>8.9</v>
      </c>
      <c r="G7" s="307">
        <v>7.99</v>
      </c>
      <c r="H7" s="314"/>
      <c r="I7" s="315">
        <v>38</v>
      </c>
      <c r="J7" s="315">
        <v>9</v>
      </c>
      <c r="K7" s="315">
        <v>8</v>
      </c>
      <c r="L7" s="315">
        <v>8</v>
      </c>
    </row>
    <row r="8" spans="2:12" ht="13" thickBot="1" x14ac:dyDescent="0.3">
      <c r="B8" s="307" t="s">
        <v>475</v>
      </c>
      <c r="C8" s="309">
        <v>49.5</v>
      </c>
      <c r="D8" s="307">
        <v>10.74</v>
      </c>
      <c r="E8" s="307">
        <v>6.8000000000000005E-2</v>
      </c>
      <c r="F8" s="307">
        <v>11.4</v>
      </c>
      <c r="G8" s="307">
        <v>8.18</v>
      </c>
      <c r="H8" s="314"/>
      <c r="I8" s="315">
        <v>23</v>
      </c>
      <c r="J8" s="315">
        <v>11</v>
      </c>
      <c r="K8" s="315">
        <v>11</v>
      </c>
      <c r="L8" s="315">
        <v>14</v>
      </c>
    </row>
    <row r="9" spans="2:12" ht="13" thickBot="1" x14ac:dyDescent="0.3">
      <c r="B9" s="307" t="s">
        <v>472</v>
      </c>
      <c r="C9" s="309">
        <v>62.2</v>
      </c>
      <c r="D9" s="307">
        <v>9.7799999999999994</v>
      </c>
      <c r="E9" s="307">
        <v>8.1000000000000003E-2</v>
      </c>
      <c r="F9" s="307">
        <v>14.8</v>
      </c>
      <c r="G9" s="307">
        <v>8.16</v>
      </c>
      <c r="H9" s="314"/>
      <c r="I9" s="315">
        <v>19</v>
      </c>
      <c r="J9" s="315">
        <v>14</v>
      </c>
      <c r="K9" s="315">
        <v>14</v>
      </c>
      <c r="L9" s="315">
        <v>19</v>
      </c>
    </row>
    <row r="10" spans="2:12" ht="13" thickBot="1" x14ac:dyDescent="0.3">
      <c r="B10" s="307" t="s">
        <v>476</v>
      </c>
      <c r="C10" s="309">
        <v>63</v>
      </c>
      <c r="D10" s="307">
        <v>9.69</v>
      </c>
      <c r="E10" s="307">
        <v>9.0999999999999998E-2</v>
      </c>
      <c r="F10" s="307">
        <v>15.2</v>
      </c>
      <c r="G10" s="307">
        <v>8.1300000000000008</v>
      </c>
      <c r="H10" s="314"/>
      <c r="I10" s="315">
        <v>61</v>
      </c>
      <c r="J10" s="315">
        <v>24</v>
      </c>
      <c r="K10" s="315">
        <v>24</v>
      </c>
      <c r="L10" s="315">
        <v>19</v>
      </c>
    </row>
    <row r="11" spans="2:12" ht="13" thickBot="1" x14ac:dyDescent="0.3">
      <c r="B11" s="307" t="s">
        <v>477</v>
      </c>
      <c r="C11" s="309">
        <v>52.4</v>
      </c>
      <c r="D11" s="307">
        <v>9.5399999999999991</v>
      </c>
      <c r="E11" s="307">
        <v>0.121</v>
      </c>
      <c r="F11" s="307">
        <v>15.3</v>
      </c>
      <c r="G11" s="307">
        <v>8.17</v>
      </c>
      <c r="H11" s="314"/>
      <c r="I11" s="315">
        <v>121</v>
      </c>
      <c r="J11" s="315">
        <v>19</v>
      </c>
      <c r="K11" s="315">
        <v>19</v>
      </c>
      <c r="L11" s="315">
        <v>23</v>
      </c>
    </row>
    <row r="12" spans="2:12" ht="13" thickBot="1" x14ac:dyDescent="0.3">
      <c r="B12" s="307" t="s">
        <v>488</v>
      </c>
      <c r="C12" s="309">
        <v>63</v>
      </c>
      <c r="D12" s="307">
        <v>9.7899999999999991</v>
      </c>
      <c r="E12" s="307">
        <v>0.14599999999999999</v>
      </c>
      <c r="F12" s="307">
        <v>15.2</v>
      </c>
      <c r="G12" s="307">
        <v>8.39</v>
      </c>
      <c r="H12" s="314"/>
      <c r="I12" s="315">
        <v>201</v>
      </c>
      <c r="J12" s="315">
        <v>32</v>
      </c>
      <c r="K12" s="315">
        <v>32</v>
      </c>
      <c r="L12" s="315">
        <v>30</v>
      </c>
    </row>
    <row r="13" spans="2:12" ht="13" thickBot="1" x14ac:dyDescent="0.3">
      <c r="B13" s="307" t="s">
        <v>478</v>
      </c>
      <c r="C13" s="309">
        <v>74.099999999999994</v>
      </c>
      <c r="D13" s="307">
        <v>9.73</v>
      </c>
      <c r="E13" s="307">
        <v>0.153</v>
      </c>
      <c r="F13" s="307">
        <v>15.2</v>
      </c>
      <c r="G13" s="307">
        <v>8.35</v>
      </c>
      <c r="H13" s="314"/>
      <c r="I13" s="315">
        <v>208</v>
      </c>
      <c r="J13" s="315">
        <v>13</v>
      </c>
      <c r="K13" s="315">
        <v>13</v>
      </c>
      <c r="L13" s="315">
        <v>31</v>
      </c>
    </row>
    <row r="14" spans="2:12" ht="13" thickBot="1" x14ac:dyDescent="0.3">
      <c r="B14" s="307" t="s">
        <v>479</v>
      </c>
      <c r="C14" s="309">
        <v>67.8</v>
      </c>
      <c r="D14" s="307">
        <v>9.84</v>
      </c>
      <c r="E14" s="307">
        <v>0.14499999999999999</v>
      </c>
      <c r="F14" s="307">
        <v>15.2</v>
      </c>
      <c r="G14" s="307">
        <v>8.2799999999999994</v>
      </c>
      <c r="H14" s="314"/>
      <c r="I14" s="315">
        <v>168</v>
      </c>
      <c r="J14" s="315">
        <v>17</v>
      </c>
      <c r="K14" s="315">
        <v>21</v>
      </c>
      <c r="L14" s="315">
        <v>43</v>
      </c>
    </row>
    <row r="15" spans="2:12" x14ac:dyDescent="0.25">
      <c r="B15" s="308" t="s">
        <v>471</v>
      </c>
      <c r="C15" s="309">
        <v>22.2</v>
      </c>
      <c r="D15" s="316">
        <v>7.96</v>
      </c>
      <c r="E15" s="316">
        <v>0.247</v>
      </c>
      <c r="F15" s="316">
        <v>16.87</v>
      </c>
      <c r="G15" s="316">
        <v>8.1199999999999992</v>
      </c>
      <c r="H15" s="314">
        <v>932</v>
      </c>
      <c r="I15" s="315">
        <v>599</v>
      </c>
      <c r="J15" s="309">
        <v>18</v>
      </c>
      <c r="K15" s="309">
        <v>37</v>
      </c>
      <c r="L15" s="315">
        <v>32</v>
      </c>
    </row>
    <row r="16" spans="2:12" x14ac:dyDescent="0.25">
      <c r="B16" s="308" t="s">
        <v>487</v>
      </c>
      <c r="C16" s="309">
        <v>24.2</v>
      </c>
      <c r="D16" s="316">
        <v>7.71</v>
      </c>
      <c r="E16" s="316">
        <v>0.29299999999999998</v>
      </c>
      <c r="F16" s="316">
        <v>22.48</v>
      </c>
      <c r="G16" s="316">
        <v>8.5399999999999991</v>
      </c>
      <c r="H16" s="317">
        <v>568</v>
      </c>
      <c r="I16" s="315">
        <v>224</v>
      </c>
      <c r="J16" s="309">
        <v>20</v>
      </c>
      <c r="K16" s="309">
        <v>20</v>
      </c>
      <c r="L16" s="315">
        <v>42</v>
      </c>
    </row>
    <row r="61" spans="1:14" x14ac:dyDescent="0.25">
      <c r="A61" s="844" t="s">
        <v>266</v>
      </c>
      <c r="B61" s="842" t="s">
        <v>267</v>
      </c>
      <c r="C61" s="846">
        <v>40742</v>
      </c>
      <c r="D61" s="847"/>
      <c r="E61" s="847"/>
      <c r="F61" s="848"/>
      <c r="G61" s="846">
        <v>40766</v>
      </c>
      <c r="H61" s="847"/>
      <c r="I61" s="847"/>
      <c r="J61" s="848"/>
      <c r="K61" s="846">
        <v>40794</v>
      </c>
      <c r="L61" s="847"/>
      <c r="M61" s="847"/>
      <c r="N61" s="848"/>
    </row>
    <row r="62" spans="1:14" ht="31.5" x14ac:dyDescent="0.25">
      <c r="A62" s="845"/>
      <c r="B62" s="843"/>
      <c r="C62" s="222" t="s">
        <v>292</v>
      </c>
      <c r="D62" s="222" t="s">
        <v>384</v>
      </c>
      <c r="E62" s="222" t="s">
        <v>293</v>
      </c>
      <c r="F62" s="222" t="s">
        <v>294</v>
      </c>
      <c r="G62" s="222" t="s">
        <v>292</v>
      </c>
      <c r="H62" s="222" t="s">
        <v>384</v>
      </c>
      <c r="I62" s="222" t="s">
        <v>293</v>
      </c>
      <c r="J62" s="222" t="s">
        <v>294</v>
      </c>
      <c r="K62" s="222" t="s">
        <v>292</v>
      </c>
      <c r="L62" s="222" t="s">
        <v>384</v>
      </c>
      <c r="M62" s="222" t="s">
        <v>293</v>
      </c>
      <c r="N62" s="222" t="s">
        <v>294</v>
      </c>
    </row>
    <row r="63" spans="1:14" x14ac:dyDescent="0.25">
      <c r="A63" s="852" t="s">
        <v>268</v>
      </c>
      <c r="B63" s="853"/>
      <c r="C63" s="853"/>
      <c r="D63" s="853"/>
      <c r="E63" s="853"/>
      <c r="F63" s="853"/>
      <c r="G63" s="853"/>
      <c r="H63" s="853"/>
      <c r="I63" s="853"/>
      <c r="J63" s="853"/>
      <c r="K63" s="853"/>
      <c r="L63" s="853"/>
      <c r="M63" s="853"/>
      <c r="N63" s="854"/>
    </row>
    <row r="64" spans="1:14" ht="20" x14ac:dyDescent="0.25">
      <c r="A64" s="345" t="s">
        <v>253</v>
      </c>
      <c r="B64" s="346" t="s">
        <v>383</v>
      </c>
      <c r="C64" s="503">
        <v>75</v>
      </c>
      <c r="D64" s="503"/>
      <c r="E64" s="503">
        <v>10</v>
      </c>
      <c r="F64" s="503">
        <v>8</v>
      </c>
      <c r="G64" s="503">
        <v>59</v>
      </c>
      <c r="H64" s="503"/>
      <c r="I64" s="503">
        <v>13</v>
      </c>
      <c r="J64" s="503">
        <v>6</v>
      </c>
      <c r="K64" s="503">
        <v>65</v>
      </c>
      <c r="L64" s="503"/>
      <c r="M64" s="503">
        <v>13</v>
      </c>
      <c r="N64" s="503">
        <v>28</v>
      </c>
    </row>
    <row r="65" spans="1:14" ht="20" x14ac:dyDescent="0.25">
      <c r="A65" s="345" t="s">
        <v>269</v>
      </c>
      <c r="B65" s="346" t="s">
        <v>270</v>
      </c>
      <c r="C65" s="503">
        <v>55</v>
      </c>
      <c r="D65" s="503"/>
      <c r="E65" s="503">
        <v>4</v>
      </c>
      <c r="F65" s="503">
        <v>14</v>
      </c>
      <c r="G65" s="503">
        <v>40</v>
      </c>
      <c r="H65" s="503"/>
      <c r="I65" s="503">
        <v>14</v>
      </c>
      <c r="J65" s="503">
        <v>12</v>
      </c>
      <c r="K65" s="503">
        <v>50</v>
      </c>
      <c r="L65" s="503"/>
      <c r="M65" s="503">
        <v>12</v>
      </c>
      <c r="N65" s="503">
        <v>28</v>
      </c>
    </row>
    <row r="66" spans="1:14" x14ac:dyDescent="0.25">
      <c r="A66" s="849" t="s">
        <v>271</v>
      </c>
      <c r="B66" s="850"/>
      <c r="C66" s="850"/>
      <c r="D66" s="850"/>
      <c r="E66" s="850"/>
      <c r="F66" s="850"/>
      <c r="G66" s="850"/>
      <c r="H66" s="850"/>
      <c r="I66" s="850"/>
      <c r="J66" s="850"/>
      <c r="K66" s="850"/>
      <c r="L66" s="850"/>
      <c r="M66" s="850"/>
      <c r="N66" s="851"/>
    </row>
    <row r="67" spans="1:14" ht="30" x14ac:dyDescent="0.25">
      <c r="A67" s="345" t="s">
        <v>254</v>
      </c>
      <c r="B67" s="346" t="s">
        <v>388</v>
      </c>
      <c r="C67" s="503"/>
      <c r="D67" s="503"/>
      <c r="E67" s="503"/>
      <c r="F67" s="503"/>
      <c r="G67" s="503">
        <v>12</v>
      </c>
      <c r="H67" s="503">
        <v>247</v>
      </c>
      <c r="I67" s="503">
        <v>17</v>
      </c>
      <c r="J67" s="503">
        <v>19</v>
      </c>
      <c r="K67" s="503">
        <v>6</v>
      </c>
      <c r="L67" s="503">
        <v>238</v>
      </c>
      <c r="M67" s="503">
        <v>16</v>
      </c>
      <c r="N67" s="503">
        <v>18</v>
      </c>
    </row>
    <row r="68" spans="1:14" ht="30" x14ac:dyDescent="0.25">
      <c r="A68" s="345" t="s">
        <v>255</v>
      </c>
      <c r="B68" s="346" t="s">
        <v>387</v>
      </c>
      <c r="C68" s="503"/>
      <c r="D68" s="503"/>
      <c r="E68" s="503"/>
      <c r="F68" s="503"/>
      <c r="G68" s="503">
        <v>6</v>
      </c>
      <c r="H68" s="503">
        <v>360</v>
      </c>
      <c r="I68" s="503">
        <v>16</v>
      </c>
      <c r="J68" s="503">
        <v>24</v>
      </c>
      <c r="K68" s="503">
        <v>18</v>
      </c>
      <c r="L68" s="503">
        <v>351</v>
      </c>
      <c r="M68" s="503">
        <v>240</v>
      </c>
      <c r="N68" s="503">
        <v>24</v>
      </c>
    </row>
    <row r="69" spans="1:14" x14ac:dyDescent="0.25">
      <c r="A69" s="849" t="s">
        <v>272</v>
      </c>
      <c r="B69" s="850"/>
      <c r="C69" s="850"/>
      <c r="D69" s="850"/>
      <c r="E69" s="850"/>
      <c r="F69" s="850"/>
      <c r="G69" s="850"/>
      <c r="H69" s="850"/>
      <c r="I69" s="850"/>
      <c r="J69" s="850"/>
      <c r="K69" s="850"/>
      <c r="L69" s="850"/>
      <c r="M69" s="850"/>
      <c r="N69" s="851"/>
    </row>
    <row r="70" spans="1:14" ht="30" x14ac:dyDescent="0.25">
      <c r="A70" s="345" t="s">
        <v>187</v>
      </c>
      <c r="B70" s="346" t="s">
        <v>385</v>
      </c>
      <c r="C70" s="503">
        <v>70</v>
      </c>
      <c r="D70" s="503"/>
      <c r="E70" s="503">
        <v>15</v>
      </c>
      <c r="F70" s="503">
        <v>19</v>
      </c>
      <c r="G70" s="503">
        <v>26</v>
      </c>
      <c r="H70" s="503"/>
      <c r="I70" s="503">
        <v>26</v>
      </c>
      <c r="J70" s="503">
        <v>7</v>
      </c>
      <c r="K70" s="503">
        <v>15</v>
      </c>
      <c r="L70" s="503"/>
      <c r="M70" s="503">
        <v>40</v>
      </c>
      <c r="N70" s="503">
        <v>20</v>
      </c>
    </row>
    <row r="71" spans="1:14" ht="20" x14ac:dyDescent="0.25">
      <c r="A71" s="345" t="s">
        <v>256</v>
      </c>
      <c r="B71" s="346" t="s">
        <v>274</v>
      </c>
      <c r="C71" s="503">
        <v>143</v>
      </c>
      <c r="D71" s="503"/>
      <c r="E71" s="503">
        <v>13</v>
      </c>
      <c r="F71" s="503">
        <v>19</v>
      </c>
      <c r="G71" s="503">
        <v>325</v>
      </c>
      <c r="H71" s="503"/>
      <c r="I71" s="503">
        <v>23</v>
      </c>
      <c r="J71" s="503">
        <v>11</v>
      </c>
      <c r="K71" s="503">
        <v>173</v>
      </c>
      <c r="L71" s="503"/>
      <c r="M71" s="503">
        <v>38</v>
      </c>
      <c r="N71" s="503">
        <v>26</v>
      </c>
    </row>
    <row r="72" spans="1:14" ht="20" x14ac:dyDescent="0.25">
      <c r="A72" s="345" t="s">
        <v>257</v>
      </c>
      <c r="B72" s="346" t="s">
        <v>275</v>
      </c>
      <c r="C72" s="503">
        <v>149</v>
      </c>
      <c r="D72" s="503"/>
      <c r="E72" s="503">
        <v>9</v>
      </c>
      <c r="F72" s="503">
        <v>23</v>
      </c>
      <c r="G72" s="503">
        <v>150</v>
      </c>
      <c r="H72" s="503"/>
      <c r="I72" s="503">
        <v>20</v>
      </c>
      <c r="J72" s="503">
        <v>12</v>
      </c>
      <c r="K72" s="503">
        <v>182</v>
      </c>
      <c r="L72" s="503"/>
      <c r="M72" s="503">
        <v>37</v>
      </c>
      <c r="N72" s="503">
        <v>33</v>
      </c>
    </row>
    <row r="73" spans="1:14" ht="20" x14ac:dyDescent="0.25">
      <c r="A73" s="345" t="s">
        <v>258</v>
      </c>
      <c r="B73" s="346" t="s">
        <v>276</v>
      </c>
      <c r="C73" s="503">
        <v>161</v>
      </c>
      <c r="D73" s="503"/>
      <c r="E73" s="503">
        <v>9</v>
      </c>
      <c r="F73" s="503">
        <v>30</v>
      </c>
      <c r="G73" s="503">
        <v>189</v>
      </c>
      <c r="H73" s="503"/>
      <c r="I73" s="503">
        <v>23</v>
      </c>
      <c r="J73" s="503">
        <v>18</v>
      </c>
      <c r="K73" s="503">
        <v>167</v>
      </c>
      <c r="L73" s="503"/>
      <c r="M73" s="503">
        <v>18</v>
      </c>
      <c r="N73" s="503">
        <v>79</v>
      </c>
    </row>
    <row r="74" spans="1:14" ht="30" x14ac:dyDescent="0.25">
      <c r="A74" s="345" t="s">
        <v>259</v>
      </c>
      <c r="B74" s="346" t="s">
        <v>277</v>
      </c>
      <c r="C74" s="503">
        <v>134</v>
      </c>
      <c r="D74" s="503"/>
      <c r="E74" s="503">
        <v>11</v>
      </c>
      <c r="F74" s="503">
        <v>31</v>
      </c>
      <c r="G74" s="503">
        <v>146</v>
      </c>
      <c r="H74" s="503"/>
      <c r="I74" s="503">
        <v>22</v>
      </c>
      <c r="J74" s="503">
        <v>22</v>
      </c>
      <c r="K74" s="503">
        <v>167</v>
      </c>
      <c r="L74" s="503"/>
      <c r="M74" s="503">
        <v>16</v>
      </c>
      <c r="N74" s="503">
        <v>61</v>
      </c>
    </row>
    <row r="75" spans="1:14" ht="20" x14ac:dyDescent="0.25">
      <c r="A75" s="345" t="s">
        <v>260</v>
      </c>
      <c r="B75" s="346" t="s">
        <v>386</v>
      </c>
      <c r="C75" s="503">
        <v>143</v>
      </c>
      <c r="D75" s="503"/>
      <c r="E75" s="503">
        <v>9</v>
      </c>
      <c r="F75" s="503">
        <v>43</v>
      </c>
      <c r="G75" s="503">
        <v>158</v>
      </c>
      <c r="H75" s="503"/>
      <c r="I75" s="503">
        <v>33</v>
      </c>
      <c r="J75" s="503">
        <v>13</v>
      </c>
      <c r="K75" s="503">
        <v>133</v>
      </c>
      <c r="L75" s="503"/>
      <c r="M75" s="503">
        <v>18</v>
      </c>
      <c r="N75" s="503">
        <v>111</v>
      </c>
    </row>
    <row r="76" spans="1:14" x14ac:dyDescent="0.25">
      <c r="A76" s="849" t="s">
        <v>279</v>
      </c>
      <c r="B76" s="850"/>
      <c r="C76" s="850"/>
      <c r="D76" s="850"/>
      <c r="E76" s="850"/>
      <c r="F76" s="850"/>
      <c r="G76" s="850"/>
      <c r="H76" s="850"/>
      <c r="I76" s="850"/>
      <c r="J76" s="850"/>
      <c r="K76" s="850"/>
      <c r="L76" s="850"/>
      <c r="M76" s="850"/>
      <c r="N76" s="851"/>
    </row>
    <row r="77" spans="1:14" ht="30" x14ac:dyDescent="0.25">
      <c r="A77" s="345" t="s">
        <v>263</v>
      </c>
      <c r="B77" s="346" t="s">
        <v>280</v>
      </c>
      <c r="C77" s="503">
        <v>3</v>
      </c>
      <c r="D77" s="503"/>
      <c r="E77" s="503">
        <v>0</v>
      </c>
      <c r="F77" s="503">
        <v>20</v>
      </c>
      <c r="G77" s="503">
        <v>9</v>
      </c>
      <c r="H77" s="503"/>
      <c r="I77" s="503">
        <v>9</v>
      </c>
      <c r="J77" s="503">
        <v>3</v>
      </c>
      <c r="K77" s="503">
        <v>29</v>
      </c>
      <c r="L77" s="503"/>
      <c r="M77" s="503">
        <v>13</v>
      </c>
      <c r="N77" s="503">
        <v>15</v>
      </c>
    </row>
    <row r="78" spans="1:14" x14ac:dyDescent="0.25">
      <c r="A78" s="849" t="s">
        <v>281</v>
      </c>
      <c r="B78" s="850"/>
      <c r="C78" s="850"/>
      <c r="D78" s="850"/>
      <c r="E78" s="850"/>
      <c r="F78" s="850"/>
      <c r="G78" s="850"/>
      <c r="H78" s="850"/>
      <c r="I78" s="850"/>
      <c r="J78" s="850"/>
      <c r="K78" s="850"/>
      <c r="L78" s="850"/>
      <c r="M78" s="850"/>
      <c r="N78" s="851"/>
    </row>
    <row r="79" spans="1:14" ht="30" x14ac:dyDescent="0.25">
      <c r="A79" s="345" t="s">
        <v>264</v>
      </c>
      <c r="B79" s="346" t="s">
        <v>283</v>
      </c>
      <c r="C79" s="503">
        <v>463</v>
      </c>
      <c r="D79" s="503"/>
      <c r="E79" s="503">
        <v>7</v>
      </c>
      <c r="F79" s="503">
        <v>17</v>
      </c>
      <c r="G79" s="348">
        <v>328</v>
      </c>
      <c r="H79" s="345"/>
      <c r="I79" s="348">
        <v>23</v>
      </c>
      <c r="J79" s="348">
        <v>11</v>
      </c>
      <c r="K79" s="503">
        <v>292</v>
      </c>
      <c r="L79" s="503"/>
      <c r="M79" s="503">
        <v>18</v>
      </c>
      <c r="N79" s="503">
        <v>21</v>
      </c>
    </row>
    <row r="80" spans="1:14" ht="30" x14ac:dyDescent="0.25">
      <c r="A80" s="345" t="s">
        <v>265</v>
      </c>
      <c r="B80" s="346" t="s">
        <v>282</v>
      </c>
      <c r="C80" s="503">
        <v>439</v>
      </c>
      <c r="D80" s="503"/>
      <c r="E80" s="503">
        <v>4</v>
      </c>
      <c r="F80" s="503">
        <v>29</v>
      </c>
      <c r="G80" s="503">
        <v>373</v>
      </c>
      <c r="H80" s="503"/>
      <c r="I80" s="503">
        <v>22</v>
      </c>
      <c r="J80" s="503">
        <v>23</v>
      </c>
      <c r="K80" s="503">
        <v>237</v>
      </c>
      <c r="L80" s="503"/>
      <c r="M80" s="503">
        <v>14</v>
      </c>
      <c r="N80" s="503">
        <v>74</v>
      </c>
    </row>
    <row r="81" spans="1:14" x14ac:dyDescent="0.25">
      <c r="A81" s="849" t="s">
        <v>284</v>
      </c>
      <c r="B81" s="850"/>
      <c r="C81" s="850"/>
      <c r="D81" s="850"/>
      <c r="E81" s="850"/>
      <c r="F81" s="850"/>
      <c r="G81" s="850"/>
      <c r="H81" s="850"/>
      <c r="I81" s="850"/>
      <c r="J81" s="850"/>
      <c r="K81" s="850"/>
      <c r="L81" s="850"/>
      <c r="M81" s="850"/>
      <c r="N81" s="851"/>
    </row>
    <row r="82" spans="1:14" ht="30" x14ac:dyDescent="0.25">
      <c r="A82" s="345" t="s">
        <v>261</v>
      </c>
      <c r="B82" s="346" t="s">
        <v>285</v>
      </c>
      <c r="C82" s="503">
        <v>9</v>
      </c>
      <c r="D82" s="503"/>
      <c r="E82" s="503">
        <v>11</v>
      </c>
      <c r="F82" s="503">
        <v>29</v>
      </c>
      <c r="G82" s="503">
        <v>49</v>
      </c>
      <c r="H82" s="503"/>
      <c r="I82" s="503">
        <v>27</v>
      </c>
      <c r="J82" s="503">
        <v>42</v>
      </c>
      <c r="K82" s="503">
        <v>78</v>
      </c>
      <c r="L82" s="503"/>
      <c r="M82" s="503">
        <v>17</v>
      </c>
      <c r="N82" s="503">
        <v>27</v>
      </c>
    </row>
    <row r="83" spans="1:14" x14ac:dyDescent="0.25">
      <c r="A83" s="849" t="s">
        <v>286</v>
      </c>
      <c r="B83" s="850"/>
      <c r="C83" s="850"/>
      <c r="D83" s="850"/>
      <c r="E83" s="850"/>
      <c r="F83" s="850"/>
      <c r="G83" s="850"/>
      <c r="H83" s="850"/>
      <c r="I83" s="850"/>
      <c r="J83" s="850"/>
      <c r="K83" s="850"/>
      <c r="L83" s="850"/>
      <c r="M83" s="850"/>
      <c r="N83" s="851"/>
    </row>
    <row r="84" spans="1:14" ht="30" x14ac:dyDescent="0.25">
      <c r="A84" s="345" t="s">
        <v>262</v>
      </c>
      <c r="B84" s="346" t="s">
        <v>287</v>
      </c>
      <c r="C84" s="503">
        <v>200</v>
      </c>
      <c r="D84" s="503"/>
      <c r="E84" s="503">
        <v>8</v>
      </c>
      <c r="F84" s="503">
        <v>16</v>
      </c>
      <c r="G84" s="503">
        <v>76</v>
      </c>
      <c r="H84" s="503"/>
      <c r="I84" s="503">
        <v>26</v>
      </c>
      <c r="J84" s="503">
        <v>4</v>
      </c>
      <c r="K84" s="503">
        <v>235</v>
      </c>
      <c r="L84" s="503"/>
      <c r="M84" s="503">
        <v>13</v>
      </c>
      <c r="N84" s="503">
        <v>10</v>
      </c>
    </row>
    <row r="85" spans="1:14" x14ac:dyDescent="0.25">
      <c r="A85" s="849" t="s">
        <v>288</v>
      </c>
      <c r="B85" s="850"/>
      <c r="C85" s="850"/>
      <c r="D85" s="850"/>
      <c r="E85" s="850"/>
      <c r="F85" s="850"/>
      <c r="G85" s="850"/>
      <c r="H85" s="850"/>
      <c r="I85" s="850"/>
      <c r="J85" s="850"/>
      <c r="K85" s="850"/>
      <c r="L85" s="850"/>
      <c r="M85" s="850"/>
      <c r="N85" s="851"/>
    </row>
    <row r="86" spans="1:14" ht="40" x14ac:dyDescent="0.25">
      <c r="A86" s="345" t="s">
        <v>252</v>
      </c>
      <c r="B86" s="346" t="s">
        <v>295</v>
      </c>
      <c r="C86" s="503">
        <v>16</v>
      </c>
      <c r="D86" s="503">
        <v>239</v>
      </c>
      <c r="E86" s="503">
        <v>9</v>
      </c>
      <c r="F86" s="503">
        <v>13</v>
      </c>
      <c r="G86" s="503">
        <v>37</v>
      </c>
      <c r="H86" s="503">
        <v>254</v>
      </c>
      <c r="I86" s="503">
        <v>14</v>
      </c>
      <c r="J86" s="503">
        <v>5</v>
      </c>
      <c r="K86" s="349">
        <v>103</v>
      </c>
      <c r="L86" s="349">
        <v>161</v>
      </c>
      <c r="M86" s="348">
        <v>22</v>
      </c>
      <c r="N86" s="348">
        <v>11</v>
      </c>
    </row>
    <row r="87" spans="1:14" ht="40" x14ac:dyDescent="0.25">
      <c r="A87" s="345" t="s">
        <v>250</v>
      </c>
      <c r="B87" s="346" t="s">
        <v>289</v>
      </c>
      <c r="C87" s="503">
        <v>2</v>
      </c>
      <c r="D87" s="503">
        <v>192</v>
      </c>
      <c r="E87" s="503">
        <v>9</v>
      </c>
      <c r="F87" s="503">
        <v>5</v>
      </c>
      <c r="G87" s="503">
        <v>9</v>
      </c>
      <c r="H87" s="503">
        <v>214</v>
      </c>
      <c r="I87" s="503">
        <v>11</v>
      </c>
      <c r="J87" s="503">
        <v>3</v>
      </c>
      <c r="K87" s="503">
        <v>37</v>
      </c>
      <c r="L87" s="503">
        <v>97</v>
      </c>
      <c r="M87" s="503">
        <v>35</v>
      </c>
      <c r="N87" s="503">
        <v>7</v>
      </c>
    </row>
    <row r="88" spans="1:14" ht="30" x14ac:dyDescent="0.25">
      <c r="A88" s="345" t="s">
        <v>290</v>
      </c>
      <c r="B88" s="346" t="s">
        <v>291</v>
      </c>
      <c r="C88" s="350">
        <v>92</v>
      </c>
      <c r="D88" s="503">
        <v>198</v>
      </c>
      <c r="E88" s="503">
        <v>11</v>
      </c>
      <c r="F88" s="503">
        <v>5</v>
      </c>
      <c r="G88" s="503">
        <v>98</v>
      </c>
      <c r="H88" s="503">
        <v>199</v>
      </c>
      <c r="I88" s="503">
        <v>12</v>
      </c>
      <c r="J88" s="503">
        <v>5</v>
      </c>
      <c r="K88" s="503">
        <v>103</v>
      </c>
      <c r="L88" s="503">
        <v>197</v>
      </c>
      <c r="M88" s="503">
        <v>14</v>
      </c>
      <c r="N88" s="503">
        <v>6</v>
      </c>
    </row>
    <row r="89" spans="1:14" x14ac:dyDescent="0.25">
      <c r="A89" s="841" t="s">
        <v>518</v>
      </c>
      <c r="B89" s="841"/>
      <c r="C89" s="841"/>
      <c r="D89" s="841"/>
      <c r="E89" s="841"/>
      <c r="F89" s="841"/>
      <c r="G89" s="841"/>
      <c r="H89" s="841"/>
      <c r="I89" s="841"/>
      <c r="J89" s="841"/>
      <c r="K89" s="841"/>
      <c r="L89" s="841"/>
      <c r="M89" s="841"/>
      <c r="N89" s="841"/>
    </row>
    <row r="90" spans="1:14" x14ac:dyDescent="0.25">
      <c r="A90" s="342" t="s">
        <v>519</v>
      </c>
      <c r="B90" s="347" t="s">
        <v>521</v>
      </c>
      <c r="C90" s="351">
        <v>157</v>
      </c>
      <c r="D90" s="352"/>
      <c r="E90" s="344">
        <v>2</v>
      </c>
      <c r="F90" s="353">
        <v>11</v>
      </c>
      <c r="G90" s="343">
        <v>97</v>
      </c>
      <c r="H90" s="344"/>
      <c r="I90" s="344">
        <v>34</v>
      </c>
      <c r="J90" s="344">
        <v>1</v>
      </c>
      <c r="K90" s="344">
        <v>176</v>
      </c>
      <c r="L90" s="344"/>
      <c r="M90" s="344">
        <v>31</v>
      </c>
      <c r="N90" s="344">
        <v>7</v>
      </c>
    </row>
    <row r="91" spans="1:14" x14ac:dyDescent="0.25">
      <c r="A91" s="342" t="s">
        <v>520</v>
      </c>
      <c r="B91" s="347" t="s">
        <v>522</v>
      </c>
      <c r="C91" s="351">
        <v>163</v>
      </c>
      <c r="D91" s="344"/>
      <c r="E91" s="344">
        <v>42</v>
      </c>
      <c r="F91" s="344">
        <v>12</v>
      </c>
      <c r="G91" s="343">
        <v>107</v>
      </c>
      <c r="H91" s="344"/>
      <c r="I91" s="344">
        <v>31</v>
      </c>
      <c r="J91" s="344">
        <v>5</v>
      </c>
      <c r="K91" s="344">
        <v>171</v>
      </c>
      <c r="L91" s="344"/>
      <c r="M91" s="344">
        <v>31</v>
      </c>
      <c r="N91" s="344">
        <v>9</v>
      </c>
    </row>
  </sheetData>
  <mergeCells count="15">
    <mergeCell ref="D2:G2"/>
    <mergeCell ref="A61:A62"/>
    <mergeCell ref="B61:B62"/>
    <mergeCell ref="C61:F61"/>
    <mergeCell ref="G61:J61"/>
    <mergeCell ref="K61:N61"/>
    <mergeCell ref="A81:N81"/>
    <mergeCell ref="A83:N83"/>
    <mergeCell ref="A85:N85"/>
    <mergeCell ref="A89:N89"/>
    <mergeCell ref="A63:N63"/>
    <mergeCell ref="A66:N66"/>
    <mergeCell ref="A69:N69"/>
    <mergeCell ref="A76:N76"/>
    <mergeCell ref="A78:N78"/>
  </mergeCell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22"/>
  <sheetViews>
    <sheetView topLeftCell="A12" workbookViewId="0">
      <selection activeCell="A16" sqref="A16:F22"/>
    </sheetView>
  </sheetViews>
  <sheetFormatPr defaultColWidth="8.90625" defaultRowHeight="13" x14ac:dyDescent="0.3"/>
  <cols>
    <col min="1" max="1" width="11.54296875" style="323" bestFit="1" customWidth="1"/>
    <col min="2" max="2" width="26.6328125" style="323" customWidth="1"/>
    <col min="3" max="3" width="16.36328125" style="323" customWidth="1"/>
    <col min="4" max="4" width="12.6328125" style="323" customWidth="1"/>
    <col min="5" max="5" width="15.54296875" style="323" customWidth="1"/>
    <col min="6" max="16384" width="8.90625" style="323"/>
  </cols>
  <sheetData>
    <row r="1" spans="1:6" ht="52" x14ac:dyDescent="0.3">
      <c r="A1" s="328" t="s">
        <v>494</v>
      </c>
      <c r="B1" s="328" t="s">
        <v>495</v>
      </c>
      <c r="C1" s="328" t="s">
        <v>496</v>
      </c>
      <c r="D1" s="328" t="s">
        <v>497</v>
      </c>
      <c r="E1" s="328" t="s">
        <v>498</v>
      </c>
      <c r="F1" s="328" t="s">
        <v>499</v>
      </c>
    </row>
    <row r="2" spans="1:6" ht="52" x14ac:dyDescent="0.3">
      <c r="A2" s="326" t="s">
        <v>492</v>
      </c>
      <c r="B2" s="325" t="s">
        <v>493</v>
      </c>
      <c r="C2" s="327" t="s">
        <v>503</v>
      </c>
      <c r="D2" s="325"/>
      <c r="E2" s="325" t="s">
        <v>500</v>
      </c>
      <c r="F2" s="327" t="s">
        <v>504</v>
      </c>
    </row>
    <row r="3" spans="1:6" x14ac:dyDescent="0.3">
      <c r="A3" s="326" t="s">
        <v>501</v>
      </c>
      <c r="B3" s="325" t="s">
        <v>502</v>
      </c>
      <c r="C3" s="325" t="s">
        <v>503</v>
      </c>
      <c r="D3" s="329" t="s">
        <v>505</v>
      </c>
      <c r="E3" s="325" t="s">
        <v>506</v>
      </c>
      <c r="F3" s="325" t="s">
        <v>507</v>
      </c>
    </row>
    <row r="4" spans="1:6" ht="39" x14ac:dyDescent="0.3">
      <c r="A4" s="326" t="s">
        <v>508</v>
      </c>
      <c r="B4" s="325" t="s">
        <v>415</v>
      </c>
      <c r="C4" s="327" t="s">
        <v>503</v>
      </c>
      <c r="D4" s="325"/>
      <c r="E4" s="325" t="s">
        <v>509</v>
      </c>
      <c r="F4" s="327" t="s">
        <v>507</v>
      </c>
    </row>
    <row r="5" spans="1:6" ht="39" x14ac:dyDescent="0.3">
      <c r="A5" s="326" t="s">
        <v>510</v>
      </c>
      <c r="B5" s="325" t="s">
        <v>511</v>
      </c>
      <c r="C5" s="325" t="s">
        <v>512</v>
      </c>
      <c r="D5" s="325"/>
      <c r="E5" s="325" t="s">
        <v>513</v>
      </c>
      <c r="F5" s="325" t="s">
        <v>507</v>
      </c>
    </row>
    <row r="6" spans="1:6" ht="40.25" customHeight="1" x14ac:dyDescent="0.3">
      <c r="A6" s="326" t="s">
        <v>514</v>
      </c>
      <c r="B6" s="325" t="s">
        <v>515</v>
      </c>
      <c r="C6" s="325" t="s">
        <v>516</v>
      </c>
      <c r="D6" s="325"/>
      <c r="E6" s="325" t="s">
        <v>517</v>
      </c>
      <c r="F6" s="325" t="s">
        <v>504</v>
      </c>
    </row>
    <row r="7" spans="1:6" x14ac:dyDescent="0.3">
      <c r="B7" s="324"/>
    </row>
    <row r="8" spans="1:6" x14ac:dyDescent="0.3">
      <c r="B8" s="324"/>
    </row>
    <row r="9" spans="1:6" x14ac:dyDescent="0.3">
      <c r="A9" s="328" t="s">
        <v>494</v>
      </c>
      <c r="B9" s="328" t="s">
        <v>495</v>
      </c>
      <c r="C9" s="328" t="s">
        <v>496</v>
      </c>
      <c r="D9" s="915" t="s">
        <v>564</v>
      </c>
      <c r="E9" s="915"/>
      <c r="F9" s="915"/>
    </row>
    <row r="10" spans="1:6" ht="124.25" customHeight="1" x14ac:dyDescent="0.3">
      <c r="A10" s="326" t="s">
        <v>492</v>
      </c>
      <c r="B10" s="325" t="s">
        <v>493</v>
      </c>
      <c r="C10" s="327" t="s">
        <v>503</v>
      </c>
      <c r="D10" s="911" t="s">
        <v>565</v>
      </c>
      <c r="E10" s="912"/>
      <c r="F10" s="913"/>
    </row>
    <row r="11" spans="1:6" ht="59.4" customHeight="1" x14ac:dyDescent="0.3">
      <c r="A11" s="326" t="s">
        <v>501</v>
      </c>
      <c r="B11" s="325" t="s">
        <v>502</v>
      </c>
      <c r="C11" s="325" t="s">
        <v>503</v>
      </c>
      <c r="D11" s="911" t="s">
        <v>566</v>
      </c>
      <c r="E11" s="912"/>
      <c r="F11" s="913"/>
    </row>
    <row r="12" spans="1:6" ht="159" customHeight="1" x14ac:dyDescent="0.3">
      <c r="A12" s="326" t="s">
        <v>508</v>
      </c>
      <c r="B12" s="325" t="s">
        <v>415</v>
      </c>
      <c r="C12" s="327" t="s">
        <v>503</v>
      </c>
      <c r="D12" s="914" t="s">
        <v>567</v>
      </c>
      <c r="E12" s="914"/>
      <c r="F12" s="914"/>
    </row>
    <row r="13" spans="1:6" ht="26" x14ac:dyDescent="0.3">
      <c r="A13" s="326" t="s">
        <v>510</v>
      </c>
      <c r="B13" s="325" t="s">
        <v>511</v>
      </c>
      <c r="C13" s="325" t="s">
        <v>512</v>
      </c>
      <c r="D13" s="911" t="s">
        <v>568</v>
      </c>
      <c r="E13" s="912"/>
      <c r="F13" s="913"/>
    </row>
    <row r="14" spans="1:6" ht="39" x14ac:dyDescent="0.3">
      <c r="A14" s="326" t="s">
        <v>514</v>
      </c>
      <c r="B14" s="325" t="s">
        <v>515</v>
      </c>
      <c r="C14" s="325" t="s">
        <v>516</v>
      </c>
      <c r="D14" s="911" t="s">
        <v>569</v>
      </c>
      <c r="E14" s="912"/>
      <c r="F14" s="913"/>
    </row>
    <row r="16" spans="1:6" ht="52" x14ac:dyDescent="0.3">
      <c r="A16" s="328" t="s">
        <v>494</v>
      </c>
      <c r="B16" s="328" t="s">
        <v>495</v>
      </c>
      <c r="C16" s="328" t="s">
        <v>496</v>
      </c>
      <c r="D16" s="328" t="s">
        <v>497</v>
      </c>
      <c r="E16" s="328" t="s">
        <v>498</v>
      </c>
      <c r="F16" s="328" t="s">
        <v>499</v>
      </c>
    </row>
    <row r="17" spans="1:6" ht="52" x14ac:dyDescent="0.3">
      <c r="A17" s="326" t="s">
        <v>492</v>
      </c>
      <c r="B17" s="325" t="s">
        <v>493</v>
      </c>
      <c r="C17" s="666" t="s">
        <v>1076</v>
      </c>
      <c r="D17" s="325"/>
      <c r="E17" s="666" t="s">
        <v>1077</v>
      </c>
      <c r="F17" s="666" t="s">
        <v>507</v>
      </c>
    </row>
    <row r="18" spans="1:6" x14ac:dyDescent="0.3">
      <c r="A18" s="326" t="s">
        <v>501</v>
      </c>
      <c r="B18" s="325" t="s">
        <v>502</v>
      </c>
      <c r="C18" s="325" t="s">
        <v>503</v>
      </c>
      <c r="D18" s="329"/>
      <c r="E18" s="325" t="s">
        <v>506</v>
      </c>
      <c r="F18" s="325" t="s">
        <v>507</v>
      </c>
    </row>
    <row r="19" spans="1:6" ht="39" x14ac:dyDescent="0.3">
      <c r="A19" s="326" t="s">
        <v>508</v>
      </c>
      <c r="B19" s="325" t="s">
        <v>415</v>
      </c>
      <c r="C19" s="666" t="s">
        <v>503</v>
      </c>
      <c r="D19" s="666" t="s">
        <v>1078</v>
      </c>
      <c r="E19" s="325"/>
      <c r="F19" s="327"/>
    </row>
    <row r="20" spans="1:6" ht="39" x14ac:dyDescent="0.3">
      <c r="A20" s="326" t="s">
        <v>508</v>
      </c>
      <c r="B20" s="666" t="s">
        <v>415</v>
      </c>
      <c r="C20" s="666" t="s">
        <v>1079</v>
      </c>
      <c r="D20" s="666"/>
      <c r="E20" s="666" t="s">
        <v>622</v>
      </c>
      <c r="F20" s="327" t="s">
        <v>507</v>
      </c>
    </row>
    <row r="21" spans="1:6" ht="26" x14ac:dyDescent="0.3">
      <c r="A21" s="326" t="s">
        <v>510</v>
      </c>
      <c r="B21" s="325" t="s">
        <v>511</v>
      </c>
      <c r="C21" s="325" t="s">
        <v>512</v>
      </c>
      <c r="D21" s="666" t="s">
        <v>1078</v>
      </c>
      <c r="E21" s="666" t="s">
        <v>1080</v>
      </c>
      <c r="F21" s="325" t="s">
        <v>507</v>
      </c>
    </row>
    <row r="22" spans="1:6" ht="39" x14ac:dyDescent="0.3">
      <c r="A22" s="326" t="s">
        <v>514</v>
      </c>
      <c r="B22" s="325" t="s">
        <v>515</v>
      </c>
      <c r="C22" s="325" t="s">
        <v>516</v>
      </c>
      <c r="D22" s="325"/>
      <c r="E22" s="325" t="s">
        <v>517</v>
      </c>
      <c r="F22" s="325" t="s">
        <v>504</v>
      </c>
    </row>
  </sheetData>
  <mergeCells count="6">
    <mergeCell ref="D14:F14"/>
    <mergeCell ref="D12:F12"/>
    <mergeCell ref="D9:F9"/>
    <mergeCell ref="D10:F10"/>
    <mergeCell ref="D11:F11"/>
    <mergeCell ref="D13:F13"/>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L135"/>
  <sheetViews>
    <sheetView topLeftCell="A37" zoomScaleNormal="100" workbookViewId="0">
      <selection activeCell="A56" sqref="A56:H108"/>
    </sheetView>
  </sheetViews>
  <sheetFormatPr defaultColWidth="9.08984375" defaultRowHeight="14.25" customHeight="1" x14ac:dyDescent="0.25"/>
  <cols>
    <col min="1" max="1" width="17.90625" style="19" customWidth="1"/>
    <col min="2" max="2" width="10.08984375" style="19" bestFit="1" customWidth="1"/>
    <col min="3" max="3" width="7.08984375" style="19" customWidth="1"/>
    <col min="4" max="4" width="10.453125" style="19" customWidth="1"/>
    <col min="5" max="5" width="7" style="19" customWidth="1"/>
    <col min="6" max="6" width="7.6328125" style="19" customWidth="1"/>
    <col min="7" max="7" width="10.453125" style="19" customWidth="1"/>
    <col min="8" max="8" width="10" style="19" customWidth="1"/>
    <col min="9" max="9" width="18.453125" style="19" customWidth="1"/>
    <col min="10" max="18" width="9.08984375" style="19"/>
    <col min="19" max="19" width="11" style="19" bestFit="1" customWidth="1"/>
    <col min="20" max="23" width="9.08984375" style="19"/>
    <col min="24" max="24" width="8.08984375" style="19" bestFit="1" customWidth="1"/>
    <col min="25" max="25" width="8.36328125" style="19" bestFit="1" customWidth="1"/>
    <col min="26" max="26" width="9" style="19" customWidth="1"/>
    <col min="27" max="27" width="11" style="19" bestFit="1" customWidth="1"/>
    <col min="28" max="34" width="9.08984375" style="19"/>
    <col min="35" max="35" width="53.90625" style="19" bestFit="1" customWidth="1"/>
    <col min="36" max="16384" width="9.08984375" style="19"/>
  </cols>
  <sheetData>
    <row r="1" spans="1:38" ht="14.25" customHeight="1" x14ac:dyDescent="0.3">
      <c r="A1" s="791" t="s">
        <v>1157</v>
      </c>
      <c r="B1" s="791"/>
      <c r="C1" s="791"/>
      <c r="D1" s="791"/>
      <c r="E1" s="791"/>
      <c r="F1" s="791"/>
      <c r="L1" s="323" t="s">
        <v>541</v>
      </c>
      <c r="M1" s="323" t="s">
        <v>542</v>
      </c>
      <c r="N1" s="323"/>
      <c r="O1" s="323"/>
      <c r="P1" s="323"/>
      <c r="Q1" s="323"/>
      <c r="R1" s="323"/>
      <c r="S1" s="323"/>
      <c r="T1" s="323"/>
      <c r="U1" s="323"/>
      <c r="Y1" s="323" t="s">
        <v>541</v>
      </c>
      <c r="Z1" s="323" t="s">
        <v>542</v>
      </c>
      <c r="AA1" s="323"/>
      <c r="AB1" s="323"/>
      <c r="AC1" s="323"/>
      <c r="AD1" s="323"/>
      <c r="AE1" s="323"/>
      <c r="AF1" s="323"/>
      <c r="AG1" s="323"/>
      <c r="AH1" s="98"/>
      <c r="AI1" s="98"/>
      <c r="AJ1" s="98" t="s">
        <v>30</v>
      </c>
      <c r="AK1" s="98" t="s">
        <v>762</v>
      </c>
      <c r="AL1" s="98" t="s">
        <v>763</v>
      </c>
    </row>
    <row r="2" spans="1:38" ht="14.25" customHeight="1" x14ac:dyDescent="0.35">
      <c r="A2" s="1" t="s">
        <v>151</v>
      </c>
      <c r="B2" s="628">
        <v>41296</v>
      </c>
      <c r="L2" s="323" t="s">
        <v>543</v>
      </c>
      <c r="M2" s="323" t="s">
        <v>544</v>
      </c>
      <c r="N2" s="323"/>
      <c r="O2" s="323"/>
      <c r="P2" s="323"/>
      <c r="Q2" s="323"/>
      <c r="R2" s="323"/>
      <c r="S2" s="323"/>
      <c r="T2" s="323"/>
      <c r="U2" s="323"/>
      <c r="Y2" s="323" t="s">
        <v>543</v>
      </c>
      <c r="Z2" s="323" t="s">
        <v>544</v>
      </c>
      <c r="AA2" s="323"/>
      <c r="AB2" s="323"/>
      <c r="AC2" s="323"/>
      <c r="AD2" s="323"/>
      <c r="AE2" s="323"/>
      <c r="AF2" s="323"/>
      <c r="AG2" s="323"/>
      <c r="AH2" s="184" t="s">
        <v>250</v>
      </c>
      <c r="AI2" s="184" t="s">
        <v>473</v>
      </c>
      <c r="AJ2" s="400" t="s">
        <v>598</v>
      </c>
      <c r="AK2" s="400" t="s">
        <v>598</v>
      </c>
      <c r="AL2" s="400"/>
    </row>
    <row r="3" spans="1:38" ht="14.25" customHeight="1" x14ac:dyDescent="0.35">
      <c r="A3" s="107" t="s">
        <v>11</v>
      </c>
      <c r="B3" s="107" t="s">
        <v>153</v>
      </c>
      <c r="C3" s="107" t="s">
        <v>154</v>
      </c>
      <c r="D3" s="107" t="s">
        <v>155</v>
      </c>
      <c r="E3" s="107" t="s">
        <v>156</v>
      </c>
      <c r="F3" s="107" t="s">
        <v>157</v>
      </c>
      <c r="L3" s="323" t="s">
        <v>6</v>
      </c>
      <c r="M3" s="323" t="s">
        <v>544</v>
      </c>
      <c r="N3" s="323"/>
      <c r="O3" s="323"/>
      <c r="P3" s="323"/>
      <c r="Q3" s="323"/>
      <c r="R3" s="323"/>
      <c r="S3" s="323"/>
      <c r="T3" s="323"/>
      <c r="U3" s="323"/>
      <c r="Y3" s="323" t="s">
        <v>6</v>
      </c>
      <c r="Z3" s="323" t="s">
        <v>544</v>
      </c>
      <c r="AA3" s="323"/>
      <c r="AB3" s="323"/>
      <c r="AC3" s="323"/>
      <c r="AD3" s="323"/>
      <c r="AE3" s="323"/>
      <c r="AF3" s="323"/>
      <c r="AG3" s="323"/>
      <c r="AH3" s="184" t="s">
        <v>252</v>
      </c>
      <c r="AI3" s="184" t="s">
        <v>754</v>
      </c>
      <c r="AJ3" s="400"/>
      <c r="AK3" s="400" t="s">
        <v>598</v>
      </c>
      <c r="AL3" s="400"/>
    </row>
    <row r="4" spans="1:38" ht="14.25" customHeight="1" x14ac:dyDescent="0.35">
      <c r="A4" s="64" t="s">
        <v>195</v>
      </c>
      <c r="B4" s="118"/>
      <c r="C4" s="435"/>
      <c r="D4" s="435"/>
      <c r="E4" s="435"/>
      <c r="F4" s="435"/>
      <c r="G4" s="220"/>
      <c r="L4" s="323" t="s">
        <v>151</v>
      </c>
      <c r="M4" s="379">
        <v>41158</v>
      </c>
      <c r="N4" s="323"/>
      <c r="O4" s="323"/>
      <c r="P4" s="323"/>
      <c r="Q4" s="323"/>
      <c r="R4" s="323"/>
      <c r="S4" s="323"/>
      <c r="T4" s="323"/>
      <c r="U4" s="323"/>
      <c r="Y4" s="323" t="s">
        <v>151</v>
      </c>
      <c r="Z4" s="379">
        <v>41158</v>
      </c>
      <c r="AA4" s="323"/>
      <c r="AB4" s="323"/>
      <c r="AC4" s="323"/>
      <c r="AD4" s="323"/>
      <c r="AE4" s="323"/>
      <c r="AF4" s="323"/>
      <c r="AG4" s="323"/>
      <c r="AH4" s="184" t="s">
        <v>759</v>
      </c>
      <c r="AI4" s="184" t="s">
        <v>755</v>
      </c>
      <c r="AJ4" s="400" t="s">
        <v>598</v>
      </c>
      <c r="AK4" s="400" t="s">
        <v>598</v>
      </c>
      <c r="AL4" s="400"/>
    </row>
    <row r="5" spans="1:38" ht="14.25" customHeight="1" x14ac:dyDescent="0.35">
      <c r="A5" s="64" t="s">
        <v>196</v>
      </c>
      <c r="B5" s="118"/>
      <c r="C5" s="435"/>
      <c r="D5" s="435"/>
      <c r="E5" s="435"/>
      <c r="F5" s="435"/>
      <c r="G5" s="220"/>
      <c r="L5" s="438" t="s">
        <v>532</v>
      </c>
      <c r="M5" s="438" t="s">
        <v>533</v>
      </c>
      <c r="N5" s="438"/>
      <c r="O5" s="916" t="s">
        <v>550</v>
      </c>
      <c r="P5" s="917"/>
      <c r="Q5" s="918"/>
      <c r="R5" s="921" t="s">
        <v>553</v>
      </c>
      <c r="S5" s="921"/>
      <c r="T5" s="921"/>
      <c r="U5" s="916" t="s">
        <v>548</v>
      </c>
      <c r="V5" s="917"/>
      <c r="W5" s="918"/>
      <c r="Y5" s="921" t="s">
        <v>555</v>
      </c>
      <c r="Z5" s="921"/>
      <c r="AA5" s="921"/>
      <c r="AB5" s="916" t="s">
        <v>546</v>
      </c>
      <c r="AC5" s="917"/>
      <c r="AD5" s="918"/>
      <c r="AE5" s="921" t="s">
        <v>549</v>
      </c>
      <c r="AF5" s="921"/>
      <c r="AG5" s="921"/>
      <c r="AH5" s="184" t="s">
        <v>263</v>
      </c>
      <c r="AI5" s="184" t="s">
        <v>743</v>
      </c>
      <c r="AJ5" s="400"/>
      <c r="AK5" s="400" t="s">
        <v>598</v>
      </c>
      <c r="AL5" s="400"/>
    </row>
    <row r="6" spans="1:38" ht="14.25" customHeight="1" x14ac:dyDescent="0.35">
      <c r="A6" s="64" t="s">
        <v>197</v>
      </c>
      <c r="B6" s="118"/>
      <c r="C6" s="435"/>
      <c r="D6" s="435"/>
      <c r="E6" s="435"/>
      <c r="F6" s="435"/>
      <c r="G6" s="220"/>
      <c r="L6" s="361" t="s">
        <v>153</v>
      </c>
      <c r="M6" s="361"/>
      <c r="N6" s="361"/>
      <c r="O6" s="361" t="s">
        <v>153</v>
      </c>
      <c r="P6" s="361"/>
      <c r="Q6" s="361"/>
      <c r="R6" s="361" t="s">
        <v>153</v>
      </c>
      <c r="S6" s="361"/>
      <c r="T6" s="361"/>
      <c r="U6" s="361" t="s">
        <v>153</v>
      </c>
      <c r="V6" s="361"/>
      <c r="W6" s="439"/>
      <c r="Y6" s="361" t="s">
        <v>153</v>
      </c>
      <c r="Z6" s="361"/>
      <c r="AA6" s="361"/>
      <c r="AB6" s="361" t="s">
        <v>153</v>
      </c>
      <c r="AC6" s="361"/>
      <c r="AD6" s="361"/>
      <c r="AE6" s="361" t="s">
        <v>153</v>
      </c>
      <c r="AF6" s="361"/>
      <c r="AG6" s="361"/>
      <c r="AH6" s="184" t="s">
        <v>741</v>
      </c>
      <c r="AI6" s="184" t="s">
        <v>742</v>
      </c>
      <c r="AJ6" s="400" t="s">
        <v>598</v>
      </c>
      <c r="AK6" s="400" t="s">
        <v>598</v>
      </c>
      <c r="AL6" s="400"/>
    </row>
    <row r="7" spans="1:38" ht="14.25" customHeight="1" x14ac:dyDescent="0.35">
      <c r="A7" s="64" t="s">
        <v>190</v>
      </c>
      <c r="B7" s="132" t="s">
        <v>198</v>
      </c>
      <c r="C7" s="208"/>
      <c r="D7" s="208"/>
      <c r="E7" s="208"/>
      <c r="F7" s="208"/>
      <c r="G7" s="107" t="s">
        <v>167</v>
      </c>
      <c r="H7" s="107" t="s">
        <v>177</v>
      </c>
      <c r="L7" s="361"/>
      <c r="M7" s="441" t="s">
        <v>171</v>
      </c>
      <c r="N7" s="442" t="s">
        <v>535</v>
      </c>
      <c r="O7" s="361" t="s">
        <v>539</v>
      </c>
      <c r="P7" s="361"/>
      <c r="Q7" s="361"/>
      <c r="R7" s="361" t="s">
        <v>539</v>
      </c>
      <c r="S7" s="361"/>
      <c r="T7" s="361"/>
      <c r="U7" s="361" t="s">
        <v>539</v>
      </c>
      <c r="V7" s="361"/>
      <c r="W7" s="361"/>
      <c r="Y7" s="361" t="s">
        <v>539</v>
      </c>
      <c r="Z7" s="361"/>
      <c r="AA7" s="361"/>
      <c r="AB7" s="361" t="s">
        <v>539</v>
      </c>
      <c r="AC7" s="361"/>
      <c r="AD7" s="361"/>
      <c r="AE7" s="361" t="s">
        <v>539</v>
      </c>
      <c r="AF7" s="361"/>
      <c r="AG7" s="361"/>
      <c r="AH7" s="184" t="s">
        <v>269</v>
      </c>
      <c r="AI7" s="184" t="s">
        <v>744</v>
      </c>
      <c r="AJ7" s="400" t="s">
        <v>598</v>
      </c>
      <c r="AK7" s="400" t="s">
        <v>598</v>
      </c>
      <c r="AL7" s="400"/>
    </row>
    <row r="8" spans="1:38" ht="14.25" customHeight="1" x14ac:dyDescent="0.3">
      <c r="A8" s="435" t="s">
        <v>453</v>
      </c>
      <c r="B8" s="98"/>
      <c r="C8" s="435"/>
      <c r="D8" s="435"/>
      <c r="E8" s="435"/>
      <c r="F8" s="435"/>
      <c r="G8" s="440"/>
      <c r="H8" s="306"/>
      <c r="L8" s="361" t="s">
        <v>536</v>
      </c>
      <c r="M8" s="361"/>
      <c r="N8" s="361"/>
      <c r="O8" s="361"/>
      <c r="P8" s="441" t="s">
        <v>171</v>
      </c>
      <c r="Q8" s="442" t="s">
        <v>535</v>
      </c>
      <c r="R8" s="361"/>
      <c r="S8" s="441" t="s">
        <v>171</v>
      </c>
      <c r="T8" s="442" t="s">
        <v>535</v>
      </c>
      <c r="U8" s="360" t="s">
        <v>547</v>
      </c>
      <c r="V8" s="361"/>
      <c r="W8" s="361"/>
      <c r="Y8" s="361" t="s">
        <v>534</v>
      </c>
      <c r="Z8" s="361"/>
      <c r="AA8" s="361"/>
      <c r="AB8" s="361" t="s">
        <v>534</v>
      </c>
      <c r="AC8" s="520"/>
      <c r="AD8" s="521"/>
      <c r="AE8" s="361" t="s">
        <v>534</v>
      </c>
      <c r="AF8" s="919"/>
      <c r="AG8" s="920"/>
      <c r="AH8" s="98" t="s">
        <v>761</v>
      </c>
      <c r="AI8" s="514" t="s">
        <v>745</v>
      </c>
      <c r="AJ8" s="400" t="s">
        <v>598</v>
      </c>
      <c r="AK8" s="515" t="s">
        <v>598</v>
      </c>
      <c r="AL8" s="515" t="s">
        <v>598</v>
      </c>
    </row>
    <row r="9" spans="1:38" ht="14.25" customHeight="1" x14ac:dyDescent="0.35">
      <c r="A9" s="435" t="s">
        <v>158</v>
      </c>
      <c r="B9" s="98"/>
      <c r="C9" s="435"/>
      <c r="D9" s="435"/>
      <c r="E9" s="435"/>
      <c r="F9" s="435"/>
      <c r="G9" s="220"/>
      <c r="L9" s="361" t="s">
        <v>537</v>
      </c>
      <c r="M9" s="361"/>
      <c r="N9" s="361"/>
      <c r="O9" s="361">
        <v>2</v>
      </c>
      <c r="P9" s="361"/>
      <c r="Q9" s="361"/>
      <c r="R9" s="361">
        <v>2</v>
      </c>
      <c r="S9" s="361"/>
      <c r="T9" s="361"/>
      <c r="U9" s="361"/>
      <c r="V9" s="441" t="s">
        <v>171</v>
      </c>
      <c r="W9" s="442" t="s">
        <v>535</v>
      </c>
      <c r="Y9" s="443" t="s">
        <v>157</v>
      </c>
      <c r="Z9" s="443"/>
      <c r="AA9" s="361"/>
      <c r="AB9" s="443" t="s">
        <v>157</v>
      </c>
      <c r="AC9" s="443"/>
      <c r="AD9" s="361"/>
      <c r="AE9" s="443" t="s">
        <v>157</v>
      </c>
      <c r="AF9" s="443"/>
      <c r="AG9" s="361"/>
      <c r="AH9" s="184" t="s">
        <v>187</v>
      </c>
      <c r="AI9" s="184" t="s">
        <v>746</v>
      </c>
      <c r="AJ9" s="400"/>
      <c r="AK9" s="515" t="s">
        <v>598</v>
      </c>
      <c r="AL9" s="400"/>
    </row>
    <row r="10" spans="1:38" ht="14.25" customHeight="1" x14ac:dyDescent="0.35">
      <c r="A10" s="435" t="s">
        <v>454</v>
      </c>
      <c r="B10" s="98"/>
      <c r="C10" s="435"/>
      <c r="D10" s="435"/>
      <c r="E10" s="435"/>
      <c r="F10" s="435"/>
      <c r="G10" s="220"/>
      <c r="L10" s="916" t="s">
        <v>538</v>
      </c>
      <c r="M10" s="917"/>
      <c r="N10" s="918"/>
      <c r="O10" s="361">
        <v>4</v>
      </c>
      <c r="P10" s="361"/>
      <c r="Q10" s="361"/>
      <c r="R10" s="361">
        <v>4</v>
      </c>
      <c r="S10" s="361"/>
      <c r="T10" s="361"/>
      <c r="U10" s="361">
        <v>2</v>
      </c>
      <c r="V10" s="361"/>
      <c r="W10" s="361"/>
      <c r="Y10" s="443" t="s">
        <v>156</v>
      </c>
      <c r="Z10" s="443"/>
      <c r="AA10" s="361"/>
      <c r="AB10" s="443" t="s">
        <v>156</v>
      </c>
      <c r="AC10" s="443"/>
      <c r="AD10" s="361"/>
      <c r="AE10" s="443" t="s">
        <v>156</v>
      </c>
      <c r="AF10" s="443"/>
      <c r="AG10" s="361"/>
      <c r="AH10" s="184" t="s">
        <v>256</v>
      </c>
      <c r="AI10" s="184" t="s">
        <v>747</v>
      </c>
      <c r="AJ10" s="400"/>
      <c r="AK10" s="515" t="s">
        <v>598</v>
      </c>
      <c r="AL10" s="400"/>
    </row>
    <row r="11" spans="1:38" ht="14.25" customHeight="1" x14ac:dyDescent="0.35">
      <c r="A11" s="435" t="s">
        <v>159</v>
      </c>
      <c r="B11" s="98"/>
      <c r="C11" s="435"/>
      <c r="D11" s="435"/>
      <c r="E11" s="435"/>
      <c r="F11" s="435"/>
      <c r="G11" s="220"/>
      <c r="L11" s="361" t="s">
        <v>153</v>
      </c>
      <c r="M11" s="361"/>
      <c r="N11" s="439"/>
      <c r="O11" s="361">
        <v>6</v>
      </c>
      <c r="P11" s="361"/>
      <c r="Q11" s="361"/>
      <c r="R11" s="361">
        <v>6</v>
      </c>
      <c r="S11" s="361"/>
      <c r="T11" s="361"/>
      <c r="U11" s="361">
        <v>4</v>
      </c>
      <c r="V11" s="361"/>
      <c r="W11" s="361"/>
      <c r="Y11" s="443" t="s">
        <v>155</v>
      </c>
      <c r="Z11" s="443"/>
      <c r="AA11" s="361"/>
      <c r="AB11" s="443" t="s">
        <v>155</v>
      </c>
      <c r="AC11" s="443"/>
      <c r="AD11" s="361"/>
      <c r="AE11" s="443" t="s">
        <v>155</v>
      </c>
      <c r="AF11" s="443"/>
      <c r="AG11" s="361"/>
      <c r="AH11" s="184" t="s">
        <v>257</v>
      </c>
      <c r="AI11" s="184" t="s">
        <v>748</v>
      </c>
      <c r="AJ11" s="400" t="s">
        <v>598</v>
      </c>
      <c r="AK11" s="515" t="s">
        <v>598</v>
      </c>
      <c r="AL11" s="400"/>
    </row>
    <row r="12" spans="1:38" ht="14.25" customHeight="1" x14ac:dyDescent="0.35">
      <c r="A12" s="435" t="s">
        <v>455</v>
      </c>
      <c r="B12" s="98"/>
      <c r="C12" s="435"/>
      <c r="D12" s="435"/>
      <c r="E12" s="435"/>
      <c r="F12" s="435"/>
      <c r="G12" s="220"/>
      <c r="L12" s="361" t="s">
        <v>539</v>
      </c>
      <c r="M12" s="361"/>
      <c r="N12" s="361"/>
      <c r="O12" s="361">
        <v>8</v>
      </c>
      <c r="P12" s="361"/>
      <c r="Q12" s="361"/>
      <c r="R12" s="361">
        <v>8</v>
      </c>
      <c r="S12" s="361"/>
      <c r="T12" s="361"/>
      <c r="U12" s="361">
        <v>6</v>
      </c>
      <c r="V12" s="361"/>
      <c r="W12" s="361"/>
      <c r="Y12" s="443" t="s">
        <v>154</v>
      </c>
      <c r="Z12" s="443"/>
      <c r="AA12" s="361"/>
      <c r="AB12" s="443" t="s">
        <v>154</v>
      </c>
      <c r="AC12" s="443"/>
      <c r="AD12" s="361"/>
      <c r="AE12" s="443" t="s">
        <v>154</v>
      </c>
      <c r="AF12" s="443"/>
      <c r="AG12" s="361"/>
      <c r="AH12" s="184" t="s">
        <v>756</v>
      </c>
      <c r="AI12" s="184" t="s">
        <v>757</v>
      </c>
      <c r="AJ12" s="400"/>
      <c r="AK12" s="515" t="s">
        <v>598</v>
      </c>
      <c r="AL12" s="515" t="s">
        <v>598</v>
      </c>
    </row>
    <row r="13" spans="1:38" ht="14.25" customHeight="1" x14ac:dyDescent="0.35">
      <c r="A13" s="435" t="s">
        <v>160</v>
      </c>
      <c r="B13" s="98"/>
      <c r="C13" s="435"/>
      <c r="D13" s="435"/>
      <c r="E13" s="435"/>
      <c r="F13" s="435"/>
      <c r="G13" s="220"/>
      <c r="L13" s="361"/>
      <c r="M13" s="441" t="s">
        <v>171</v>
      </c>
      <c r="N13" s="442" t="s">
        <v>535</v>
      </c>
      <c r="O13" s="361">
        <v>10</v>
      </c>
      <c r="P13" s="361"/>
      <c r="Q13" s="361"/>
      <c r="R13" s="361">
        <v>10</v>
      </c>
      <c r="S13" s="361"/>
      <c r="T13" s="361"/>
      <c r="U13" s="916" t="s">
        <v>549</v>
      </c>
      <c r="V13" s="917"/>
      <c r="W13" s="918"/>
      <c r="Y13" s="921" t="s">
        <v>554</v>
      </c>
      <c r="Z13" s="921"/>
      <c r="AA13" s="921"/>
      <c r="AB13" s="916" t="s">
        <v>740</v>
      </c>
      <c r="AC13" s="917"/>
      <c r="AD13" s="918"/>
      <c r="AE13" s="916" t="s">
        <v>548</v>
      </c>
      <c r="AF13" s="917"/>
      <c r="AG13" s="918"/>
      <c r="AH13" s="184" t="s">
        <v>258</v>
      </c>
      <c r="AI13" s="184" t="s">
        <v>749</v>
      </c>
      <c r="AJ13" s="400"/>
      <c r="AK13" s="515" t="s">
        <v>598</v>
      </c>
      <c r="AL13" s="400"/>
    </row>
    <row r="14" spans="1:38" ht="14.25" customHeight="1" x14ac:dyDescent="0.35">
      <c r="A14" s="435" t="s">
        <v>456</v>
      </c>
      <c r="B14" s="98"/>
      <c r="C14" s="435"/>
      <c r="D14" s="435"/>
      <c r="E14" s="435"/>
      <c r="F14" s="435"/>
      <c r="G14" s="220"/>
      <c r="L14" s="361">
        <v>2</v>
      </c>
      <c r="M14" s="361"/>
      <c r="N14" s="361"/>
      <c r="O14" s="361">
        <v>12</v>
      </c>
      <c r="P14" s="361"/>
      <c r="Q14" s="361"/>
      <c r="R14" s="361">
        <v>12</v>
      </c>
      <c r="S14" s="361"/>
      <c r="T14" s="361"/>
      <c r="U14" s="361" t="s">
        <v>153</v>
      </c>
      <c r="V14" s="361"/>
      <c r="W14" s="361"/>
      <c r="Y14" s="361" t="s">
        <v>153</v>
      </c>
      <c r="Z14" s="361"/>
      <c r="AA14" s="361"/>
      <c r="AB14" s="361" t="s">
        <v>153</v>
      </c>
      <c r="AC14" s="361"/>
      <c r="AD14" s="439"/>
      <c r="AE14" s="361" t="s">
        <v>153</v>
      </c>
      <c r="AF14" s="361"/>
      <c r="AG14" s="439"/>
      <c r="AH14" s="184" t="s">
        <v>259</v>
      </c>
      <c r="AI14" s="184" t="s">
        <v>750</v>
      </c>
      <c r="AJ14" s="400"/>
      <c r="AK14" s="515" t="s">
        <v>598</v>
      </c>
      <c r="AL14" s="400"/>
    </row>
    <row r="15" spans="1:38" ht="14.25" customHeight="1" x14ac:dyDescent="0.35">
      <c r="A15" s="435" t="s">
        <v>161</v>
      </c>
      <c r="B15" s="98"/>
      <c r="C15" s="435"/>
      <c r="D15" s="435"/>
      <c r="E15" s="435"/>
      <c r="F15" s="435"/>
      <c r="G15" s="220"/>
      <c r="L15" s="361">
        <v>4</v>
      </c>
      <c r="M15" s="361"/>
      <c r="N15" s="361"/>
      <c r="O15" s="361">
        <v>14</v>
      </c>
      <c r="P15" s="361"/>
      <c r="Q15" s="361"/>
      <c r="R15" s="361">
        <v>14</v>
      </c>
      <c r="S15" s="361"/>
      <c r="T15" s="361"/>
      <c r="U15" s="361" t="s">
        <v>539</v>
      </c>
      <c r="V15" s="361"/>
      <c r="W15" s="361"/>
      <c r="Y15" s="361" t="s">
        <v>539</v>
      </c>
      <c r="Z15" s="361"/>
      <c r="AA15" s="361"/>
      <c r="AB15" s="361" t="s">
        <v>539</v>
      </c>
      <c r="AC15" s="361"/>
      <c r="AD15" s="361"/>
      <c r="AE15" s="361" t="s">
        <v>539</v>
      </c>
      <c r="AF15" s="361"/>
      <c r="AG15" s="361"/>
      <c r="AH15" s="184" t="s">
        <v>260</v>
      </c>
      <c r="AI15" s="184" t="s">
        <v>751</v>
      </c>
      <c r="AJ15" s="400" t="s">
        <v>598</v>
      </c>
      <c r="AK15" s="515" t="s">
        <v>598</v>
      </c>
      <c r="AL15" s="400"/>
    </row>
    <row r="16" spans="1:38" ht="14.25" customHeight="1" x14ac:dyDescent="0.35">
      <c r="A16" s="435" t="s">
        <v>162</v>
      </c>
      <c r="B16" s="118"/>
      <c r="C16" s="435"/>
      <c r="D16" s="435"/>
      <c r="E16" s="435"/>
      <c r="F16" s="435"/>
      <c r="G16" s="220"/>
      <c r="L16" s="361">
        <v>6</v>
      </c>
      <c r="M16" s="361"/>
      <c r="N16" s="361"/>
      <c r="O16" s="361">
        <v>16</v>
      </c>
      <c r="P16" s="361"/>
      <c r="Q16" s="361"/>
      <c r="R16" s="361">
        <v>16</v>
      </c>
      <c r="S16" s="361"/>
      <c r="T16" s="361"/>
      <c r="U16" s="361"/>
      <c r="V16" s="441" t="s">
        <v>171</v>
      </c>
      <c r="W16" s="442" t="s">
        <v>535</v>
      </c>
      <c r="Y16" s="361" t="s">
        <v>534</v>
      </c>
      <c r="Z16" s="361"/>
      <c r="AA16" s="361"/>
      <c r="AB16" s="361" t="s">
        <v>534</v>
      </c>
      <c r="AC16" s="361"/>
      <c r="AD16" s="361"/>
      <c r="AE16" s="361" t="s">
        <v>534</v>
      </c>
      <c r="AF16" s="919"/>
      <c r="AG16" s="920"/>
      <c r="AH16" s="184" t="s">
        <v>261</v>
      </c>
      <c r="AI16" s="184" t="s">
        <v>760</v>
      </c>
      <c r="AJ16" s="400"/>
      <c r="AK16" s="515" t="s">
        <v>598</v>
      </c>
      <c r="AL16" s="400"/>
    </row>
    <row r="17" spans="1:38" ht="14.25" customHeight="1" x14ac:dyDescent="0.35">
      <c r="A17" s="435" t="s">
        <v>163</v>
      </c>
      <c r="B17" s="118"/>
      <c r="C17" s="435"/>
      <c r="D17" s="435"/>
      <c r="E17" s="435"/>
      <c r="F17" s="435"/>
      <c r="G17" s="220"/>
      <c r="L17" s="361">
        <v>8</v>
      </c>
      <c r="M17" s="361"/>
      <c r="N17" s="361"/>
      <c r="O17" s="361">
        <v>18</v>
      </c>
      <c r="P17" s="361"/>
      <c r="Q17" s="361"/>
      <c r="R17" s="361">
        <v>18</v>
      </c>
      <c r="S17" s="361"/>
      <c r="T17" s="361"/>
      <c r="U17" s="361">
        <v>2</v>
      </c>
      <c r="V17" s="361"/>
      <c r="W17" s="361"/>
      <c r="Y17" s="443" t="s">
        <v>157</v>
      </c>
      <c r="Z17" s="443"/>
      <c r="AA17" s="361"/>
      <c r="AB17" s="443" t="s">
        <v>157</v>
      </c>
      <c r="AC17" s="443"/>
      <c r="AD17" s="361"/>
      <c r="AE17" s="443" t="s">
        <v>157</v>
      </c>
      <c r="AF17" s="443"/>
      <c r="AG17" s="361"/>
      <c r="AH17" s="184" t="s">
        <v>262</v>
      </c>
      <c r="AI17" s="184" t="s">
        <v>752</v>
      </c>
      <c r="AJ17" s="400"/>
      <c r="AK17" s="515" t="s">
        <v>598</v>
      </c>
      <c r="AL17" s="400"/>
    </row>
    <row r="18" spans="1:38" ht="14.25" customHeight="1" x14ac:dyDescent="0.35">
      <c r="A18" s="435" t="s">
        <v>164</v>
      </c>
      <c r="B18" s="118"/>
      <c r="C18" s="435"/>
      <c r="D18" s="435"/>
      <c r="E18" s="435"/>
      <c r="F18" s="435"/>
      <c r="G18" s="220"/>
      <c r="L18" s="361">
        <v>10</v>
      </c>
      <c r="M18" s="361"/>
      <c r="N18" s="361"/>
      <c r="O18" s="361">
        <v>20</v>
      </c>
      <c r="P18" s="361"/>
      <c r="Q18" s="361"/>
      <c r="R18" s="361">
        <v>20</v>
      </c>
      <c r="S18" s="361"/>
      <c r="T18" s="361"/>
      <c r="U18" s="361">
        <v>4</v>
      </c>
      <c r="V18" s="361"/>
      <c r="W18" s="361"/>
      <c r="Y18" s="443" t="s">
        <v>156</v>
      </c>
      <c r="Z18" s="443"/>
      <c r="AA18" s="361"/>
      <c r="AB18" s="443" t="s">
        <v>156</v>
      </c>
      <c r="AC18" s="443"/>
      <c r="AD18" s="361"/>
      <c r="AE18" s="443" t="s">
        <v>156</v>
      </c>
      <c r="AF18" s="443"/>
      <c r="AG18" s="361"/>
      <c r="AH18" s="184" t="s">
        <v>264</v>
      </c>
      <c r="AI18" s="184" t="s">
        <v>753</v>
      </c>
      <c r="AJ18" s="400"/>
      <c r="AK18" s="515" t="s">
        <v>598</v>
      </c>
      <c r="AL18" s="400"/>
    </row>
    <row r="19" spans="1:38" ht="14.25" customHeight="1" x14ac:dyDescent="0.35">
      <c r="A19" s="435" t="s">
        <v>165</v>
      </c>
      <c r="B19" s="118"/>
      <c r="C19" s="435"/>
      <c r="D19" s="435"/>
      <c r="E19" s="435"/>
      <c r="F19" s="435"/>
      <c r="G19" s="220"/>
      <c r="L19" s="916" t="s">
        <v>739</v>
      </c>
      <c r="M19" s="917"/>
      <c r="N19" s="918"/>
      <c r="O19" s="361">
        <v>22</v>
      </c>
      <c r="P19" s="361"/>
      <c r="Q19" s="361"/>
      <c r="R19" s="361">
        <v>22</v>
      </c>
      <c r="S19" s="361"/>
      <c r="T19" s="361"/>
      <c r="U19" s="361">
        <v>6</v>
      </c>
      <c r="V19" s="361"/>
      <c r="W19" s="361"/>
      <c r="Y19" s="443" t="s">
        <v>155</v>
      </c>
      <c r="Z19" s="443"/>
      <c r="AA19" s="361"/>
      <c r="AB19" s="443" t="s">
        <v>155</v>
      </c>
      <c r="AC19" s="443"/>
      <c r="AD19" s="361"/>
      <c r="AE19" s="443" t="s">
        <v>155</v>
      </c>
      <c r="AF19" s="443"/>
      <c r="AG19" s="361"/>
      <c r="AH19" s="184" t="s">
        <v>265</v>
      </c>
      <c r="AI19" s="184" t="s">
        <v>758</v>
      </c>
      <c r="AJ19" s="400"/>
      <c r="AK19" s="515" t="s">
        <v>598</v>
      </c>
      <c r="AL19" s="400"/>
    </row>
    <row r="20" spans="1:38" ht="14.25" customHeight="1" x14ac:dyDescent="0.3">
      <c r="A20" s="435" t="s">
        <v>166</v>
      </c>
      <c r="B20" s="98"/>
      <c r="C20" s="435"/>
      <c r="D20" s="435"/>
      <c r="E20" s="435"/>
      <c r="F20" s="435"/>
      <c r="G20" s="220"/>
      <c r="L20" s="361" t="s">
        <v>153</v>
      </c>
      <c r="M20" s="361"/>
      <c r="N20" s="361"/>
      <c r="O20" s="361">
        <v>24</v>
      </c>
      <c r="P20" s="361"/>
      <c r="Q20" s="361"/>
      <c r="R20" s="361">
        <v>24</v>
      </c>
      <c r="S20" s="361"/>
      <c r="T20" s="361"/>
      <c r="U20" s="361">
        <v>8</v>
      </c>
      <c r="V20" s="361"/>
      <c r="W20" s="361"/>
      <c r="Y20" s="443" t="s">
        <v>154</v>
      </c>
      <c r="Z20" s="443"/>
      <c r="AA20" s="361"/>
      <c r="AB20" s="443" t="s">
        <v>154</v>
      </c>
      <c r="AC20" s="443"/>
      <c r="AD20" s="361"/>
      <c r="AE20" s="443" t="s">
        <v>154</v>
      </c>
      <c r="AF20" s="443"/>
      <c r="AG20" s="361"/>
    </row>
    <row r="21" spans="1:38" ht="14.25" customHeight="1" x14ac:dyDescent="0.3">
      <c r="A21" s="435" t="s">
        <v>188</v>
      </c>
      <c r="B21" s="98"/>
      <c r="C21" s="435"/>
      <c r="D21" s="435"/>
      <c r="E21" s="435"/>
      <c r="F21" s="435"/>
      <c r="G21" s="220"/>
      <c r="L21" s="361" t="s">
        <v>539</v>
      </c>
      <c r="M21" s="361"/>
      <c r="N21" s="361"/>
      <c r="O21" s="361">
        <v>26</v>
      </c>
      <c r="P21" s="361"/>
      <c r="Q21" s="361"/>
      <c r="R21" s="361">
        <v>26</v>
      </c>
      <c r="S21" s="361"/>
      <c r="T21" s="361"/>
      <c r="U21" s="916" t="s">
        <v>556</v>
      </c>
      <c r="V21" s="917"/>
      <c r="W21" s="918"/>
      <c r="Y21" s="921" t="s">
        <v>553</v>
      </c>
      <c r="Z21" s="921"/>
      <c r="AA21" s="921"/>
      <c r="AB21" s="921" t="s">
        <v>540</v>
      </c>
      <c r="AC21" s="921"/>
      <c r="AD21" s="921"/>
      <c r="AE21" s="916" t="s">
        <v>556</v>
      </c>
      <c r="AF21" s="917"/>
      <c r="AG21" s="918"/>
    </row>
    <row r="22" spans="1:38" ht="14.25" customHeight="1" x14ac:dyDescent="0.3">
      <c r="A22" s="435" t="s">
        <v>189</v>
      </c>
      <c r="B22" s="98"/>
      <c r="C22" s="435"/>
      <c r="D22" s="435"/>
      <c r="E22" s="435"/>
      <c r="F22" s="435"/>
      <c r="G22" s="220"/>
      <c r="L22" s="361"/>
      <c r="M22" s="441" t="s">
        <v>171</v>
      </c>
      <c r="N22" s="442" t="s">
        <v>535</v>
      </c>
      <c r="O22" s="361">
        <v>28</v>
      </c>
      <c r="P22" s="361"/>
      <c r="Q22" s="361"/>
      <c r="R22" s="361">
        <v>28</v>
      </c>
      <c r="S22" s="361"/>
      <c r="T22" s="361"/>
      <c r="U22" s="361" t="s">
        <v>153</v>
      </c>
      <c r="V22" s="361"/>
      <c r="W22" s="361"/>
      <c r="Y22" s="361" t="s">
        <v>153</v>
      </c>
      <c r="Z22" s="361"/>
      <c r="AA22" s="361"/>
      <c r="AB22" s="361" t="s">
        <v>153</v>
      </c>
      <c r="AC22" s="361"/>
      <c r="AD22" s="361"/>
      <c r="AE22" s="361" t="s">
        <v>153</v>
      </c>
      <c r="AF22" s="361"/>
      <c r="AG22" s="361"/>
    </row>
    <row r="23" spans="1:38" ht="14.25" customHeight="1" x14ac:dyDescent="0.3">
      <c r="A23" s="106"/>
      <c r="B23" s="220"/>
      <c r="C23" s="220"/>
      <c r="D23" s="220"/>
      <c r="E23" s="220"/>
      <c r="F23" s="220"/>
      <c r="G23" s="220"/>
      <c r="L23" s="361">
        <v>2</v>
      </c>
      <c r="M23" s="361"/>
      <c r="N23" s="361"/>
      <c r="O23" s="916" t="s">
        <v>551</v>
      </c>
      <c r="P23" s="917"/>
      <c r="Q23" s="918"/>
      <c r="R23" s="916" t="s">
        <v>554</v>
      </c>
      <c r="S23" s="917"/>
      <c r="T23" s="918"/>
      <c r="U23" s="361" t="s">
        <v>539</v>
      </c>
      <c r="V23" s="361"/>
      <c r="W23" s="361"/>
      <c r="Y23" s="361" t="s">
        <v>539</v>
      </c>
      <c r="Z23" s="361"/>
      <c r="AA23" s="361"/>
      <c r="AB23" s="361" t="s">
        <v>539</v>
      </c>
      <c r="AC23" s="361"/>
      <c r="AD23" s="361"/>
      <c r="AE23" s="361" t="s">
        <v>539</v>
      </c>
      <c r="AF23" s="361"/>
      <c r="AG23" s="361"/>
    </row>
    <row r="24" spans="1:38" ht="14.25" customHeight="1" x14ac:dyDescent="0.3">
      <c r="A24" s="435" t="s">
        <v>191</v>
      </c>
      <c r="B24" s="98"/>
      <c r="C24" s="98"/>
      <c r="D24" s="98"/>
      <c r="E24" s="98"/>
      <c r="F24" s="98"/>
      <c r="G24" s="98"/>
      <c r="L24" s="361">
        <v>4</v>
      </c>
      <c r="M24" s="361"/>
      <c r="N24" s="361"/>
      <c r="O24" s="361" t="s">
        <v>153</v>
      </c>
      <c r="P24" s="361"/>
      <c r="Q24" s="361"/>
      <c r="R24" s="361" t="s">
        <v>153</v>
      </c>
      <c r="S24" s="361"/>
      <c r="T24" s="361"/>
      <c r="U24" s="361"/>
      <c r="V24" s="441" t="s">
        <v>171</v>
      </c>
      <c r="W24" s="442" t="s">
        <v>535</v>
      </c>
      <c r="Y24" s="361" t="s">
        <v>534</v>
      </c>
      <c r="Z24" s="919"/>
      <c r="AA24" s="920"/>
      <c r="AB24" s="361" t="s">
        <v>534</v>
      </c>
      <c r="AC24" s="919"/>
      <c r="AD24" s="920"/>
      <c r="AE24" s="361" t="s">
        <v>534</v>
      </c>
      <c r="AF24" s="361"/>
      <c r="AG24" s="361"/>
    </row>
    <row r="25" spans="1:38" ht="14.25" customHeight="1" x14ac:dyDescent="0.3">
      <c r="A25" s="186" t="s">
        <v>192</v>
      </c>
      <c r="B25" s="98"/>
      <c r="C25" s="98"/>
      <c r="D25" s="98"/>
      <c r="E25" s="98"/>
      <c r="F25" s="98"/>
      <c r="G25" s="98"/>
      <c r="L25" s="361">
        <v>6</v>
      </c>
      <c r="M25" s="361"/>
      <c r="N25" s="361"/>
      <c r="O25" s="361" t="s">
        <v>539</v>
      </c>
      <c r="P25" s="361"/>
      <c r="Q25" s="361"/>
      <c r="R25" s="361" t="s">
        <v>539</v>
      </c>
      <c r="S25" s="361"/>
      <c r="T25" s="361"/>
      <c r="U25" s="361">
        <v>2</v>
      </c>
      <c r="V25" s="361"/>
      <c r="W25" s="361"/>
      <c r="Y25" s="443" t="s">
        <v>157</v>
      </c>
      <c r="Z25" s="443"/>
      <c r="AA25" s="361"/>
      <c r="AB25" s="443" t="s">
        <v>157</v>
      </c>
      <c r="AC25" s="443"/>
      <c r="AD25" s="361"/>
      <c r="AE25" s="443" t="s">
        <v>157</v>
      </c>
      <c r="AF25" s="443"/>
      <c r="AG25" s="361"/>
    </row>
    <row r="26" spans="1:38" ht="14.25" customHeight="1" x14ac:dyDescent="0.3">
      <c r="A26" s="223" t="s">
        <v>6</v>
      </c>
      <c r="B26" s="111"/>
      <c r="C26" s="111"/>
      <c r="D26" s="111"/>
      <c r="E26" s="111"/>
      <c r="F26" s="111"/>
      <c r="G26" s="111"/>
      <c r="L26" s="361">
        <v>8</v>
      </c>
      <c r="M26" s="361"/>
      <c r="N26" s="361"/>
      <c r="O26" s="361"/>
      <c r="P26" s="441" t="s">
        <v>171</v>
      </c>
      <c r="Q26" s="442" t="s">
        <v>535</v>
      </c>
      <c r="R26" s="361"/>
      <c r="S26" s="441" t="s">
        <v>171</v>
      </c>
      <c r="T26" s="442" t="s">
        <v>535</v>
      </c>
      <c r="U26" s="361">
        <v>4</v>
      </c>
      <c r="V26" s="361"/>
      <c r="W26" s="361"/>
      <c r="Y26" s="443" t="s">
        <v>156</v>
      </c>
      <c r="Z26" s="443"/>
      <c r="AA26" s="361"/>
      <c r="AB26" s="443" t="s">
        <v>156</v>
      </c>
      <c r="AC26" s="443"/>
      <c r="AD26" s="361"/>
      <c r="AE26" s="443" t="s">
        <v>156</v>
      </c>
      <c r="AF26" s="443"/>
      <c r="AG26" s="361"/>
    </row>
    <row r="27" spans="1:38" ht="14.25" customHeight="1" x14ac:dyDescent="0.3">
      <c r="A27" s="444"/>
      <c r="B27" s="444"/>
      <c r="C27" s="444"/>
      <c r="D27" s="444"/>
      <c r="E27" s="444"/>
      <c r="F27" s="444"/>
      <c r="G27" s="444"/>
      <c r="L27" s="361">
        <v>10</v>
      </c>
      <c r="M27" s="361"/>
      <c r="N27" s="361"/>
      <c r="O27" s="361">
        <v>2</v>
      </c>
      <c r="P27" s="361"/>
      <c r="Q27" s="361"/>
      <c r="R27" s="361">
        <v>2</v>
      </c>
      <c r="S27" s="361"/>
      <c r="T27" s="361"/>
      <c r="U27" s="361">
        <v>6</v>
      </c>
      <c r="V27" s="361"/>
      <c r="W27" s="361"/>
      <c r="Y27" s="443" t="s">
        <v>155</v>
      </c>
      <c r="Z27" s="443"/>
      <c r="AA27" s="361"/>
      <c r="AB27" s="443" t="s">
        <v>155</v>
      </c>
      <c r="AC27" s="443"/>
      <c r="AD27" s="361"/>
      <c r="AE27" s="443" t="s">
        <v>155</v>
      </c>
      <c r="AF27" s="443"/>
      <c r="AG27" s="361"/>
    </row>
    <row r="28" spans="1:38" ht="14.25" customHeight="1" x14ac:dyDescent="0.3">
      <c r="A28" s="444"/>
      <c r="B28" s="444"/>
      <c r="C28" s="444"/>
      <c r="D28" s="444"/>
      <c r="E28" s="444"/>
      <c r="F28" s="444"/>
      <c r="G28" s="444"/>
      <c r="L28" s="361">
        <v>12</v>
      </c>
      <c r="M28" s="361"/>
      <c r="N28" s="361"/>
      <c r="O28" s="361">
        <v>4</v>
      </c>
      <c r="P28" s="361"/>
      <c r="Q28" s="361"/>
      <c r="R28" s="361">
        <v>4</v>
      </c>
      <c r="S28" s="361"/>
      <c r="T28" s="361"/>
      <c r="U28" s="916" t="s">
        <v>557</v>
      </c>
      <c r="V28" s="917"/>
      <c r="W28" s="918"/>
      <c r="Y28" s="443" t="s">
        <v>154</v>
      </c>
      <c r="Z28" s="443"/>
      <c r="AA28" s="361"/>
      <c r="AB28" s="443" t="s">
        <v>154</v>
      </c>
      <c r="AC28" s="443"/>
      <c r="AD28" s="361"/>
      <c r="AE28" s="443" t="s">
        <v>154</v>
      </c>
      <c r="AF28" s="443"/>
      <c r="AG28" s="361"/>
    </row>
    <row r="29" spans="1:38" ht="14.25" customHeight="1" x14ac:dyDescent="0.3">
      <c r="A29" s="934" t="s">
        <v>115</v>
      </c>
      <c r="B29" s="934"/>
      <c r="C29" s="182" t="s">
        <v>174</v>
      </c>
      <c r="D29" s="934" t="s">
        <v>118</v>
      </c>
      <c r="E29" s="934"/>
      <c r="F29" s="1" t="s">
        <v>199</v>
      </c>
      <c r="G29" s="445" t="s">
        <v>22</v>
      </c>
      <c r="H29" s="446"/>
      <c r="L29" s="361">
        <v>14</v>
      </c>
      <c r="M29" s="361"/>
      <c r="N29" s="361"/>
      <c r="O29" s="361">
        <v>6</v>
      </c>
      <c r="P29" s="361"/>
      <c r="Q29" s="361"/>
      <c r="R29" s="361">
        <v>6</v>
      </c>
      <c r="S29" s="361"/>
      <c r="T29" s="361"/>
      <c r="U29" s="361" t="s">
        <v>153</v>
      </c>
      <c r="V29" s="361"/>
      <c r="W29" s="361"/>
      <c r="Y29" s="921" t="s">
        <v>552</v>
      </c>
      <c r="Z29" s="921"/>
      <c r="AA29" s="921"/>
      <c r="AB29" s="916" t="s">
        <v>739</v>
      </c>
      <c r="AC29" s="917"/>
      <c r="AD29" s="918"/>
      <c r="AE29" s="916" t="s">
        <v>557</v>
      </c>
      <c r="AF29" s="917"/>
      <c r="AG29" s="918"/>
    </row>
    <row r="30" spans="1:38" ht="14.25" customHeight="1" x14ac:dyDescent="0.3">
      <c r="A30" s="306" t="s">
        <v>153</v>
      </c>
      <c r="B30" s="447"/>
      <c r="C30" s="448"/>
      <c r="D30" s="306" t="s">
        <v>153</v>
      </c>
      <c r="E30" s="447"/>
      <c r="F30" s="447"/>
      <c r="G30" s="306" t="s">
        <v>153</v>
      </c>
      <c r="H30" s="447"/>
      <c r="L30" s="361">
        <v>16</v>
      </c>
      <c r="M30" s="361"/>
      <c r="N30" s="361"/>
      <c r="O30" s="361">
        <v>8</v>
      </c>
      <c r="P30" s="361"/>
      <c r="Q30" s="361"/>
      <c r="R30" s="361">
        <v>8</v>
      </c>
      <c r="S30" s="361"/>
      <c r="T30" s="361"/>
      <c r="U30" s="361" t="s">
        <v>539</v>
      </c>
      <c r="V30" s="361"/>
      <c r="W30" s="361"/>
      <c r="Y30" s="361" t="s">
        <v>153</v>
      </c>
      <c r="Z30" s="361"/>
      <c r="AA30" s="361"/>
      <c r="AB30" s="361" t="s">
        <v>153</v>
      </c>
      <c r="AC30" s="361"/>
      <c r="AD30" s="361"/>
      <c r="AE30" s="361" t="s">
        <v>153</v>
      </c>
      <c r="AF30" s="361"/>
      <c r="AG30" s="361"/>
    </row>
    <row r="31" spans="1:38" ht="14.25" customHeight="1" x14ac:dyDescent="0.3">
      <c r="A31" s="306" t="s">
        <v>168</v>
      </c>
      <c r="B31" s="449"/>
      <c r="C31" s="449"/>
      <c r="D31" s="306" t="s">
        <v>168</v>
      </c>
      <c r="E31" s="449"/>
      <c r="F31" s="449"/>
      <c r="G31" s="306" t="s">
        <v>168</v>
      </c>
      <c r="H31" s="182" t="s">
        <v>296</v>
      </c>
      <c r="L31" s="361">
        <v>18</v>
      </c>
      <c r="M31" s="361"/>
      <c r="N31" s="361"/>
      <c r="O31" s="361">
        <v>10</v>
      </c>
      <c r="P31" s="361"/>
      <c r="Q31" s="361"/>
      <c r="R31" s="361">
        <v>10</v>
      </c>
      <c r="S31" s="361"/>
      <c r="T31" s="361"/>
      <c r="U31" s="361"/>
      <c r="V31" s="441" t="s">
        <v>171</v>
      </c>
      <c r="W31" s="442" t="s">
        <v>535</v>
      </c>
      <c r="Y31" s="361" t="s">
        <v>539</v>
      </c>
      <c r="Z31" s="361"/>
      <c r="AA31" s="361"/>
      <c r="AB31" s="361" t="s">
        <v>539</v>
      </c>
      <c r="AC31" s="361"/>
      <c r="AD31" s="361"/>
      <c r="AE31" s="361" t="s">
        <v>539</v>
      </c>
      <c r="AF31" s="361"/>
      <c r="AG31" s="361"/>
    </row>
    <row r="32" spans="1:38" ht="14.25" customHeight="1" x14ac:dyDescent="0.3">
      <c r="A32" s="304" t="s">
        <v>169</v>
      </c>
      <c r="B32" s="930"/>
      <c r="C32" s="931"/>
      <c r="D32" s="304" t="s">
        <v>169</v>
      </c>
      <c r="E32" s="933"/>
      <c r="F32" s="933"/>
      <c r="G32" s="304" t="s">
        <v>174</v>
      </c>
      <c r="H32" s="450"/>
      <c r="L32" s="361">
        <v>20</v>
      </c>
      <c r="M32" s="361"/>
      <c r="N32" s="361"/>
      <c r="O32" s="361">
        <v>12</v>
      </c>
      <c r="P32" s="361"/>
      <c r="Q32" s="361"/>
      <c r="R32" s="361">
        <v>12</v>
      </c>
      <c r="S32" s="361"/>
      <c r="T32" s="361"/>
      <c r="U32" s="361">
        <v>2</v>
      </c>
      <c r="V32" s="361"/>
      <c r="W32" s="361"/>
      <c r="Y32" s="361" t="s">
        <v>534</v>
      </c>
      <c r="Z32" s="919"/>
      <c r="AA32" s="920"/>
      <c r="AB32" s="361" t="s">
        <v>534</v>
      </c>
      <c r="AC32" s="919"/>
      <c r="AD32" s="920"/>
      <c r="AE32" s="361" t="s">
        <v>534</v>
      </c>
      <c r="AF32" s="361"/>
      <c r="AG32" s="361"/>
    </row>
    <row r="33" spans="1:33" ht="14.25" customHeight="1" x14ac:dyDescent="0.3">
      <c r="A33" s="451" t="s">
        <v>170</v>
      </c>
      <c r="B33" s="451" t="s">
        <v>171</v>
      </c>
      <c r="C33" s="452" t="s">
        <v>172</v>
      </c>
      <c r="D33" s="451" t="s">
        <v>170</v>
      </c>
      <c r="E33" s="451" t="s">
        <v>171</v>
      </c>
      <c r="F33" s="452" t="s">
        <v>172</v>
      </c>
      <c r="G33" s="451" t="s">
        <v>171</v>
      </c>
      <c r="H33" s="452" t="s">
        <v>172</v>
      </c>
      <c r="L33" s="916" t="s">
        <v>540</v>
      </c>
      <c r="M33" s="917"/>
      <c r="N33" s="918"/>
      <c r="O33" s="361">
        <v>14</v>
      </c>
      <c r="P33" s="361"/>
      <c r="Q33" s="361"/>
      <c r="R33" s="361">
        <v>14</v>
      </c>
      <c r="S33" s="361"/>
      <c r="T33" s="361"/>
      <c r="U33" s="361">
        <v>4</v>
      </c>
      <c r="V33" s="361"/>
      <c r="W33" s="361"/>
      <c r="Y33" s="443" t="s">
        <v>157</v>
      </c>
      <c r="Z33" s="443"/>
      <c r="AA33" s="361"/>
      <c r="AB33" s="443" t="s">
        <v>157</v>
      </c>
      <c r="AC33" s="443"/>
      <c r="AD33" s="361"/>
      <c r="AE33" s="443" t="s">
        <v>157</v>
      </c>
      <c r="AF33" s="443"/>
      <c r="AG33" s="361"/>
    </row>
    <row r="34" spans="1:33" ht="14.25" customHeight="1" x14ac:dyDescent="0.3">
      <c r="A34" s="164">
        <v>2</v>
      </c>
      <c r="B34" s="98"/>
      <c r="C34" s="332"/>
      <c r="D34" s="164">
        <v>2</v>
      </c>
      <c r="E34" s="98"/>
      <c r="F34" s="98"/>
      <c r="G34" s="211" t="s">
        <v>22</v>
      </c>
      <c r="H34" s="211"/>
      <c r="I34" s="305" t="s">
        <v>469</v>
      </c>
      <c r="L34" s="361" t="s">
        <v>153</v>
      </c>
      <c r="M34" s="361"/>
      <c r="N34" s="361"/>
      <c r="O34" s="361">
        <v>16</v>
      </c>
      <c r="P34" s="361"/>
      <c r="Q34" s="361"/>
      <c r="R34" s="361">
        <v>16</v>
      </c>
      <c r="S34" s="361"/>
      <c r="T34" s="361"/>
      <c r="U34" s="361">
        <v>6</v>
      </c>
      <c r="V34" s="361"/>
      <c r="W34" s="361"/>
      <c r="Y34" s="443" t="s">
        <v>156</v>
      </c>
      <c r="Z34" s="443"/>
      <c r="AA34" s="361"/>
      <c r="AB34" s="443" t="s">
        <v>156</v>
      </c>
      <c r="AC34" s="443"/>
      <c r="AD34" s="361"/>
      <c r="AE34" s="443" t="s">
        <v>156</v>
      </c>
      <c r="AF34" s="443"/>
      <c r="AG34" s="361"/>
    </row>
    <row r="35" spans="1:33" ht="14.25" customHeight="1" x14ac:dyDescent="0.3">
      <c r="A35" s="164">
        <v>4</v>
      </c>
      <c r="B35" s="98"/>
      <c r="C35" s="332"/>
      <c r="D35" s="164">
        <v>4</v>
      </c>
      <c r="E35" s="98"/>
      <c r="F35" s="98"/>
      <c r="G35" s="388"/>
      <c r="H35" s="453"/>
      <c r="I35" s="98"/>
      <c r="L35" s="361" t="s">
        <v>539</v>
      </c>
      <c r="M35" s="361"/>
      <c r="N35" s="361"/>
      <c r="O35" s="361">
        <v>18</v>
      </c>
      <c r="P35" s="361"/>
      <c r="Q35" s="361"/>
      <c r="R35" s="361">
        <v>18</v>
      </c>
      <c r="S35" s="361"/>
      <c r="T35" s="361"/>
      <c r="U35" s="362"/>
      <c r="Y35" s="443" t="s">
        <v>155</v>
      </c>
      <c r="Z35" s="443"/>
      <c r="AA35" s="361"/>
      <c r="AB35" s="443" t="s">
        <v>155</v>
      </c>
      <c r="AC35" s="443"/>
      <c r="AD35" s="361"/>
      <c r="AE35" s="443" t="s">
        <v>155</v>
      </c>
      <c r="AF35" s="443"/>
      <c r="AG35" s="361"/>
    </row>
    <row r="36" spans="1:33" ht="14.25" customHeight="1" x14ac:dyDescent="0.3">
      <c r="A36" s="164">
        <v>6</v>
      </c>
      <c r="B36" s="98"/>
      <c r="C36" s="332"/>
      <c r="D36" s="164">
        <v>6</v>
      </c>
      <c r="E36" s="98"/>
      <c r="F36" s="98"/>
      <c r="G36" s="209" t="s">
        <v>178</v>
      </c>
      <c r="H36" s="454"/>
      <c r="L36" s="442"/>
      <c r="M36" s="441" t="s">
        <v>171</v>
      </c>
      <c r="N36" s="442" t="s">
        <v>535</v>
      </c>
      <c r="O36" s="361">
        <v>20</v>
      </c>
      <c r="P36" s="361"/>
      <c r="Q36" s="361"/>
      <c r="R36" s="361">
        <v>20</v>
      </c>
      <c r="S36" s="361"/>
      <c r="T36" s="361"/>
      <c r="U36" s="362"/>
      <c r="Y36" s="443" t="s">
        <v>154</v>
      </c>
      <c r="Z36" s="443"/>
      <c r="AA36" s="361"/>
      <c r="AB36" s="443" t="s">
        <v>154</v>
      </c>
      <c r="AC36" s="443"/>
      <c r="AD36" s="361"/>
      <c r="AE36" s="443" t="s">
        <v>154</v>
      </c>
      <c r="AF36" s="443"/>
      <c r="AG36" s="361"/>
    </row>
    <row r="37" spans="1:33" ht="14.25" customHeight="1" x14ac:dyDescent="0.3">
      <c r="A37" s="164">
        <v>8</v>
      </c>
      <c r="B37" s="98"/>
      <c r="C37" s="332"/>
      <c r="D37" s="164">
        <v>8</v>
      </c>
      <c r="E37" s="98"/>
      <c r="F37" s="98"/>
      <c r="G37" s="388"/>
      <c r="H37" s="453"/>
      <c r="I37" s="98"/>
      <c r="L37" s="361">
        <v>1</v>
      </c>
      <c r="M37" s="361"/>
      <c r="N37" s="361"/>
      <c r="O37" s="361">
        <v>22</v>
      </c>
      <c r="P37" s="361"/>
      <c r="Q37" s="361"/>
      <c r="R37" s="361">
        <v>22</v>
      </c>
      <c r="S37" s="361"/>
      <c r="T37" s="361"/>
      <c r="U37" s="362"/>
      <c r="Y37" s="921" t="s">
        <v>551</v>
      </c>
      <c r="Z37" s="921"/>
      <c r="AA37" s="921"/>
      <c r="AB37" s="438" t="s">
        <v>532</v>
      </c>
      <c r="AC37" s="438" t="s">
        <v>533</v>
      </c>
      <c r="AD37" s="438"/>
    </row>
    <row r="38" spans="1:33" ht="14.25" customHeight="1" x14ac:dyDescent="0.3">
      <c r="A38" s="164">
        <v>10</v>
      </c>
      <c r="B38" s="98"/>
      <c r="C38" s="332"/>
      <c r="D38" s="164">
        <v>10</v>
      </c>
      <c r="E38" s="98"/>
      <c r="F38" s="98"/>
      <c r="G38" s="210" t="s">
        <v>179</v>
      </c>
      <c r="H38" s="453"/>
      <c r="L38" s="361">
        <v>2</v>
      </c>
      <c r="M38" s="361"/>
      <c r="N38" s="361"/>
      <c r="O38" s="361">
        <v>24</v>
      </c>
      <c r="P38" s="361"/>
      <c r="Q38" s="361"/>
      <c r="R38" s="361">
        <v>24</v>
      </c>
      <c r="S38" s="361"/>
      <c r="T38" s="361"/>
      <c r="U38" s="362"/>
      <c r="Y38" s="361" t="s">
        <v>153</v>
      </c>
      <c r="Z38" s="361"/>
      <c r="AA38" s="361"/>
      <c r="AB38" s="361" t="s">
        <v>153</v>
      </c>
      <c r="AC38" s="361"/>
      <c r="AD38" s="439"/>
    </row>
    <row r="39" spans="1:33" ht="14.25" customHeight="1" x14ac:dyDescent="0.3">
      <c r="A39" s="164">
        <v>12</v>
      </c>
      <c r="B39" s="98"/>
      <c r="C39" s="332"/>
      <c r="D39" s="164">
        <v>12</v>
      </c>
      <c r="E39" s="189"/>
      <c r="F39" s="98"/>
      <c r="G39" s="388"/>
      <c r="H39" s="453"/>
      <c r="I39" s="98"/>
      <c r="L39" s="361">
        <v>3</v>
      </c>
      <c r="M39" s="361"/>
      <c r="N39" s="361"/>
      <c r="O39" s="361">
        <v>26</v>
      </c>
      <c r="P39" s="361"/>
      <c r="Q39" s="361"/>
      <c r="R39" s="361">
        <v>26</v>
      </c>
      <c r="S39" s="361"/>
      <c r="T39" s="361"/>
      <c r="U39" s="362"/>
      <c r="Y39" s="361" t="s">
        <v>539</v>
      </c>
      <c r="Z39" s="361"/>
      <c r="AA39" s="361"/>
      <c r="AB39" s="361" t="s">
        <v>539</v>
      </c>
      <c r="AC39" s="361"/>
      <c r="AD39" s="361"/>
    </row>
    <row r="40" spans="1:33" ht="14.25" customHeight="1" x14ac:dyDescent="0.3">
      <c r="A40" s="164">
        <v>14</v>
      </c>
      <c r="B40" s="98"/>
      <c r="C40" s="98"/>
      <c r="D40" s="164">
        <v>14</v>
      </c>
      <c r="E40" s="189"/>
      <c r="F40" s="98"/>
      <c r="G40" s="455"/>
      <c r="L40" s="916" t="s">
        <v>740</v>
      </c>
      <c r="M40" s="917"/>
      <c r="N40" s="918"/>
      <c r="O40" s="361">
        <v>28</v>
      </c>
      <c r="P40" s="361"/>
      <c r="Q40" s="361"/>
      <c r="R40" s="361">
        <v>28</v>
      </c>
      <c r="S40" s="361"/>
      <c r="T40" s="361"/>
      <c r="U40" s="362"/>
      <c r="Y40" s="361" t="s">
        <v>534</v>
      </c>
      <c r="Z40" s="361"/>
      <c r="AA40" s="361"/>
      <c r="AB40" s="361" t="s">
        <v>534</v>
      </c>
      <c r="AC40" s="919"/>
      <c r="AD40" s="920"/>
    </row>
    <row r="41" spans="1:33" ht="14.25" customHeight="1" x14ac:dyDescent="0.3">
      <c r="A41" s="164"/>
      <c r="B41" s="98"/>
      <c r="C41" s="98"/>
      <c r="D41" s="164">
        <v>16</v>
      </c>
      <c r="E41" s="189"/>
      <c r="F41" s="98"/>
      <c r="G41" s="455"/>
      <c r="L41" s="361" t="s">
        <v>153</v>
      </c>
      <c r="M41" s="361"/>
      <c r="N41" s="439"/>
      <c r="O41" s="916" t="s">
        <v>552</v>
      </c>
      <c r="P41" s="917"/>
      <c r="Q41" s="918"/>
      <c r="R41" s="361">
        <v>30</v>
      </c>
      <c r="S41" s="361"/>
      <c r="T41" s="361"/>
      <c r="U41" s="362"/>
      <c r="Y41" s="443" t="s">
        <v>157</v>
      </c>
      <c r="Z41" s="443"/>
      <c r="AA41" s="361"/>
      <c r="AB41" s="443" t="s">
        <v>157</v>
      </c>
      <c r="AC41" s="443"/>
      <c r="AD41" s="361"/>
    </row>
    <row r="42" spans="1:33" ht="14.25" customHeight="1" x14ac:dyDescent="0.3">
      <c r="A42" s="164"/>
      <c r="B42" s="98"/>
      <c r="C42" s="98"/>
      <c r="D42" s="164">
        <v>18</v>
      </c>
      <c r="E42" s="189"/>
      <c r="F42" s="98"/>
      <c r="G42" s="455"/>
      <c r="L42" s="361" t="s">
        <v>539</v>
      </c>
      <c r="M42" s="361"/>
      <c r="N42" s="361"/>
      <c r="O42" s="361" t="s">
        <v>153</v>
      </c>
      <c r="P42" s="361"/>
      <c r="Q42" s="361"/>
      <c r="R42" s="916" t="s">
        <v>555</v>
      </c>
      <c r="S42" s="917"/>
      <c r="T42" s="918"/>
      <c r="U42" s="526"/>
      <c r="Y42" s="443" t="s">
        <v>156</v>
      </c>
      <c r="Z42" s="443"/>
      <c r="AA42" s="361"/>
      <c r="AB42" s="443" t="s">
        <v>156</v>
      </c>
      <c r="AC42" s="443"/>
      <c r="AD42" s="361"/>
    </row>
    <row r="43" spans="1:33" ht="14.25" customHeight="1" x14ac:dyDescent="0.3">
      <c r="A43" s="164"/>
      <c r="B43" s="98"/>
      <c r="C43" s="98"/>
      <c r="D43" s="164">
        <v>20</v>
      </c>
      <c r="E43" s="189"/>
      <c r="F43" s="98"/>
      <c r="G43" s="455"/>
      <c r="L43" s="361"/>
      <c r="M43" s="441" t="s">
        <v>171</v>
      </c>
      <c r="N43" s="442" t="s">
        <v>535</v>
      </c>
      <c r="O43" s="361" t="s">
        <v>539</v>
      </c>
      <c r="P43" s="361"/>
      <c r="Q43" s="361"/>
      <c r="R43" s="361" t="s">
        <v>153</v>
      </c>
      <c r="S43" s="361"/>
      <c r="T43" s="361"/>
      <c r="U43" s="362"/>
      <c r="Y43" s="443" t="s">
        <v>155</v>
      </c>
      <c r="Z43" s="443"/>
      <c r="AA43" s="361"/>
      <c r="AB43" s="443" t="s">
        <v>155</v>
      </c>
      <c r="AC43" s="443"/>
      <c r="AD43" s="361"/>
    </row>
    <row r="44" spans="1:33" ht="14.25" customHeight="1" x14ac:dyDescent="0.3">
      <c r="A44" s="164" t="s">
        <v>225</v>
      </c>
      <c r="B44" s="932" t="s">
        <v>227</v>
      </c>
      <c r="C44" s="932"/>
      <c r="D44" s="932"/>
      <c r="E44" s="932"/>
      <c r="F44" s="932"/>
      <c r="G44" s="437"/>
      <c r="L44" s="361">
        <v>2</v>
      </c>
      <c r="M44" s="361"/>
      <c r="N44" s="361"/>
      <c r="O44" s="361"/>
      <c r="P44" s="441" t="s">
        <v>171</v>
      </c>
      <c r="Q44" s="442" t="s">
        <v>535</v>
      </c>
      <c r="R44" s="361" t="s">
        <v>539</v>
      </c>
      <c r="S44" s="361"/>
      <c r="T44" s="361"/>
      <c r="U44" s="362"/>
      <c r="Y44" s="443" t="s">
        <v>154</v>
      </c>
      <c r="Z44" s="443"/>
      <c r="AA44" s="361"/>
      <c r="AB44" s="443" t="s">
        <v>154</v>
      </c>
      <c r="AC44" s="443"/>
      <c r="AD44" s="361"/>
    </row>
    <row r="45" spans="1:33" ht="14.25" customHeight="1" thickBot="1" x14ac:dyDescent="0.35">
      <c r="A45" s="271" t="s">
        <v>235</v>
      </c>
      <c r="B45" s="272"/>
      <c r="C45" s="272"/>
      <c r="D45" s="456"/>
      <c r="E45" s="456"/>
      <c r="F45" s="456"/>
      <c r="G45" s="220"/>
      <c r="H45" s="220"/>
      <c r="L45" s="361">
        <v>4</v>
      </c>
      <c r="M45" s="361"/>
      <c r="N45" s="361"/>
      <c r="O45" s="361">
        <v>2</v>
      </c>
      <c r="P45" s="361"/>
      <c r="Q45" s="361"/>
      <c r="R45" s="361"/>
      <c r="S45" s="441" t="s">
        <v>171</v>
      </c>
      <c r="T45" s="442" t="s">
        <v>535</v>
      </c>
      <c r="U45" s="525"/>
      <c r="Y45" s="922" t="s">
        <v>550</v>
      </c>
      <c r="Z45" s="923"/>
      <c r="AA45" s="924"/>
      <c r="AB45" s="916" t="s">
        <v>538</v>
      </c>
      <c r="AC45" s="917"/>
      <c r="AD45" s="918"/>
    </row>
    <row r="46" spans="1:33" ht="14.25" customHeight="1" thickBot="1" x14ac:dyDescent="0.35">
      <c r="A46" s="98" t="s">
        <v>236</v>
      </c>
      <c r="B46" s="22"/>
      <c r="C46" s="457"/>
      <c r="D46" s="456"/>
      <c r="E46" s="456"/>
      <c r="F46" s="456"/>
      <c r="G46" s="220"/>
      <c r="H46" s="220"/>
      <c r="L46" s="361">
        <v>6</v>
      </c>
      <c r="M46" s="361"/>
      <c r="N46" s="361"/>
      <c r="O46" s="361">
        <v>4</v>
      </c>
      <c r="P46" s="361"/>
      <c r="Q46" s="361"/>
      <c r="R46" s="361">
        <v>2</v>
      </c>
      <c r="S46" s="361"/>
      <c r="T46" s="361"/>
      <c r="U46" s="362"/>
      <c r="Y46" s="361" t="s">
        <v>153</v>
      </c>
      <c r="Z46" s="361"/>
      <c r="AA46" s="361"/>
      <c r="AB46" s="361" t="s">
        <v>153</v>
      </c>
      <c r="AC46" s="361"/>
      <c r="AD46" s="361"/>
    </row>
    <row r="47" spans="1:33" ht="14.25" customHeight="1" thickBot="1" x14ac:dyDescent="0.35">
      <c r="A47" s="98" t="s">
        <v>226</v>
      </c>
      <c r="B47" s="458"/>
      <c r="C47" s="457"/>
      <c r="D47" s="457"/>
      <c r="E47" s="457"/>
      <c r="F47" s="457"/>
      <c r="G47" s="220"/>
      <c r="H47" s="220"/>
      <c r="L47" s="361">
        <v>8</v>
      </c>
      <c r="M47" s="361"/>
      <c r="N47" s="361"/>
      <c r="O47" s="361">
        <v>6</v>
      </c>
      <c r="P47" s="361"/>
      <c r="Q47" s="361"/>
      <c r="R47" s="361">
        <v>4</v>
      </c>
      <c r="S47" s="361"/>
      <c r="T47" s="361"/>
      <c r="U47" s="362"/>
      <c r="Y47" s="361" t="s">
        <v>539</v>
      </c>
      <c r="Z47" s="361"/>
      <c r="AA47" s="361"/>
      <c r="AB47" s="361" t="s">
        <v>539</v>
      </c>
      <c r="AC47" s="361"/>
      <c r="AD47" s="361"/>
    </row>
    <row r="48" spans="1:33" ht="14.25" customHeight="1" thickBot="1" x14ac:dyDescent="0.35">
      <c r="A48" s="287" t="s">
        <v>461</v>
      </c>
      <c r="B48" s="458"/>
      <c r="C48" s="457"/>
      <c r="D48" s="457"/>
      <c r="E48" s="457"/>
      <c r="F48" s="457"/>
      <c r="G48" s="220"/>
      <c r="H48" s="220"/>
      <c r="L48" s="361">
        <v>10</v>
      </c>
      <c r="M48" s="361"/>
      <c r="N48" s="361"/>
      <c r="O48" s="361">
        <v>8</v>
      </c>
      <c r="P48" s="361"/>
      <c r="Q48" s="361"/>
      <c r="R48" s="361">
        <v>6</v>
      </c>
      <c r="S48" s="361"/>
      <c r="T48" s="361"/>
      <c r="U48" s="362"/>
      <c r="Y48" s="361" t="s">
        <v>534</v>
      </c>
      <c r="Z48" s="361"/>
      <c r="AA48" s="361"/>
      <c r="AB48" s="361" t="s">
        <v>534</v>
      </c>
      <c r="AC48" s="919"/>
      <c r="AD48" s="920"/>
    </row>
    <row r="49" spans="1:30" ht="14.25" customHeight="1" thickBot="1" x14ac:dyDescent="0.35">
      <c r="A49" s="287" t="s">
        <v>462</v>
      </c>
      <c r="B49" s="458"/>
      <c r="C49" s="457"/>
      <c r="D49" s="457"/>
      <c r="E49" s="457"/>
      <c r="F49" s="457"/>
      <c r="G49" s="220"/>
      <c r="H49" s="220"/>
      <c r="L49" s="361">
        <v>12</v>
      </c>
      <c r="M49" s="361"/>
      <c r="N49" s="361"/>
      <c r="O49" s="361">
        <v>10</v>
      </c>
      <c r="P49" s="361"/>
      <c r="Q49" s="361"/>
      <c r="R49" s="361">
        <v>8</v>
      </c>
      <c r="S49" s="361"/>
      <c r="T49" s="361"/>
      <c r="U49" s="362"/>
      <c r="Y49" s="443" t="s">
        <v>157</v>
      </c>
      <c r="Z49" s="443"/>
      <c r="AA49" s="361"/>
      <c r="AB49" s="443" t="s">
        <v>157</v>
      </c>
      <c r="AC49" s="443"/>
      <c r="AD49" s="361"/>
    </row>
    <row r="50" spans="1:30" ht="14.25" customHeight="1" thickBot="1" x14ac:dyDescent="0.35">
      <c r="A50" s="98" t="s">
        <v>228</v>
      </c>
      <c r="B50" s="458"/>
      <c r="C50" s="457"/>
      <c r="D50" s="457"/>
      <c r="E50" s="457"/>
      <c r="F50" s="457"/>
      <c r="G50" s="285"/>
      <c r="L50" s="361">
        <v>14</v>
      </c>
      <c r="M50" s="361"/>
      <c r="N50" s="361"/>
      <c r="O50" s="361">
        <v>12</v>
      </c>
      <c r="P50" s="361"/>
      <c r="Q50" s="361"/>
      <c r="R50" s="361">
        <v>10</v>
      </c>
      <c r="S50" s="361"/>
      <c r="T50" s="361"/>
      <c r="U50" s="362"/>
      <c r="Y50" s="443" t="s">
        <v>156</v>
      </c>
      <c r="Z50" s="443"/>
      <c r="AA50" s="361"/>
      <c r="AB50" s="443" t="s">
        <v>156</v>
      </c>
      <c r="AC50" s="443"/>
      <c r="AD50" s="361"/>
    </row>
    <row r="51" spans="1:30" ht="14.25" customHeight="1" thickBot="1" x14ac:dyDescent="0.35">
      <c r="A51" s="98" t="s">
        <v>229</v>
      </c>
      <c r="B51" s="458"/>
      <c r="C51" s="457"/>
      <c r="D51" s="457"/>
      <c r="E51" s="457"/>
      <c r="F51" s="457"/>
      <c r="G51" s="285"/>
      <c r="L51" s="361">
        <v>16</v>
      </c>
      <c r="M51" s="361"/>
      <c r="N51" s="361"/>
      <c r="O51" s="361">
        <v>14</v>
      </c>
      <c r="P51" s="361"/>
      <c r="Q51" s="361"/>
      <c r="R51" s="361">
        <v>12</v>
      </c>
      <c r="S51" s="361"/>
      <c r="T51" s="361"/>
      <c r="U51" s="362"/>
      <c r="Y51" s="443" t="s">
        <v>155</v>
      </c>
      <c r="Z51" s="443"/>
      <c r="AA51" s="361"/>
      <c r="AB51" s="443" t="s">
        <v>155</v>
      </c>
      <c r="AC51" s="443"/>
      <c r="AD51" s="361"/>
    </row>
    <row r="52" spans="1:30" ht="14.25" customHeight="1" thickBot="1" x14ac:dyDescent="0.35">
      <c r="A52" s="287" t="s">
        <v>468</v>
      </c>
      <c r="B52" s="458"/>
      <c r="C52" s="457"/>
      <c r="D52" s="457"/>
      <c r="E52" s="457"/>
      <c r="F52" s="457"/>
      <c r="G52" s="285"/>
      <c r="L52" s="361">
        <v>18</v>
      </c>
      <c r="M52" s="361"/>
      <c r="N52" s="361"/>
      <c r="O52" s="361">
        <v>16</v>
      </c>
      <c r="P52" s="361"/>
      <c r="Q52" s="361"/>
      <c r="R52" s="361">
        <v>14</v>
      </c>
      <c r="S52" s="361"/>
      <c r="T52" s="361"/>
      <c r="U52" s="362"/>
      <c r="Y52" s="443" t="s">
        <v>154</v>
      </c>
      <c r="Z52" s="443"/>
      <c r="AA52" s="361"/>
      <c r="AB52" s="443" t="s">
        <v>154</v>
      </c>
      <c r="AC52" s="443"/>
      <c r="AD52" s="361"/>
    </row>
    <row r="53" spans="1:30" ht="14.25" customHeight="1" thickBot="1" x14ac:dyDescent="0.35">
      <c r="A53" s="98" t="s">
        <v>234</v>
      </c>
      <c r="B53" s="458"/>
      <c r="C53" s="457"/>
      <c r="D53" s="457"/>
      <c r="E53" s="457"/>
      <c r="F53" s="457"/>
      <c r="L53" s="361">
        <v>20</v>
      </c>
      <c r="M53" s="361"/>
      <c r="N53" s="361"/>
      <c r="O53" s="361">
        <v>18</v>
      </c>
      <c r="P53" s="361"/>
      <c r="Q53" s="361"/>
      <c r="R53" s="361">
        <v>16</v>
      </c>
      <c r="S53" s="361"/>
      <c r="T53" s="361"/>
      <c r="U53" s="362"/>
    </row>
    <row r="54" spans="1:30" ht="14.25" customHeight="1" thickBot="1" x14ac:dyDescent="0.35">
      <c r="A54" s="98" t="s">
        <v>230</v>
      </c>
      <c r="B54" s="207"/>
      <c r="C54" s="456"/>
      <c r="D54" s="457"/>
      <c r="E54" s="457"/>
      <c r="F54" s="457"/>
      <c r="L54" s="916" t="s">
        <v>546</v>
      </c>
      <c r="M54" s="917"/>
      <c r="N54" s="918"/>
      <c r="O54" s="361">
        <v>20</v>
      </c>
      <c r="P54" s="361"/>
      <c r="Q54" s="361"/>
      <c r="R54" s="361">
        <v>18</v>
      </c>
      <c r="S54" s="361"/>
      <c r="T54" s="361"/>
      <c r="U54" s="362"/>
    </row>
    <row r="55" spans="1:30" ht="14.25" customHeight="1" x14ac:dyDescent="0.3">
      <c r="A55" s="303" t="s">
        <v>467</v>
      </c>
      <c r="B55" s="223"/>
      <c r="C55" s="111"/>
      <c r="D55" s="111"/>
      <c r="E55" s="111"/>
      <c r="F55" s="111"/>
      <c r="L55" s="361" t="s">
        <v>153</v>
      </c>
      <c r="M55" s="361"/>
      <c r="N55" s="361"/>
      <c r="O55" s="361">
        <v>22</v>
      </c>
      <c r="P55" s="361"/>
      <c r="Q55" s="361"/>
      <c r="R55" s="361">
        <v>20</v>
      </c>
      <c r="S55" s="361"/>
      <c r="T55" s="361"/>
      <c r="U55" s="362"/>
    </row>
    <row r="56" spans="1:30" ht="14.25" customHeight="1" x14ac:dyDescent="0.3">
      <c r="A56" s="1" t="s">
        <v>193</v>
      </c>
      <c r="C56" s="19" t="s">
        <v>194</v>
      </c>
      <c r="D56" s="628">
        <v>41296</v>
      </c>
      <c r="L56" s="361" t="s">
        <v>539</v>
      </c>
      <c r="M56" s="361"/>
      <c r="N56" s="361"/>
      <c r="O56" s="361">
        <v>24</v>
      </c>
      <c r="P56" s="361"/>
      <c r="Q56" s="361"/>
      <c r="R56" s="98"/>
      <c r="S56" s="98"/>
      <c r="T56" s="98"/>
      <c r="U56" s="526"/>
    </row>
    <row r="57" spans="1:30" ht="14.25" customHeight="1" x14ac:dyDescent="0.3">
      <c r="A57" s="107" t="s">
        <v>200</v>
      </c>
      <c r="B57" s="436" t="s">
        <v>153</v>
      </c>
      <c r="C57" s="436" t="s">
        <v>154</v>
      </c>
      <c r="D57" s="436" t="s">
        <v>155</v>
      </c>
      <c r="E57" s="436" t="s">
        <v>156</v>
      </c>
      <c r="F57" s="436" t="s">
        <v>157</v>
      </c>
      <c r="G57" s="107" t="s">
        <v>167</v>
      </c>
      <c r="H57" s="107" t="s">
        <v>177</v>
      </c>
      <c r="L57" s="361"/>
      <c r="M57" s="441" t="s">
        <v>171</v>
      </c>
      <c r="N57" s="442" t="s">
        <v>535</v>
      </c>
      <c r="O57" s="361">
        <v>26</v>
      </c>
      <c r="P57" s="361"/>
      <c r="Q57" s="361"/>
      <c r="R57" s="98"/>
      <c r="S57" s="98"/>
      <c r="T57" s="98"/>
      <c r="U57" s="362"/>
    </row>
    <row r="58" spans="1:30" ht="14.25" customHeight="1" x14ac:dyDescent="0.3">
      <c r="A58" s="435" t="s">
        <v>453</v>
      </c>
      <c r="B58" s="98"/>
      <c r="C58" s="320"/>
      <c r="D58" s="320"/>
      <c r="E58" s="320"/>
      <c r="F58" s="320"/>
      <c r="G58" s="440"/>
      <c r="H58" s="98"/>
      <c r="L58" s="361" t="s">
        <v>547</v>
      </c>
      <c r="M58" s="361"/>
      <c r="N58" s="361"/>
      <c r="O58" s="361">
        <v>28</v>
      </c>
      <c r="P58" s="361"/>
      <c r="Q58" s="361"/>
      <c r="R58" s="98"/>
      <c r="S58" s="98"/>
      <c r="T58" s="98"/>
      <c r="U58" s="362"/>
    </row>
    <row r="59" spans="1:30" ht="14.25" customHeight="1" x14ac:dyDescent="0.3">
      <c r="A59" s="435" t="s">
        <v>158</v>
      </c>
      <c r="B59" s="98"/>
      <c r="C59" s="320"/>
      <c r="D59" s="320"/>
      <c r="E59" s="320"/>
      <c r="F59" s="320"/>
      <c r="G59" s="220"/>
      <c r="L59" s="98"/>
      <c r="M59" s="98"/>
      <c r="N59" s="98"/>
      <c r="O59" s="361"/>
      <c r="P59" s="361"/>
      <c r="Q59" s="361"/>
      <c r="R59" s="98"/>
      <c r="S59" s="98"/>
      <c r="T59" s="98"/>
      <c r="U59" s="525"/>
    </row>
    <row r="60" spans="1:30" ht="14.25" customHeight="1" x14ac:dyDescent="0.3">
      <c r="A60" s="435" t="s">
        <v>454</v>
      </c>
      <c r="B60" s="98"/>
      <c r="C60" s="320"/>
      <c r="D60" s="320"/>
      <c r="E60" s="320"/>
      <c r="F60" s="320"/>
      <c r="G60" s="220"/>
      <c r="U60" s="362"/>
    </row>
    <row r="61" spans="1:30" ht="14.25" customHeight="1" x14ac:dyDescent="0.35">
      <c r="A61" s="435" t="s">
        <v>159</v>
      </c>
      <c r="B61" s="98"/>
      <c r="C61" s="320"/>
      <c r="D61" s="320"/>
      <c r="E61" s="320"/>
      <c r="F61" s="320"/>
      <c r="G61" s="220"/>
      <c r="U61" s="362"/>
      <c r="X61" s="510"/>
      <c r="Y61" s="510"/>
    </row>
    <row r="62" spans="1:30" ht="14.25" customHeight="1" x14ac:dyDescent="0.35">
      <c r="A62" s="435" t="s">
        <v>455</v>
      </c>
      <c r="B62" s="98"/>
      <c r="C62" s="320"/>
      <c r="D62" s="320"/>
      <c r="E62" s="320"/>
      <c r="F62" s="320"/>
      <c r="G62" s="220"/>
      <c r="U62" s="362"/>
      <c r="X62" s="510"/>
      <c r="Y62" s="510"/>
    </row>
    <row r="63" spans="1:30" ht="14.25" customHeight="1" x14ac:dyDescent="0.3">
      <c r="A63" s="435" t="s">
        <v>160</v>
      </c>
      <c r="B63" s="98"/>
      <c r="C63" s="320"/>
      <c r="D63" s="320"/>
      <c r="E63" s="320"/>
      <c r="F63" s="320"/>
      <c r="G63" s="220"/>
      <c r="U63" s="524"/>
      <c r="X63" s="90"/>
      <c r="Y63" s="90"/>
    </row>
    <row r="64" spans="1:30" ht="14.25" customHeight="1" x14ac:dyDescent="0.3">
      <c r="A64" s="435" t="s">
        <v>456</v>
      </c>
      <c r="B64" s="98"/>
      <c r="C64" s="320"/>
      <c r="D64" s="320"/>
      <c r="E64" s="320"/>
      <c r="F64" s="320"/>
      <c r="G64" s="220"/>
      <c r="U64" s="362"/>
      <c r="X64" s="90"/>
      <c r="Y64" s="90"/>
    </row>
    <row r="65" spans="1:25" ht="14.25" customHeight="1" x14ac:dyDescent="0.35">
      <c r="A65" s="435" t="s">
        <v>161</v>
      </c>
      <c r="B65" s="98"/>
      <c r="C65" s="320"/>
      <c r="D65" s="320"/>
      <c r="E65" s="320"/>
      <c r="F65" s="320"/>
      <c r="G65" s="220"/>
      <c r="U65" s="362"/>
      <c r="X65" s="510"/>
      <c r="Y65"/>
    </row>
    <row r="66" spans="1:25" ht="14.25" customHeight="1" x14ac:dyDescent="0.3">
      <c r="A66" s="435" t="s">
        <v>162</v>
      </c>
      <c r="B66" s="98"/>
      <c r="C66" s="320"/>
      <c r="D66" s="320"/>
      <c r="E66" s="320"/>
      <c r="F66" s="320"/>
      <c r="G66" s="220"/>
      <c r="U66" s="525"/>
      <c r="X66" s="512"/>
      <c r="Y66"/>
    </row>
    <row r="67" spans="1:25" ht="14.25" customHeight="1" x14ac:dyDescent="0.35">
      <c r="A67" s="435" t="s">
        <v>163</v>
      </c>
      <c r="B67" s="98"/>
      <c r="C67" s="320"/>
      <c r="D67" s="320"/>
      <c r="E67" s="320"/>
      <c r="F67" s="320"/>
      <c r="G67" s="220"/>
      <c r="U67" s="362"/>
      <c r="X67" s="510"/>
      <c r="Y67" s="510"/>
    </row>
    <row r="68" spans="1:25" ht="14.25" customHeight="1" x14ac:dyDescent="0.35">
      <c r="A68" s="435" t="s">
        <v>164</v>
      </c>
      <c r="B68" s="118"/>
      <c r="C68" s="320"/>
      <c r="D68" s="320"/>
      <c r="E68" s="320"/>
      <c r="F68" s="320"/>
      <c r="G68" s="220"/>
      <c r="U68" s="362"/>
      <c r="X68" s="510"/>
      <c r="Y68" s="510"/>
    </row>
    <row r="69" spans="1:25" ht="14.25" customHeight="1" x14ac:dyDescent="0.35">
      <c r="A69" s="435" t="s">
        <v>165</v>
      </c>
      <c r="B69" s="118"/>
      <c r="C69" s="320"/>
      <c r="D69" s="320"/>
      <c r="E69" s="320"/>
      <c r="F69" s="320"/>
      <c r="G69" s="220"/>
      <c r="U69" s="362"/>
      <c r="X69" s="513"/>
      <c r="Y69" s="511"/>
    </row>
    <row r="70" spans="1:25" ht="14.25" customHeight="1" x14ac:dyDescent="0.35">
      <c r="A70" s="98"/>
      <c r="B70" s="98"/>
      <c r="C70" s="98"/>
      <c r="D70" s="98"/>
      <c r="E70" s="98"/>
      <c r="F70" s="98"/>
      <c r="X70" s="510"/>
      <c r="Y70" s="510"/>
    </row>
    <row r="71" spans="1:25" ht="14.25" customHeight="1" x14ac:dyDescent="0.35">
      <c r="A71" s="107" t="s">
        <v>201</v>
      </c>
      <c r="B71" s="436" t="s">
        <v>153</v>
      </c>
      <c r="C71" s="436" t="s">
        <v>154</v>
      </c>
      <c r="D71" s="436" t="s">
        <v>155</v>
      </c>
      <c r="E71" s="436" t="s">
        <v>156</v>
      </c>
      <c r="F71" s="436" t="s">
        <v>157</v>
      </c>
      <c r="G71" s="107" t="s">
        <v>167</v>
      </c>
      <c r="H71" s="107" t="s">
        <v>177</v>
      </c>
      <c r="X71" s="510"/>
      <c r="Y71"/>
    </row>
    <row r="72" spans="1:25" ht="14.25" customHeight="1" x14ac:dyDescent="0.35">
      <c r="A72" s="435" t="s">
        <v>453</v>
      </c>
      <c r="B72" s="98"/>
      <c r="C72" s="320"/>
      <c r="D72" s="320"/>
      <c r="E72" s="320"/>
      <c r="F72" s="320"/>
      <c r="G72" s="440"/>
      <c r="H72" s="98"/>
      <c r="X72" s="510"/>
      <c r="Y72" s="510"/>
    </row>
    <row r="73" spans="1:25" ht="14.25" customHeight="1" x14ac:dyDescent="0.35">
      <c r="A73" s="435" t="s">
        <v>158</v>
      </c>
      <c r="B73" s="98"/>
      <c r="C73" s="320"/>
      <c r="D73" s="320"/>
      <c r="E73" s="320"/>
      <c r="F73" s="320"/>
      <c r="G73" s="220"/>
      <c r="X73" s="510"/>
      <c r="Y73" s="510"/>
    </row>
    <row r="74" spans="1:25" ht="14.25" customHeight="1" x14ac:dyDescent="0.35">
      <c r="A74" s="435" t="s">
        <v>454</v>
      </c>
      <c r="B74" s="98"/>
      <c r="C74" s="320"/>
      <c r="D74" s="320"/>
      <c r="E74" s="320"/>
      <c r="F74" s="320"/>
      <c r="G74" s="220"/>
      <c r="X74" s="510"/>
      <c r="Y74"/>
    </row>
    <row r="75" spans="1:25" ht="14.25" customHeight="1" x14ac:dyDescent="0.35">
      <c r="A75" s="435" t="s">
        <v>159</v>
      </c>
      <c r="B75" s="98"/>
      <c r="C75" s="320"/>
      <c r="D75" s="320"/>
      <c r="E75" s="320"/>
      <c r="F75" s="320"/>
      <c r="G75" s="220"/>
      <c r="X75" s="510"/>
      <c r="Y75"/>
    </row>
    <row r="76" spans="1:25" ht="14.25" customHeight="1" x14ac:dyDescent="0.35">
      <c r="A76" s="435" t="s">
        <v>455</v>
      </c>
      <c r="B76" s="98"/>
      <c r="C76" s="320"/>
      <c r="D76" s="320"/>
      <c r="E76" s="320"/>
      <c r="F76" s="320"/>
      <c r="G76" s="220"/>
      <c r="X76" s="510"/>
      <c r="Y76"/>
    </row>
    <row r="77" spans="1:25" ht="14.25" customHeight="1" x14ac:dyDescent="0.35">
      <c r="A77" s="435" t="s">
        <v>160</v>
      </c>
      <c r="B77" s="98"/>
      <c r="C77" s="320"/>
      <c r="D77" s="320"/>
      <c r="E77" s="320"/>
      <c r="F77" s="320"/>
      <c r="G77" s="220"/>
      <c r="X77" s="510"/>
      <c r="Y77" s="510"/>
    </row>
    <row r="78" spans="1:25" ht="14.25" customHeight="1" x14ac:dyDescent="0.3">
      <c r="A78" s="435" t="s">
        <v>456</v>
      </c>
      <c r="B78" s="98"/>
      <c r="C78" s="320"/>
      <c r="D78" s="320"/>
      <c r="E78" s="320"/>
      <c r="F78" s="320"/>
      <c r="G78" s="220"/>
    </row>
    <row r="79" spans="1:25" ht="14.25" customHeight="1" x14ac:dyDescent="0.3">
      <c r="A79" s="435" t="s">
        <v>161</v>
      </c>
      <c r="B79" s="98"/>
      <c r="C79" s="320"/>
      <c r="D79" s="320"/>
      <c r="E79" s="320"/>
      <c r="F79" s="320"/>
      <c r="G79" s="220"/>
    </row>
    <row r="80" spans="1:25" ht="14.25" customHeight="1" x14ac:dyDescent="0.3">
      <c r="A80" s="435" t="s">
        <v>162</v>
      </c>
      <c r="B80" s="98"/>
      <c r="C80" s="320"/>
      <c r="D80" s="320"/>
      <c r="E80" s="320"/>
      <c r="F80" s="320"/>
      <c r="G80" s="220"/>
    </row>
    <row r="81" spans="1:21" ht="14.25" customHeight="1" x14ac:dyDescent="0.3">
      <c r="A81" s="186" t="s">
        <v>163</v>
      </c>
      <c r="B81" s="118"/>
      <c r="C81" s="320"/>
      <c r="D81" s="320"/>
      <c r="E81" s="320"/>
      <c r="F81" s="320"/>
      <c r="G81" s="220"/>
    </row>
    <row r="82" spans="1:21" ht="14.25" customHeight="1" x14ac:dyDescent="0.3">
      <c r="A82" s="186" t="s">
        <v>164</v>
      </c>
      <c r="B82" s="118"/>
      <c r="C82" s="320"/>
      <c r="D82" s="320"/>
      <c r="E82" s="320"/>
      <c r="F82" s="320"/>
      <c r="G82" s="220"/>
    </row>
    <row r="83" spans="1:21" ht="14.25" customHeight="1" x14ac:dyDescent="0.3">
      <c r="A83" s="186" t="s">
        <v>165</v>
      </c>
      <c r="B83" s="118"/>
      <c r="C83" s="320"/>
      <c r="D83" s="320"/>
      <c r="E83" s="320"/>
      <c r="F83" s="320"/>
      <c r="G83" s="220"/>
      <c r="L83" s="523"/>
      <c r="M83" s="523"/>
      <c r="N83" s="523"/>
      <c r="O83" s="285"/>
      <c r="P83" s="285"/>
      <c r="Q83" s="285"/>
      <c r="R83" s="285"/>
      <c r="S83" s="285"/>
      <c r="T83" s="285"/>
      <c r="U83" s="285"/>
    </row>
    <row r="84" spans="1:21" ht="14.25" customHeight="1" x14ac:dyDescent="0.3">
      <c r="A84" s="98"/>
      <c r="B84" s="98"/>
      <c r="C84" s="98"/>
      <c r="D84" s="98"/>
      <c r="E84" s="98"/>
      <c r="F84" s="98"/>
      <c r="L84" s="523"/>
      <c r="M84" s="523"/>
      <c r="N84" s="523"/>
      <c r="O84" s="285"/>
      <c r="P84" s="285"/>
      <c r="Q84" s="285"/>
      <c r="R84" s="285"/>
      <c r="S84" s="285"/>
      <c r="T84" s="285"/>
      <c r="U84" s="285"/>
    </row>
    <row r="85" spans="1:21" ht="14.25" customHeight="1" x14ac:dyDescent="0.3">
      <c r="A85" s="107" t="s">
        <v>202</v>
      </c>
      <c r="B85" s="436" t="s">
        <v>153</v>
      </c>
      <c r="C85" s="436" t="s">
        <v>154</v>
      </c>
      <c r="D85" s="436" t="s">
        <v>155</v>
      </c>
      <c r="E85" s="436" t="s">
        <v>156</v>
      </c>
      <c r="F85" s="436" t="s">
        <v>157</v>
      </c>
      <c r="G85" s="107" t="s">
        <v>167</v>
      </c>
      <c r="H85" s="107" t="s">
        <v>177</v>
      </c>
      <c r="L85" s="523"/>
      <c r="M85" s="523"/>
      <c r="N85" s="523"/>
      <c r="O85" s="285"/>
      <c r="P85" s="285"/>
      <c r="Q85" s="285"/>
      <c r="R85" s="285"/>
      <c r="S85" s="285"/>
      <c r="T85" s="285"/>
      <c r="U85" s="285"/>
    </row>
    <row r="86" spans="1:21" ht="14.25" customHeight="1" x14ac:dyDescent="0.3">
      <c r="A86" s="435" t="s">
        <v>453</v>
      </c>
      <c r="B86" s="98"/>
      <c r="C86" s="320"/>
      <c r="D86" s="320"/>
      <c r="E86" s="320"/>
      <c r="F86" s="320"/>
      <c r="G86" s="440"/>
      <c r="H86" s="98"/>
      <c r="L86" s="523"/>
      <c r="M86" s="523"/>
      <c r="N86" s="523"/>
      <c r="O86" s="285"/>
      <c r="P86" s="285"/>
      <c r="Q86" s="285"/>
      <c r="R86" s="285"/>
      <c r="S86" s="285"/>
      <c r="T86" s="285"/>
      <c r="U86" s="285"/>
    </row>
    <row r="87" spans="1:21" ht="14.25" customHeight="1" x14ac:dyDescent="0.3">
      <c r="A87" s="435" t="s">
        <v>158</v>
      </c>
      <c r="B87" s="98"/>
      <c r="C87" s="320"/>
      <c r="D87" s="320"/>
      <c r="E87" s="320"/>
      <c r="F87" s="320"/>
      <c r="G87" s="220"/>
      <c r="L87" s="285"/>
      <c r="M87" s="285"/>
      <c r="N87" s="285"/>
      <c r="O87" s="285"/>
      <c r="P87" s="285"/>
      <c r="Q87" s="285"/>
      <c r="R87" s="285"/>
      <c r="S87" s="285"/>
      <c r="T87" s="285"/>
      <c r="U87" s="285"/>
    </row>
    <row r="88" spans="1:21" ht="14.25" customHeight="1" x14ac:dyDescent="0.3">
      <c r="A88" s="435" t="s">
        <v>454</v>
      </c>
      <c r="B88" s="98"/>
      <c r="C88" s="320"/>
      <c r="D88" s="320"/>
      <c r="E88" s="320"/>
      <c r="F88" s="320"/>
      <c r="G88" s="220"/>
      <c r="L88" s="285"/>
      <c r="M88" s="285"/>
      <c r="N88" s="285"/>
      <c r="O88" s="285"/>
      <c r="P88" s="285"/>
      <c r="Q88" s="285"/>
      <c r="R88" s="285"/>
      <c r="S88" s="285"/>
      <c r="T88" s="285"/>
      <c r="U88" s="285"/>
    </row>
    <row r="89" spans="1:21" ht="14.25" customHeight="1" x14ac:dyDescent="0.3">
      <c r="A89" s="435" t="s">
        <v>159</v>
      </c>
      <c r="B89" s="98"/>
      <c r="C89" s="320"/>
      <c r="D89" s="320"/>
      <c r="E89" s="320"/>
      <c r="F89" s="320"/>
      <c r="G89" s="220"/>
      <c r="L89" s="285"/>
      <c r="M89" s="285"/>
      <c r="N89" s="285"/>
      <c r="O89" s="285"/>
      <c r="P89" s="285"/>
      <c r="Q89" s="285"/>
      <c r="R89" s="523"/>
      <c r="S89" s="523"/>
      <c r="T89" s="523"/>
      <c r="U89" s="523"/>
    </row>
    <row r="90" spans="1:21" ht="14.25" customHeight="1" x14ac:dyDescent="0.3">
      <c r="A90" s="435" t="s">
        <v>455</v>
      </c>
      <c r="B90" s="98"/>
      <c r="C90" s="320"/>
      <c r="D90" s="320"/>
      <c r="E90" s="320"/>
      <c r="F90" s="320"/>
      <c r="G90" s="220"/>
      <c r="L90" s="285"/>
      <c r="M90" s="285"/>
      <c r="N90" s="285"/>
      <c r="O90" s="285"/>
      <c r="P90" s="285"/>
      <c r="Q90" s="285"/>
      <c r="R90" s="523"/>
      <c r="S90" s="523"/>
      <c r="T90" s="523"/>
      <c r="U90" s="523"/>
    </row>
    <row r="91" spans="1:21" ht="14.25" customHeight="1" x14ac:dyDescent="0.3">
      <c r="A91" s="435" t="s">
        <v>160</v>
      </c>
      <c r="B91" s="98"/>
      <c r="C91" s="320"/>
      <c r="D91" s="320"/>
      <c r="E91" s="320"/>
      <c r="F91" s="320"/>
      <c r="G91" s="220"/>
      <c r="L91" s="285"/>
      <c r="M91" s="285"/>
      <c r="N91" s="285"/>
      <c r="O91" s="285"/>
      <c r="P91" s="285"/>
      <c r="Q91" s="285"/>
      <c r="R91" s="523"/>
      <c r="S91" s="523"/>
      <c r="T91" s="523"/>
      <c r="U91" s="523"/>
    </row>
    <row r="92" spans="1:21" ht="14.25" customHeight="1" x14ac:dyDescent="0.3">
      <c r="A92" s="435" t="s">
        <v>456</v>
      </c>
      <c r="B92" s="98"/>
      <c r="C92" s="320"/>
      <c r="D92" s="320"/>
      <c r="E92" s="320"/>
      <c r="F92" s="320"/>
      <c r="G92" s="220"/>
      <c r="L92" s="285"/>
      <c r="M92" s="285"/>
      <c r="N92" s="285"/>
      <c r="O92" s="285"/>
      <c r="P92" s="285"/>
      <c r="Q92" s="285"/>
      <c r="R92" s="523"/>
      <c r="S92" s="523"/>
      <c r="T92" s="523"/>
      <c r="U92" s="523"/>
    </row>
    <row r="93" spans="1:21" ht="14.25" customHeight="1" x14ac:dyDescent="0.3">
      <c r="A93" s="435" t="s">
        <v>161</v>
      </c>
      <c r="B93" s="98"/>
      <c r="C93" s="320"/>
      <c r="D93" s="320"/>
      <c r="E93" s="320"/>
      <c r="F93" s="320"/>
      <c r="G93" s="220"/>
      <c r="L93" s="523"/>
      <c r="M93" s="523"/>
      <c r="N93" s="523"/>
      <c r="O93" s="285"/>
      <c r="P93" s="285"/>
      <c r="Q93" s="285"/>
      <c r="R93" s="523"/>
      <c r="S93" s="523"/>
      <c r="T93" s="523"/>
      <c r="U93" s="523"/>
    </row>
    <row r="94" spans="1:21" ht="14.25" customHeight="1" x14ac:dyDescent="0.3">
      <c r="A94" s="435" t="s">
        <v>162</v>
      </c>
      <c r="B94" s="98"/>
      <c r="C94" s="320"/>
      <c r="D94" s="320"/>
      <c r="E94" s="320"/>
      <c r="F94" s="320"/>
      <c r="G94" s="220"/>
      <c r="L94" s="523"/>
      <c r="M94" s="523"/>
      <c r="N94" s="523"/>
      <c r="O94" s="285"/>
      <c r="P94" s="285"/>
      <c r="Q94" s="285"/>
      <c r="R94" s="285"/>
      <c r="S94" s="285"/>
      <c r="T94" s="285"/>
      <c r="U94" s="285"/>
    </row>
    <row r="95" spans="1:21" ht="14.25" customHeight="1" x14ac:dyDescent="0.3">
      <c r="A95" s="98"/>
      <c r="B95" s="98"/>
      <c r="C95" s="98"/>
      <c r="D95" s="98"/>
      <c r="E95" s="98"/>
      <c r="F95" s="98"/>
      <c r="L95" s="523"/>
      <c r="M95" s="523"/>
      <c r="N95" s="523"/>
      <c r="O95" s="285"/>
      <c r="P95" s="285"/>
      <c r="Q95" s="285"/>
      <c r="R95" s="285"/>
      <c r="S95" s="285"/>
      <c r="T95" s="285"/>
      <c r="U95" s="285"/>
    </row>
    <row r="96" spans="1:21" ht="14.25" customHeight="1" x14ac:dyDescent="0.3">
      <c r="A96" s="107" t="s">
        <v>203</v>
      </c>
      <c r="B96" s="436" t="s">
        <v>153</v>
      </c>
      <c r="C96" s="436" t="s">
        <v>154</v>
      </c>
      <c r="D96" s="436" t="s">
        <v>155</v>
      </c>
      <c r="E96" s="436" t="s">
        <v>156</v>
      </c>
      <c r="F96" s="436" t="s">
        <v>157</v>
      </c>
      <c r="G96" s="107" t="s">
        <v>167</v>
      </c>
      <c r="H96" s="107" t="s">
        <v>177</v>
      </c>
      <c r="L96" s="523"/>
      <c r="M96" s="523"/>
      <c r="N96" s="523"/>
      <c r="O96" s="285"/>
      <c r="P96" s="285"/>
      <c r="Q96" s="285"/>
      <c r="R96" s="285"/>
      <c r="S96" s="285"/>
      <c r="T96" s="285"/>
      <c r="U96" s="285"/>
    </row>
    <row r="97" spans="1:21" ht="14.25" customHeight="1" x14ac:dyDescent="0.3">
      <c r="A97" s="435" t="s">
        <v>453</v>
      </c>
      <c r="B97" s="98"/>
      <c r="C97" s="320"/>
      <c r="D97" s="320"/>
      <c r="E97" s="320"/>
      <c r="F97" s="320"/>
      <c r="G97" s="189"/>
      <c r="H97" s="98"/>
      <c r="L97" s="523"/>
      <c r="M97" s="523"/>
      <c r="N97" s="523"/>
      <c r="O97" s="285"/>
      <c r="P97" s="285"/>
      <c r="Q97" s="285"/>
      <c r="R97" s="285"/>
      <c r="S97" s="285"/>
      <c r="T97" s="285"/>
      <c r="U97" s="285"/>
    </row>
    <row r="98" spans="1:21" ht="14.25" customHeight="1" x14ac:dyDescent="0.3">
      <c r="A98" s="435" t="s">
        <v>158</v>
      </c>
      <c r="B98" s="98"/>
      <c r="C98" s="320"/>
      <c r="D98" s="320"/>
      <c r="E98" s="320"/>
      <c r="F98" s="320"/>
      <c r="G98" s="220"/>
      <c r="L98" s="523"/>
      <c r="M98" s="523"/>
      <c r="N98" s="523"/>
      <c r="O98" s="285"/>
      <c r="P98" s="285"/>
      <c r="Q98" s="285"/>
      <c r="R98" s="285"/>
      <c r="S98" s="285"/>
      <c r="T98" s="285"/>
      <c r="U98" s="285"/>
    </row>
    <row r="99" spans="1:21" ht="14.25" customHeight="1" x14ac:dyDescent="0.3">
      <c r="A99" s="435" t="s">
        <v>454</v>
      </c>
      <c r="B99" s="98"/>
      <c r="C99" s="320"/>
      <c r="D99" s="320"/>
      <c r="E99" s="320"/>
      <c r="F99" s="320"/>
      <c r="G99" s="220"/>
      <c r="L99" s="523"/>
      <c r="M99" s="523"/>
      <c r="N99" s="523"/>
      <c r="O99" s="285"/>
      <c r="P99" s="285"/>
      <c r="Q99" s="285"/>
      <c r="R99" s="285"/>
      <c r="S99" s="285"/>
      <c r="T99" s="285"/>
      <c r="U99" s="285"/>
    </row>
    <row r="100" spans="1:21" ht="14.25" customHeight="1" x14ac:dyDescent="0.3">
      <c r="A100" s="435" t="s">
        <v>159</v>
      </c>
      <c r="B100" s="98"/>
      <c r="C100" s="320"/>
      <c r="D100" s="320"/>
      <c r="E100" s="320"/>
      <c r="F100" s="320"/>
      <c r="G100" s="220"/>
      <c r="L100" s="523"/>
      <c r="M100" s="523"/>
      <c r="N100" s="523"/>
      <c r="O100" s="285"/>
      <c r="P100" s="285"/>
      <c r="Q100" s="285"/>
      <c r="R100" s="285"/>
      <c r="S100" s="285"/>
      <c r="T100" s="285"/>
      <c r="U100" s="285"/>
    </row>
    <row r="101" spans="1:21" ht="14.25" customHeight="1" x14ac:dyDescent="0.3">
      <c r="A101" s="435" t="s">
        <v>455</v>
      </c>
      <c r="B101" s="98"/>
      <c r="C101" s="320"/>
      <c r="D101" s="320"/>
      <c r="E101" s="320"/>
      <c r="F101" s="320"/>
      <c r="G101" s="220"/>
      <c r="L101" s="523"/>
      <c r="M101" s="523"/>
      <c r="N101" s="523"/>
      <c r="O101" s="523"/>
      <c r="P101" s="523"/>
      <c r="Q101" s="523"/>
      <c r="R101" s="285"/>
      <c r="S101" s="285"/>
      <c r="T101" s="285"/>
      <c r="U101" s="285"/>
    </row>
    <row r="102" spans="1:21" ht="14.25" customHeight="1" x14ac:dyDescent="0.3">
      <c r="A102" s="435" t="s">
        <v>160</v>
      </c>
      <c r="B102" s="98"/>
      <c r="C102" s="320"/>
      <c r="D102" s="320"/>
      <c r="E102" s="320"/>
      <c r="F102" s="320"/>
      <c r="G102" s="220"/>
      <c r="L102" s="523"/>
      <c r="M102" s="523"/>
      <c r="N102" s="523"/>
      <c r="O102" s="523"/>
      <c r="P102" s="523"/>
      <c r="Q102" s="523"/>
      <c r="R102" s="523"/>
      <c r="S102" s="523"/>
      <c r="T102" s="523"/>
      <c r="U102" s="523"/>
    </row>
    <row r="103" spans="1:21" ht="14.25" customHeight="1" x14ac:dyDescent="0.3">
      <c r="A103" s="435" t="s">
        <v>456</v>
      </c>
      <c r="B103" s="98"/>
      <c r="C103" s="320"/>
      <c r="D103" s="320"/>
      <c r="E103" s="320"/>
      <c r="F103" s="320"/>
      <c r="G103" s="220"/>
      <c r="L103" s="523"/>
      <c r="M103" s="523"/>
      <c r="N103" s="523"/>
      <c r="O103" s="523"/>
      <c r="P103" s="523"/>
      <c r="Q103" s="523"/>
      <c r="R103" s="523"/>
      <c r="S103" s="523"/>
      <c r="T103" s="523"/>
      <c r="U103" s="523"/>
    </row>
    <row r="104" spans="1:21" ht="14.25" customHeight="1" x14ac:dyDescent="0.3">
      <c r="A104" s="435" t="s">
        <v>161</v>
      </c>
      <c r="B104" s="98"/>
      <c r="C104" s="320"/>
      <c r="D104" s="320"/>
      <c r="E104" s="320"/>
      <c r="F104" s="320"/>
      <c r="G104" s="220"/>
      <c r="L104" s="523"/>
      <c r="M104" s="523"/>
      <c r="N104" s="523"/>
      <c r="O104" s="523"/>
      <c r="P104" s="523"/>
      <c r="Q104" s="523"/>
      <c r="R104" s="523"/>
      <c r="S104" s="523"/>
      <c r="T104" s="523"/>
      <c r="U104" s="523"/>
    </row>
    <row r="105" spans="1:21" ht="14.25" customHeight="1" x14ac:dyDescent="0.3">
      <c r="A105" s="435" t="s">
        <v>162</v>
      </c>
      <c r="B105" s="98"/>
      <c r="C105" s="320"/>
      <c r="D105" s="320"/>
      <c r="E105" s="320"/>
      <c r="F105" s="320"/>
      <c r="G105" s="220"/>
      <c r="L105" s="523"/>
      <c r="M105" s="523"/>
      <c r="N105" s="523"/>
      <c r="O105" s="285"/>
      <c r="P105" s="285"/>
      <c r="Q105" s="285"/>
      <c r="R105" s="523"/>
      <c r="S105" s="523"/>
      <c r="T105" s="523"/>
      <c r="U105" s="523"/>
    </row>
    <row r="106" spans="1:21" ht="14.25" customHeight="1" x14ac:dyDescent="0.3">
      <c r="A106" s="435" t="s">
        <v>163</v>
      </c>
      <c r="B106" s="98"/>
      <c r="C106" s="98"/>
      <c r="D106" s="98"/>
      <c r="E106" s="98"/>
      <c r="F106" s="98"/>
      <c r="L106" s="523"/>
      <c r="M106" s="523"/>
      <c r="N106" s="523"/>
    </row>
    <row r="107" spans="1:21" ht="14.25" customHeight="1" x14ac:dyDescent="0.3">
      <c r="A107" s="435" t="s">
        <v>164</v>
      </c>
      <c r="B107" s="420"/>
      <c r="C107" s="420"/>
      <c r="D107" s="420"/>
      <c r="E107" s="420"/>
      <c r="F107" s="420"/>
      <c r="G107" s="77"/>
      <c r="H107" s="77"/>
      <c r="L107" s="523"/>
      <c r="M107" s="523"/>
      <c r="N107" s="523"/>
    </row>
    <row r="108" spans="1:21" ht="14.25" customHeight="1" x14ac:dyDescent="0.3">
      <c r="A108" s="435" t="s">
        <v>165</v>
      </c>
      <c r="B108" s="189"/>
      <c r="C108" s="189"/>
      <c r="D108" s="189"/>
      <c r="E108" s="189"/>
      <c r="F108" s="189"/>
      <c r="G108" s="285"/>
      <c r="H108" s="285"/>
      <c r="L108" s="523"/>
      <c r="M108" s="523"/>
      <c r="N108" s="523"/>
    </row>
    <row r="110" spans="1:21" ht="14.25" customHeight="1" x14ac:dyDescent="0.3">
      <c r="A110" s="107" t="s">
        <v>489</v>
      </c>
      <c r="B110" s="436" t="s">
        <v>153</v>
      </c>
      <c r="C110" s="436" t="s">
        <v>154</v>
      </c>
      <c r="D110" s="436" t="s">
        <v>155</v>
      </c>
      <c r="E110" s="436" t="s">
        <v>156</v>
      </c>
      <c r="F110" s="436" t="s">
        <v>157</v>
      </c>
      <c r="G110" s="107" t="s">
        <v>167</v>
      </c>
      <c r="H110" s="107" t="s">
        <v>177</v>
      </c>
      <c r="L110" s="925" t="s">
        <v>528</v>
      </c>
      <c r="M110" s="925"/>
      <c r="N110" s="90"/>
      <c r="O110" s="90"/>
      <c r="P110" s="90"/>
      <c r="Q110" s="90"/>
      <c r="R110" s="90"/>
      <c r="S110" s="90"/>
    </row>
    <row r="111" spans="1:21" ht="14.25" customHeight="1" x14ac:dyDescent="0.3">
      <c r="A111" s="435" t="s">
        <v>453</v>
      </c>
      <c r="B111" s="98"/>
      <c r="C111" s="320"/>
      <c r="D111" s="320"/>
      <c r="E111" s="320"/>
      <c r="F111" s="320"/>
      <c r="G111" s="189"/>
      <c r="H111" s="98"/>
      <c r="L111" s="505" t="s">
        <v>151</v>
      </c>
      <c r="M111" s="519">
        <v>41158</v>
      </c>
      <c r="N111" s="387"/>
      <c r="O111" s="387"/>
      <c r="P111" s="387"/>
      <c r="Q111" s="387"/>
      <c r="R111" s="90"/>
      <c r="S111" s="90"/>
    </row>
    <row r="112" spans="1:21" ht="14.25" customHeight="1" x14ac:dyDescent="0.3">
      <c r="A112" s="435" t="s">
        <v>158</v>
      </c>
      <c r="B112" s="98"/>
      <c r="C112" s="320"/>
      <c r="D112" s="320"/>
      <c r="E112" s="320"/>
      <c r="F112" s="320"/>
      <c r="G112" s="220"/>
      <c r="L112" s="516" t="s">
        <v>528</v>
      </c>
      <c r="M112" s="505" t="s">
        <v>153</v>
      </c>
      <c r="N112" s="505" t="s">
        <v>154</v>
      </c>
      <c r="O112" s="505" t="s">
        <v>155</v>
      </c>
      <c r="P112" s="505" t="s">
        <v>156</v>
      </c>
      <c r="Q112" s="505" t="s">
        <v>157</v>
      </c>
      <c r="R112" s="516" t="s">
        <v>167</v>
      </c>
      <c r="S112" s="516" t="s">
        <v>177</v>
      </c>
    </row>
    <row r="113" spans="1:21" ht="14.25" customHeight="1" x14ac:dyDescent="0.3">
      <c r="A113" s="435" t="s">
        <v>454</v>
      </c>
      <c r="B113" s="98"/>
      <c r="C113" s="320"/>
      <c r="D113" s="320"/>
      <c r="E113" s="320"/>
      <c r="F113" s="320"/>
      <c r="G113" s="220"/>
      <c r="L113" s="517" t="s">
        <v>453</v>
      </c>
      <c r="M113" s="468"/>
      <c r="N113" s="495"/>
      <c r="O113" s="495"/>
      <c r="P113" s="495"/>
      <c r="Q113" s="495"/>
      <c r="R113" s="389"/>
      <c r="S113" s="301"/>
    </row>
    <row r="114" spans="1:21" ht="14.25" customHeight="1" x14ac:dyDescent="0.3">
      <c r="A114" s="435" t="s">
        <v>159</v>
      </c>
      <c r="B114" s="98"/>
      <c r="C114" s="320"/>
      <c r="D114" s="320"/>
      <c r="E114" s="320"/>
      <c r="F114" s="320"/>
      <c r="G114" s="220"/>
      <c r="L114" s="517" t="s">
        <v>158</v>
      </c>
      <c r="M114" s="301"/>
      <c r="N114" s="495"/>
      <c r="O114" s="495"/>
      <c r="P114" s="495"/>
      <c r="Q114" s="495"/>
      <c r="R114" s="90"/>
      <c r="S114" s="90"/>
    </row>
    <row r="115" spans="1:21" ht="14.25" customHeight="1" x14ac:dyDescent="0.3">
      <c r="A115" s="435" t="s">
        <v>455</v>
      </c>
      <c r="B115" s="98"/>
      <c r="C115" s="320"/>
      <c r="D115" s="320"/>
      <c r="E115" s="320"/>
      <c r="F115" s="320"/>
      <c r="G115" s="220"/>
      <c r="L115" s="517" t="s">
        <v>454</v>
      </c>
      <c r="M115" s="301"/>
      <c r="N115" s="495"/>
      <c r="O115" s="495"/>
      <c r="P115" s="495"/>
      <c r="Q115" s="495"/>
      <c r="R115" s="928" t="s">
        <v>764</v>
      </c>
      <c r="S115" s="929"/>
    </row>
    <row r="116" spans="1:21" ht="14.25" customHeight="1" x14ac:dyDescent="0.3">
      <c r="A116" s="435" t="s">
        <v>160</v>
      </c>
      <c r="B116" s="98"/>
      <c r="C116" s="320"/>
      <c r="D116" s="320"/>
      <c r="E116" s="320"/>
      <c r="F116" s="320"/>
      <c r="G116" s="220"/>
      <c r="L116" s="517" t="s">
        <v>159</v>
      </c>
      <c r="M116" s="301"/>
      <c r="N116" s="495"/>
      <c r="O116" s="495"/>
      <c r="P116" s="495"/>
      <c r="Q116" s="495"/>
      <c r="R116" s="90"/>
      <c r="S116" s="90"/>
    </row>
    <row r="117" spans="1:21" ht="14.25" customHeight="1" x14ac:dyDescent="0.3">
      <c r="A117" s="435" t="s">
        <v>456</v>
      </c>
      <c r="B117" s="98"/>
      <c r="C117" s="320"/>
      <c r="D117" s="320"/>
      <c r="E117" s="320"/>
      <c r="F117" s="320"/>
      <c r="G117" s="220"/>
      <c r="L117" s="517" t="s">
        <v>455</v>
      </c>
      <c r="M117" s="301"/>
      <c r="N117" s="495"/>
      <c r="O117" s="495"/>
      <c r="P117" s="495"/>
      <c r="Q117" s="495"/>
      <c r="R117" s="90"/>
      <c r="S117" s="90"/>
    </row>
    <row r="118" spans="1:21" ht="14.25" customHeight="1" x14ac:dyDescent="0.3">
      <c r="A118" s="435" t="s">
        <v>161</v>
      </c>
      <c r="B118" s="98"/>
      <c r="C118" s="320"/>
      <c r="D118" s="320"/>
      <c r="E118" s="320"/>
      <c r="F118" s="320"/>
      <c r="G118" s="220"/>
      <c r="L118" s="517" t="s">
        <v>160</v>
      </c>
      <c r="M118" s="301"/>
      <c r="N118" s="495"/>
      <c r="O118" s="495"/>
      <c r="P118" s="495"/>
      <c r="Q118" s="495"/>
      <c r="R118" s="90"/>
      <c r="S118" s="90"/>
    </row>
    <row r="119" spans="1:21" ht="14.25" customHeight="1" x14ac:dyDescent="0.3">
      <c r="A119" s="435" t="s">
        <v>162</v>
      </c>
      <c r="B119" s="98"/>
      <c r="C119" s="320"/>
      <c r="D119" s="320"/>
      <c r="E119" s="320"/>
      <c r="F119" s="320"/>
      <c r="G119" s="220"/>
      <c r="L119" s="517" t="s">
        <v>456</v>
      </c>
      <c r="M119" s="301"/>
      <c r="N119" s="495"/>
      <c r="O119" s="495"/>
      <c r="P119" s="495"/>
      <c r="Q119" s="495"/>
      <c r="R119" s="90"/>
      <c r="S119" s="90"/>
    </row>
    <row r="120" spans="1:21" ht="14.25" customHeight="1" x14ac:dyDescent="0.3">
      <c r="A120" s="435" t="s">
        <v>163</v>
      </c>
      <c r="B120" s="98"/>
      <c r="C120" s="98"/>
      <c r="D120" s="98"/>
      <c r="E120" s="98"/>
      <c r="F120" s="98"/>
      <c r="L120" s="517" t="s">
        <v>161</v>
      </c>
      <c r="M120" s="301"/>
      <c r="N120" s="495"/>
      <c r="O120" s="495"/>
      <c r="P120" s="495"/>
      <c r="Q120" s="495"/>
      <c r="R120" s="90"/>
      <c r="S120" s="90"/>
    </row>
    <row r="121" spans="1:21" ht="14.25" customHeight="1" x14ac:dyDescent="0.3">
      <c r="L121" s="517" t="s">
        <v>162</v>
      </c>
      <c r="M121" s="301"/>
      <c r="N121" s="495"/>
      <c r="O121" s="495"/>
      <c r="P121" s="495"/>
      <c r="Q121" s="495"/>
      <c r="R121" s="928" t="s">
        <v>764</v>
      </c>
      <c r="S121" s="929"/>
    </row>
    <row r="122" spans="1:21" ht="14.25" customHeight="1" x14ac:dyDescent="0.3">
      <c r="A122" s="104" t="s">
        <v>490</v>
      </c>
      <c r="L122" s="90"/>
      <c r="M122" s="90"/>
      <c r="N122" s="90"/>
      <c r="O122" s="90"/>
      <c r="P122" s="90"/>
      <c r="Q122" s="90"/>
      <c r="R122" s="90"/>
      <c r="S122" s="90"/>
    </row>
    <row r="123" spans="1:21" ht="14.25" customHeight="1" x14ac:dyDescent="0.3">
      <c r="A123" s="104" t="s">
        <v>491</v>
      </c>
      <c r="L123" s="925" t="s">
        <v>524</v>
      </c>
      <c r="M123" s="925"/>
      <c r="N123" s="90"/>
      <c r="O123" s="90"/>
      <c r="P123" s="90"/>
      <c r="Q123" s="90"/>
      <c r="R123" s="90"/>
      <c r="S123" s="90"/>
    </row>
    <row r="124" spans="1:21" ht="14.25" customHeight="1" x14ac:dyDescent="0.3">
      <c r="L124" s="505" t="s">
        <v>151</v>
      </c>
      <c r="M124" s="519">
        <v>41159</v>
      </c>
      <c r="N124" s="387"/>
      <c r="O124" s="387"/>
      <c r="P124" s="387"/>
      <c r="Q124" s="387"/>
      <c r="R124" s="387"/>
      <c r="S124" s="387"/>
    </row>
    <row r="125" spans="1:21" ht="14.25" customHeight="1" x14ac:dyDescent="0.3">
      <c r="L125" s="516" t="s">
        <v>765</v>
      </c>
      <c r="M125" s="505" t="s">
        <v>153</v>
      </c>
      <c r="N125" s="505" t="s">
        <v>154</v>
      </c>
      <c r="O125" s="505" t="s">
        <v>155</v>
      </c>
      <c r="P125" s="505" t="s">
        <v>156</v>
      </c>
      <c r="Q125" s="505" t="s">
        <v>157</v>
      </c>
      <c r="R125" s="516" t="s">
        <v>167</v>
      </c>
      <c r="S125" s="516" t="s">
        <v>177</v>
      </c>
    </row>
    <row r="126" spans="1:21" ht="14.25" customHeight="1" x14ac:dyDescent="0.3">
      <c r="L126" s="517" t="s">
        <v>453</v>
      </c>
      <c r="M126" s="468"/>
      <c r="N126" s="495"/>
      <c r="O126" s="495"/>
      <c r="P126" s="495"/>
      <c r="Q126" s="495"/>
      <c r="R126" s="389"/>
      <c r="S126" s="301"/>
    </row>
    <row r="127" spans="1:21" ht="14.25" customHeight="1" x14ac:dyDescent="0.3">
      <c r="L127" s="517" t="s">
        <v>158</v>
      </c>
      <c r="M127" s="301"/>
      <c r="N127" s="301"/>
      <c r="O127" s="301"/>
      <c r="P127" s="301"/>
      <c r="Q127" s="301"/>
      <c r="R127" s="926" t="s">
        <v>766</v>
      </c>
      <c r="S127" s="927"/>
      <c r="T127" s="927"/>
      <c r="U127" s="522"/>
    </row>
    <row r="128" spans="1:21" ht="14.25" customHeight="1" x14ac:dyDescent="0.3">
      <c r="L128" s="517" t="s">
        <v>454</v>
      </c>
      <c r="M128" s="301"/>
      <c r="N128" s="495"/>
      <c r="O128" s="495"/>
      <c r="P128" s="495"/>
      <c r="Q128" s="495"/>
      <c r="R128" s="518"/>
      <c r="S128" s="387"/>
    </row>
    <row r="129" spans="12:21" ht="14.25" customHeight="1" x14ac:dyDescent="0.3">
      <c r="L129" s="517" t="s">
        <v>159</v>
      </c>
      <c r="M129" s="301"/>
      <c r="N129" s="495"/>
      <c r="O129" s="495"/>
      <c r="P129" s="495"/>
      <c r="Q129" s="495"/>
      <c r="R129" s="518"/>
      <c r="S129" s="387"/>
    </row>
    <row r="130" spans="12:21" ht="14.25" customHeight="1" x14ac:dyDescent="0.3">
      <c r="L130" s="517" t="s">
        <v>455</v>
      </c>
      <c r="M130" s="301"/>
      <c r="N130" s="495"/>
      <c r="O130" s="495"/>
      <c r="P130" s="495"/>
      <c r="Q130" s="495"/>
      <c r="R130" s="518"/>
      <c r="S130" s="387"/>
    </row>
    <row r="131" spans="12:21" ht="14.25" customHeight="1" x14ac:dyDescent="0.3">
      <c r="L131" s="517" t="s">
        <v>160</v>
      </c>
      <c r="M131" s="301"/>
      <c r="N131" s="495"/>
      <c r="O131" s="495"/>
      <c r="P131" s="495"/>
      <c r="Q131" s="495"/>
      <c r="R131" s="518"/>
      <c r="S131" s="387"/>
    </row>
    <row r="132" spans="12:21" ht="14.25" customHeight="1" x14ac:dyDescent="0.3">
      <c r="L132" s="517" t="s">
        <v>456</v>
      </c>
      <c r="M132" s="301"/>
      <c r="N132" s="495"/>
      <c r="O132" s="495"/>
      <c r="P132" s="495"/>
      <c r="Q132" s="495"/>
      <c r="R132" s="518"/>
      <c r="S132" s="387"/>
    </row>
    <row r="133" spans="12:21" ht="14.25" customHeight="1" x14ac:dyDescent="0.3">
      <c r="L133" s="517" t="s">
        <v>161</v>
      </c>
      <c r="M133" s="301"/>
      <c r="N133" s="495"/>
      <c r="O133" s="495"/>
      <c r="P133" s="495"/>
      <c r="Q133" s="495"/>
      <c r="R133" s="518"/>
      <c r="S133" s="387"/>
    </row>
    <row r="134" spans="12:21" ht="14.25" customHeight="1" x14ac:dyDescent="0.3">
      <c r="L134" s="517" t="s">
        <v>162</v>
      </c>
      <c r="M134" s="301"/>
      <c r="N134" s="495"/>
      <c r="O134" s="495"/>
      <c r="P134" s="495"/>
      <c r="Q134" s="495"/>
      <c r="R134" s="518"/>
      <c r="S134" s="387"/>
    </row>
    <row r="135" spans="12:21" ht="14.25" customHeight="1" x14ac:dyDescent="0.3">
      <c r="L135" s="517" t="s">
        <v>163</v>
      </c>
      <c r="M135" s="301"/>
      <c r="N135" s="301"/>
      <c r="O135" s="301"/>
      <c r="P135" s="301"/>
      <c r="Q135" s="301"/>
      <c r="R135" s="926" t="s">
        <v>766</v>
      </c>
      <c r="S135" s="927"/>
      <c r="T135" s="927"/>
      <c r="U135" s="522"/>
    </row>
  </sheetData>
  <mergeCells count="50">
    <mergeCell ref="B44:F44"/>
    <mergeCell ref="E32:F32"/>
    <mergeCell ref="A29:B29"/>
    <mergeCell ref="D29:E29"/>
    <mergeCell ref="U13:W13"/>
    <mergeCell ref="L19:N19"/>
    <mergeCell ref="L33:N33"/>
    <mergeCell ref="A1:F1"/>
    <mergeCell ref="B32:C32"/>
    <mergeCell ref="R5:T5"/>
    <mergeCell ref="R42:T42"/>
    <mergeCell ref="U28:W28"/>
    <mergeCell ref="U21:W21"/>
    <mergeCell ref="U5:W5"/>
    <mergeCell ref="L40:N40"/>
    <mergeCell ref="O5:Q5"/>
    <mergeCell ref="O41:Q41"/>
    <mergeCell ref="O23:Q23"/>
    <mergeCell ref="R23:T23"/>
    <mergeCell ref="L10:N10"/>
    <mergeCell ref="R127:T127"/>
    <mergeCell ref="R135:T135"/>
    <mergeCell ref="R115:S115"/>
    <mergeCell ref="R121:S121"/>
    <mergeCell ref="L123:M123"/>
    <mergeCell ref="L110:M110"/>
    <mergeCell ref="Y5:AA5"/>
    <mergeCell ref="Y13:AA13"/>
    <mergeCell ref="Y21:AA21"/>
    <mergeCell ref="Z24:AA24"/>
    <mergeCell ref="Y29:AA29"/>
    <mergeCell ref="L54:N54"/>
    <mergeCell ref="AC48:AD48"/>
    <mergeCell ref="AB45:AD45"/>
    <mergeCell ref="AC40:AD40"/>
    <mergeCell ref="Z32:AA32"/>
    <mergeCell ref="Y37:AA37"/>
    <mergeCell ref="Y45:AA45"/>
    <mergeCell ref="AE13:AG13"/>
    <mergeCell ref="AF16:AG16"/>
    <mergeCell ref="AE5:AG5"/>
    <mergeCell ref="AF8:AG8"/>
    <mergeCell ref="AC32:AD32"/>
    <mergeCell ref="AB21:AD21"/>
    <mergeCell ref="AE21:AG21"/>
    <mergeCell ref="AE29:AG29"/>
    <mergeCell ref="AB5:AD5"/>
    <mergeCell ref="AB13:AD13"/>
    <mergeCell ref="AB29:AD29"/>
    <mergeCell ref="AC24:AD24"/>
  </mergeCells>
  <pageMargins left="1" right="0.25" top="0.75" bottom="0.75" header="0.3" footer="0.3"/>
  <pageSetup scale="9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AQ172"/>
  <sheetViews>
    <sheetView workbookViewId="0">
      <selection activeCell="O43" sqref="O43"/>
    </sheetView>
  </sheetViews>
  <sheetFormatPr defaultRowHeight="12.5" x14ac:dyDescent="0.25"/>
  <cols>
    <col min="2" max="2" width="11.36328125" bestFit="1" customWidth="1"/>
    <col min="3" max="3" width="12.6328125" bestFit="1" customWidth="1"/>
    <col min="5" max="5" width="12.90625" bestFit="1" customWidth="1"/>
    <col min="8" max="8" width="9.6328125" bestFit="1" customWidth="1"/>
    <col min="9" max="10" width="14.54296875" bestFit="1" customWidth="1"/>
    <col min="11" max="11" width="21.90625" bestFit="1" customWidth="1"/>
    <col min="12" max="13" width="10.6328125" bestFit="1" customWidth="1"/>
    <col min="18" max="18" width="11.54296875" bestFit="1" customWidth="1"/>
  </cols>
  <sheetData>
    <row r="1" spans="1:43" ht="13.25" customHeight="1" x14ac:dyDescent="0.3">
      <c r="A1" s="932" t="s">
        <v>577</v>
      </c>
      <c r="B1" s="932"/>
      <c r="C1" s="932"/>
      <c r="D1" s="891" t="s">
        <v>576</v>
      </c>
      <c r="E1" s="891"/>
      <c r="H1" s="941" t="s">
        <v>635</v>
      </c>
      <c r="I1" s="942"/>
      <c r="J1" s="942"/>
      <c r="K1" s="943"/>
      <c r="Q1" s="404" t="s">
        <v>582</v>
      </c>
      <c r="R1" s="940" t="s">
        <v>583</v>
      </c>
      <c r="S1" s="940"/>
      <c r="T1" s="940" t="s">
        <v>584</v>
      </c>
      <c r="U1" s="940"/>
      <c r="V1" s="940" t="s">
        <v>585</v>
      </c>
      <c r="W1" s="940"/>
      <c r="X1" s="940" t="s">
        <v>586</v>
      </c>
      <c r="Y1" s="940"/>
      <c r="Z1" s="940" t="s">
        <v>587</v>
      </c>
      <c r="AA1" s="940"/>
      <c r="AB1" s="940" t="s">
        <v>588</v>
      </c>
      <c r="AC1" s="940"/>
      <c r="AD1" s="940" t="s">
        <v>589</v>
      </c>
      <c r="AE1" s="940"/>
      <c r="AF1" s="940" t="s">
        <v>590</v>
      </c>
      <c r="AG1" s="940"/>
      <c r="AH1" s="940" t="s">
        <v>591</v>
      </c>
      <c r="AI1" s="940"/>
      <c r="AJ1" s="940" t="s">
        <v>592</v>
      </c>
      <c r="AK1" s="940"/>
      <c r="AL1" s="940" t="s">
        <v>593</v>
      </c>
      <c r="AM1" s="940"/>
      <c r="AN1" s="940" t="s">
        <v>594</v>
      </c>
      <c r="AO1" s="940"/>
      <c r="AP1" s="940" t="s">
        <v>595</v>
      </c>
      <c r="AQ1" s="940"/>
    </row>
    <row r="2" spans="1:43" ht="13" x14ac:dyDescent="0.3">
      <c r="A2" s="107" t="s">
        <v>11</v>
      </c>
      <c r="B2" s="107" t="s">
        <v>570</v>
      </c>
      <c r="C2" s="107" t="s">
        <v>576</v>
      </c>
      <c r="D2" s="420" t="s">
        <v>11</v>
      </c>
      <c r="E2" s="420" t="s">
        <v>618</v>
      </c>
      <c r="H2" s="158" t="s">
        <v>430</v>
      </c>
      <c r="I2" s="158" t="s">
        <v>578</v>
      </c>
      <c r="J2" s="158" t="s">
        <v>579</v>
      </c>
      <c r="K2" s="164" t="s">
        <v>611</v>
      </c>
      <c r="M2" s="415">
        <v>86</v>
      </c>
      <c r="N2" s="415">
        <v>81</v>
      </c>
      <c r="O2" s="416">
        <v>81</v>
      </c>
      <c r="Q2" s="406">
        <v>1961</v>
      </c>
      <c r="R2" s="408" t="s">
        <v>596</v>
      </c>
      <c r="S2" s="410" t="s">
        <v>597</v>
      </c>
      <c r="T2" s="408" t="s">
        <v>596</v>
      </c>
      <c r="U2" s="410" t="s">
        <v>597</v>
      </c>
      <c r="V2" s="408" t="s">
        <v>596</v>
      </c>
      <c r="W2" s="410" t="s">
        <v>597</v>
      </c>
      <c r="X2" s="408" t="s">
        <v>596</v>
      </c>
      <c r="Y2" s="410" t="s">
        <v>597</v>
      </c>
      <c r="Z2" s="408">
        <v>57.64</v>
      </c>
      <c r="AA2" s="410" t="s">
        <v>598</v>
      </c>
      <c r="AB2" s="408">
        <v>58.42</v>
      </c>
      <c r="AC2" s="409"/>
      <c r="AD2" s="408">
        <v>62.74</v>
      </c>
      <c r="AE2" s="409"/>
      <c r="AF2" s="408">
        <v>61.61</v>
      </c>
      <c r="AG2" s="409"/>
      <c r="AH2" s="408">
        <v>49.27</v>
      </c>
      <c r="AI2" s="409"/>
      <c r="AJ2" s="408">
        <v>43.68</v>
      </c>
      <c r="AK2" s="409"/>
      <c r="AL2" s="408">
        <v>31.48</v>
      </c>
      <c r="AM2" s="409"/>
      <c r="AN2" s="408">
        <v>23.71</v>
      </c>
      <c r="AO2" s="409"/>
      <c r="AP2" s="408">
        <v>47.27</v>
      </c>
    </row>
    <row r="3" spans="1:43" ht="13" x14ac:dyDescent="0.3">
      <c r="A3" s="402">
        <v>5</v>
      </c>
      <c r="B3" s="64" t="s">
        <v>572</v>
      </c>
      <c r="C3" s="48">
        <v>19.3</v>
      </c>
      <c r="D3" s="321">
        <v>5</v>
      </c>
      <c r="E3" s="401">
        <v>19.7</v>
      </c>
      <c r="H3" s="56" t="s">
        <v>580</v>
      </c>
      <c r="I3" s="56">
        <v>80.5</v>
      </c>
      <c r="J3" s="56">
        <v>64.599999999999994</v>
      </c>
      <c r="K3" s="321">
        <v>85.5</v>
      </c>
      <c r="M3" s="415">
        <v>91</v>
      </c>
      <c r="N3" s="415">
        <v>85</v>
      </c>
      <c r="O3" s="417">
        <v>80</v>
      </c>
      <c r="Q3" s="406">
        <v>1962</v>
      </c>
      <c r="R3" s="408">
        <v>20.68</v>
      </c>
      <c r="S3" s="409"/>
      <c r="T3" s="408">
        <v>29.48</v>
      </c>
      <c r="U3" s="409"/>
      <c r="V3" s="408">
        <v>31.42</v>
      </c>
      <c r="W3" s="409"/>
      <c r="X3" s="408">
        <v>45.28</v>
      </c>
      <c r="Y3" s="409"/>
      <c r="Z3" s="408">
        <v>52.32</v>
      </c>
      <c r="AA3" s="409"/>
      <c r="AB3" s="408">
        <v>58.05</v>
      </c>
      <c r="AC3" s="409"/>
      <c r="AD3" s="408">
        <v>64.98</v>
      </c>
      <c r="AE3" s="409"/>
      <c r="AF3" s="408" t="s">
        <v>596</v>
      </c>
      <c r="AG3" s="410" t="s">
        <v>597</v>
      </c>
      <c r="AH3" s="408" t="s">
        <v>596</v>
      </c>
      <c r="AI3" s="410" t="s">
        <v>597</v>
      </c>
      <c r="AJ3" s="408">
        <v>48.13</v>
      </c>
      <c r="AK3" s="409"/>
      <c r="AL3" s="408">
        <v>38.130000000000003</v>
      </c>
      <c r="AM3" s="409"/>
      <c r="AN3" s="408">
        <v>31.77</v>
      </c>
      <c r="AO3" s="409"/>
      <c r="AP3" s="408">
        <v>42.03</v>
      </c>
    </row>
    <row r="4" spans="1:43" ht="13" x14ac:dyDescent="0.3">
      <c r="A4" s="402"/>
      <c r="B4" s="64" t="s">
        <v>571</v>
      </c>
      <c r="C4" s="403">
        <v>19.7</v>
      </c>
      <c r="D4" s="400" t="s">
        <v>574</v>
      </c>
      <c r="E4" s="401">
        <v>19.3</v>
      </c>
      <c r="H4" s="56" t="s">
        <v>581</v>
      </c>
      <c r="I4" s="56">
        <v>78.400000000000006</v>
      </c>
      <c r="J4" s="56">
        <v>63.1</v>
      </c>
      <c r="K4" s="321">
        <v>82.7</v>
      </c>
      <c r="M4" s="415">
        <v>92</v>
      </c>
      <c r="N4" s="415">
        <v>74</v>
      </c>
      <c r="O4" s="417">
        <v>84</v>
      </c>
      <c r="Q4" s="406">
        <v>1963</v>
      </c>
      <c r="R4" s="408">
        <v>21.06</v>
      </c>
      <c r="S4" s="409"/>
      <c r="T4" s="408">
        <v>33.840000000000003</v>
      </c>
      <c r="U4" s="409"/>
      <c r="V4" s="408">
        <v>32.770000000000003</v>
      </c>
      <c r="W4" s="409"/>
      <c r="X4" s="408">
        <v>42.75</v>
      </c>
      <c r="Y4" s="409"/>
      <c r="Z4" s="408">
        <v>53.26</v>
      </c>
      <c r="AA4" s="409"/>
      <c r="AB4" s="408">
        <v>59.4</v>
      </c>
      <c r="AC4" s="409"/>
      <c r="AD4" s="408">
        <v>65.739999999999995</v>
      </c>
      <c r="AE4" s="409"/>
      <c r="AF4" s="408">
        <v>62.73</v>
      </c>
      <c r="AG4" s="409"/>
      <c r="AH4" s="408">
        <v>59.78</v>
      </c>
      <c r="AI4" s="409"/>
      <c r="AJ4" s="408">
        <v>50.5</v>
      </c>
      <c r="AK4" s="409"/>
      <c r="AL4" s="408">
        <v>38.42</v>
      </c>
      <c r="AM4" s="409"/>
      <c r="AN4" s="408">
        <v>28.37</v>
      </c>
      <c r="AO4" s="409"/>
      <c r="AP4" s="408">
        <v>45.72</v>
      </c>
    </row>
    <row r="5" spans="1:43" ht="13" x14ac:dyDescent="0.3">
      <c r="A5" s="402"/>
      <c r="B5" s="64" t="s">
        <v>573</v>
      </c>
      <c r="C5" s="48">
        <v>18</v>
      </c>
      <c r="D5" s="321">
        <v>9</v>
      </c>
      <c r="E5" s="401">
        <v>19.399999999999999</v>
      </c>
      <c r="H5" s="944" t="s">
        <v>614</v>
      </c>
      <c r="I5" s="944"/>
      <c r="J5" s="944"/>
      <c r="K5" s="944"/>
      <c r="M5" s="415">
        <v>83</v>
      </c>
      <c r="N5" s="415">
        <v>79</v>
      </c>
      <c r="O5" s="417">
        <v>80</v>
      </c>
      <c r="Q5" s="406">
        <v>1964</v>
      </c>
      <c r="R5" s="408">
        <v>26.06</v>
      </c>
      <c r="S5" s="409"/>
      <c r="T5" s="408">
        <v>23.38</v>
      </c>
      <c r="U5" s="409"/>
      <c r="V5" s="408">
        <v>28.18</v>
      </c>
      <c r="W5" s="409"/>
      <c r="X5" s="408">
        <v>40.229999999999997</v>
      </c>
      <c r="Y5" s="409"/>
      <c r="Z5" s="408">
        <v>50.15</v>
      </c>
      <c r="AA5" s="409"/>
      <c r="AB5" s="408">
        <v>56.3</v>
      </c>
      <c r="AC5" s="409"/>
      <c r="AD5" s="408">
        <v>65.84</v>
      </c>
      <c r="AE5" s="409"/>
      <c r="AF5" s="408">
        <v>60.68</v>
      </c>
      <c r="AG5" s="409"/>
      <c r="AH5" s="408">
        <v>54.67</v>
      </c>
      <c r="AI5" s="409"/>
      <c r="AJ5" s="408">
        <v>46.21</v>
      </c>
      <c r="AK5" s="409"/>
      <c r="AL5" s="408">
        <v>35.200000000000003</v>
      </c>
      <c r="AM5" s="409"/>
      <c r="AN5" s="408">
        <v>30.11</v>
      </c>
      <c r="AO5" s="409"/>
      <c r="AP5" s="408">
        <v>43.08</v>
      </c>
    </row>
    <row r="6" spans="1:43" ht="13" x14ac:dyDescent="0.3">
      <c r="A6" s="402" t="s">
        <v>574</v>
      </c>
      <c r="B6" s="64" t="s">
        <v>572</v>
      </c>
      <c r="C6" s="48">
        <v>19.2</v>
      </c>
      <c r="D6" s="321">
        <v>12</v>
      </c>
      <c r="E6" s="401">
        <v>19.100000000000001</v>
      </c>
      <c r="H6" s="56" t="s">
        <v>580</v>
      </c>
      <c r="I6" s="321">
        <v>87.7</v>
      </c>
      <c r="J6" s="321">
        <v>74.3</v>
      </c>
      <c r="K6" s="321">
        <v>91</v>
      </c>
      <c r="M6" s="415">
        <v>88</v>
      </c>
      <c r="N6" s="415">
        <v>87</v>
      </c>
      <c r="O6" s="417">
        <v>78</v>
      </c>
      <c r="Q6" s="406">
        <v>1965</v>
      </c>
      <c r="R6" s="408">
        <v>32.15</v>
      </c>
      <c r="S6" s="409"/>
      <c r="T6" s="408">
        <v>28.84</v>
      </c>
      <c r="U6" s="409"/>
      <c r="V6" s="408">
        <v>23.79</v>
      </c>
      <c r="W6" s="409"/>
      <c r="X6" s="408">
        <v>43.13</v>
      </c>
      <c r="Y6" s="409"/>
      <c r="Z6" s="408">
        <v>49.1</v>
      </c>
      <c r="AA6" s="409"/>
      <c r="AB6" s="408">
        <v>56.37</v>
      </c>
      <c r="AC6" s="409"/>
      <c r="AD6" s="408">
        <v>63.18</v>
      </c>
      <c r="AE6" s="409"/>
      <c r="AF6" s="408">
        <v>60.27</v>
      </c>
      <c r="AG6" s="409"/>
      <c r="AH6" s="408">
        <v>49.25</v>
      </c>
      <c r="AI6" s="409"/>
      <c r="AJ6" s="408">
        <v>48.21</v>
      </c>
      <c r="AK6" s="409"/>
      <c r="AL6" s="408">
        <v>39.82</v>
      </c>
      <c r="AM6" s="409"/>
      <c r="AN6" s="408">
        <v>33.06</v>
      </c>
      <c r="AO6" s="409"/>
      <c r="AP6" s="408">
        <v>43.93</v>
      </c>
    </row>
    <row r="7" spans="1:43" ht="13" x14ac:dyDescent="0.3">
      <c r="A7" s="402"/>
      <c r="B7" s="64" t="s">
        <v>571</v>
      </c>
      <c r="C7" s="48">
        <v>19.3</v>
      </c>
      <c r="D7" s="400" t="s">
        <v>575</v>
      </c>
      <c r="E7" s="401">
        <v>19.2</v>
      </c>
      <c r="H7" s="56" t="s">
        <v>581</v>
      </c>
      <c r="I7" s="321">
        <v>84</v>
      </c>
      <c r="J7" s="321">
        <v>71.3</v>
      </c>
      <c r="K7" s="321">
        <v>87.4</v>
      </c>
      <c r="M7" s="415">
        <v>71</v>
      </c>
      <c r="N7" s="415">
        <v>86</v>
      </c>
      <c r="O7" s="417">
        <v>78</v>
      </c>
      <c r="Q7" s="406">
        <v>1966</v>
      </c>
      <c r="R7" s="408">
        <v>27.1</v>
      </c>
      <c r="S7" s="409"/>
      <c r="T7" s="408">
        <v>23.54</v>
      </c>
      <c r="U7" s="409"/>
      <c r="V7" s="408">
        <v>37.270000000000003</v>
      </c>
      <c r="W7" s="409"/>
      <c r="X7" s="408">
        <v>41.25</v>
      </c>
      <c r="Y7" s="409"/>
      <c r="Z7" s="408">
        <v>51.9</v>
      </c>
      <c r="AA7" s="409"/>
      <c r="AB7" s="408">
        <v>58.15</v>
      </c>
      <c r="AC7" s="409"/>
      <c r="AD7" s="408">
        <v>67.45</v>
      </c>
      <c r="AE7" s="409"/>
      <c r="AF7" s="408">
        <v>61.77</v>
      </c>
      <c r="AG7" s="409"/>
      <c r="AH7" s="408">
        <v>56.58</v>
      </c>
      <c r="AI7" s="409"/>
      <c r="AJ7" s="408">
        <v>45.74</v>
      </c>
      <c r="AK7" s="409"/>
      <c r="AL7" s="408">
        <v>38.200000000000003</v>
      </c>
      <c r="AM7" s="409"/>
      <c r="AN7" s="408">
        <v>28.44</v>
      </c>
      <c r="AO7" s="409"/>
      <c r="AP7" s="408">
        <v>44.78</v>
      </c>
    </row>
    <row r="8" spans="1:43" ht="13" x14ac:dyDescent="0.3">
      <c r="A8" s="402"/>
      <c r="B8" s="64" t="s">
        <v>573</v>
      </c>
      <c r="C8" s="48">
        <v>18.899999999999999</v>
      </c>
      <c r="D8" s="400">
        <v>14</v>
      </c>
      <c r="E8" s="401">
        <v>19.2</v>
      </c>
      <c r="M8" s="415">
        <v>80</v>
      </c>
      <c r="N8" s="415">
        <v>78</v>
      </c>
      <c r="O8" s="417">
        <v>75</v>
      </c>
      <c r="Q8" s="406">
        <v>1967</v>
      </c>
      <c r="R8" s="408">
        <v>30.5</v>
      </c>
      <c r="S8" s="409"/>
      <c r="T8" s="408">
        <v>29.64</v>
      </c>
      <c r="U8" s="409"/>
      <c r="V8" s="408">
        <v>38.18</v>
      </c>
      <c r="W8" s="409"/>
      <c r="X8" s="408">
        <v>40.82</v>
      </c>
      <c r="Y8" s="409"/>
      <c r="Z8" s="408">
        <v>46.39</v>
      </c>
      <c r="AA8" s="409"/>
      <c r="AB8" s="408">
        <v>54.33</v>
      </c>
      <c r="AC8" s="409"/>
      <c r="AD8" s="408">
        <v>62.76</v>
      </c>
      <c r="AE8" s="409"/>
      <c r="AF8" s="408">
        <v>59.48</v>
      </c>
      <c r="AG8" s="409"/>
      <c r="AH8" s="408">
        <v>54.38</v>
      </c>
      <c r="AI8" s="409"/>
      <c r="AJ8" s="408">
        <v>46.5</v>
      </c>
      <c r="AK8" s="409"/>
      <c r="AL8" s="408" t="s">
        <v>596</v>
      </c>
      <c r="AM8" s="410" t="s">
        <v>597</v>
      </c>
      <c r="AN8" s="408">
        <v>23.15</v>
      </c>
      <c r="AO8" s="409"/>
      <c r="AP8" s="408">
        <v>44.19</v>
      </c>
    </row>
    <row r="9" spans="1:43" ht="13" x14ac:dyDescent="0.3">
      <c r="A9" s="402">
        <v>9</v>
      </c>
      <c r="B9" s="64" t="s">
        <v>572</v>
      </c>
      <c r="C9" s="48">
        <v>19</v>
      </c>
      <c r="H9" s="932" t="s">
        <v>612</v>
      </c>
      <c r="I9" s="932"/>
      <c r="J9" s="932"/>
      <c r="M9" s="419">
        <f>AVERAGE(M2:M8)</f>
        <v>84.428571428571431</v>
      </c>
      <c r="N9" s="419">
        <f>AVERAGE(N2:N8)</f>
        <v>81.428571428571431</v>
      </c>
      <c r="O9" s="419">
        <f>AVERAGE(O2:O8)</f>
        <v>79.428571428571431</v>
      </c>
      <c r="Q9" s="406">
        <v>1968</v>
      </c>
      <c r="R9" s="408">
        <v>27.42</v>
      </c>
      <c r="S9" s="409"/>
      <c r="T9" s="408">
        <v>29.91</v>
      </c>
      <c r="U9" s="409"/>
      <c r="V9" s="408">
        <v>33.92</v>
      </c>
      <c r="W9" s="409"/>
      <c r="X9" s="408">
        <v>36.770000000000003</v>
      </c>
      <c r="Y9" s="409"/>
      <c r="Z9" s="408">
        <v>46.42</v>
      </c>
      <c r="AA9" s="409"/>
      <c r="AB9" s="408">
        <v>57.78</v>
      </c>
      <c r="AC9" s="409"/>
      <c r="AD9" s="408">
        <v>61.19</v>
      </c>
      <c r="AE9" s="409"/>
      <c r="AF9" s="408">
        <v>59.85</v>
      </c>
      <c r="AG9" s="409"/>
      <c r="AH9" s="408">
        <v>52.5</v>
      </c>
      <c r="AI9" s="409"/>
      <c r="AJ9" s="408">
        <v>45.77</v>
      </c>
      <c r="AK9" s="409"/>
      <c r="AL9" s="408">
        <v>30.57</v>
      </c>
      <c r="AM9" s="409"/>
      <c r="AN9" s="408">
        <v>26.95</v>
      </c>
      <c r="AO9" s="409"/>
      <c r="AP9" s="408">
        <v>42.42</v>
      </c>
    </row>
    <row r="10" spans="1:43" ht="13" x14ac:dyDescent="0.3">
      <c r="A10" s="402"/>
      <c r="B10" s="64" t="s">
        <v>571</v>
      </c>
      <c r="C10" s="403">
        <v>19.399999999999999</v>
      </c>
      <c r="H10" s="158"/>
      <c r="I10" s="164" t="s">
        <v>613</v>
      </c>
      <c r="J10" s="158" t="s">
        <v>578</v>
      </c>
      <c r="M10" s="414"/>
      <c r="Q10" s="406">
        <v>1969</v>
      </c>
      <c r="R10" s="408">
        <v>30.76</v>
      </c>
      <c r="S10" s="409"/>
      <c r="T10" s="408">
        <v>29.32</v>
      </c>
      <c r="U10" s="409"/>
      <c r="V10" s="408">
        <v>26.5</v>
      </c>
      <c r="W10" s="409"/>
      <c r="X10" s="408">
        <v>44.12</v>
      </c>
      <c r="Y10" s="409"/>
      <c r="Z10" s="408">
        <v>49.98</v>
      </c>
      <c r="AA10" s="409"/>
      <c r="AB10" s="408">
        <v>53.02</v>
      </c>
      <c r="AC10" s="409"/>
      <c r="AD10" s="408">
        <v>64.06</v>
      </c>
      <c r="AE10" s="409"/>
      <c r="AF10" s="408">
        <v>63.97</v>
      </c>
      <c r="AG10" s="409"/>
      <c r="AH10" s="408">
        <v>55.12</v>
      </c>
      <c r="AI10" s="409"/>
      <c r="AJ10" s="408">
        <v>36.42</v>
      </c>
      <c r="AK10" s="409"/>
      <c r="AL10" s="408">
        <v>33.78</v>
      </c>
      <c r="AM10" s="409"/>
      <c r="AN10" s="408">
        <v>28.77</v>
      </c>
      <c r="AO10" s="409"/>
      <c r="AP10" s="408">
        <v>42.99</v>
      </c>
    </row>
    <row r="11" spans="1:43" ht="13" x14ac:dyDescent="0.3">
      <c r="A11" s="402"/>
      <c r="B11" s="64" t="s">
        <v>573</v>
      </c>
      <c r="C11" s="48">
        <v>18.100000000000001</v>
      </c>
      <c r="H11" s="56" t="s">
        <v>572</v>
      </c>
      <c r="I11" s="321">
        <v>92</v>
      </c>
      <c r="J11" s="321">
        <v>84.4</v>
      </c>
      <c r="L11" s="62"/>
      <c r="M11" s="413"/>
      <c r="N11" s="62"/>
      <c r="Q11" s="406">
        <v>1970</v>
      </c>
      <c r="R11" s="408">
        <v>28.05</v>
      </c>
      <c r="S11" s="409"/>
      <c r="T11" s="408">
        <v>33.75</v>
      </c>
      <c r="U11" s="409"/>
      <c r="V11" s="408">
        <v>29.11</v>
      </c>
      <c r="W11" s="409"/>
      <c r="X11" s="408">
        <v>35.979999999999997</v>
      </c>
      <c r="Y11" s="409"/>
      <c r="Z11" s="408">
        <v>50.5</v>
      </c>
      <c r="AA11" s="409"/>
      <c r="AB11" s="408">
        <v>56.67</v>
      </c>
      <c r="AC11" s="409"/>
      <c r="AD11" s="408">
        <v>63.29</v>
      </c>
      <c r="AE11" s="409"/>
      <c r="AF11" s="408">
        <v>63.85</v>
      </c>
      <c r="AG11" s="409"/>
      <c r="AH11" s="408">
        <v>52.88</v>
      </c>
      <c r="AI11" s="409"/>
      <c r="AJ11" s="408">
        <v>40.21</v>
      </c>
      <c r="AK11" s="409"/>
      <c r="AL11" s="408">
        <v>34.049999999999997</v>
      </c>
      <c r="AM11" s="409"/>
      <c r="AN11" s="408">
        <v>29.44</v>
      </c>
      <c r="AO11" s="409"/>
      <c r="AP11" s="408">
        <v>43.15</v>
      </c>
    </row>
    <row r="12" spans="1:43" ht="13" x14ac:dyDescent="0.3">
      <c r="A12" s="402">
        <v>12</v>
      </c>
      <c r="B12" s="64" t="s">
        <v>572</v>
      </c>
      <c r="C12" s="48">
        <v>18.8</v>
      </c>
      <c r="H12" s="56" t="s">
        <v>571</v>
      </c>
      <c r="I12" s="321">
        <v>86</v>
      </c>
      <c r="J12" s="321">
        <v>81.400000000000006</v>
      </c>
      <c r="L12" s="62"/>
      <c r="M12" s="413"/>
      <c r="N12" s="62"/>
      <c r="Q12" s="406">
        <v>1971</v>
      </c>
      <c r="R12" s="408">
        <v>28.23</v>
      </c>
      <c r="S12" s="409"/>
      <c r="T12" s="408">
        <v>26.66</v>
      </c>
      <c r="U12" s="409"/>
      <c r="V12" s="408">
        <v>32.74</v>
      </c>
      <c r="W12" s="409"/>
      <c r="X12" s="408">
        <v>40.869999999999997</v>
      </c>
      <c r="Y12" s="409"/>
      <c r="Z12" s="408">
        <v>46.34</v>
      </c>
      <c r="AA12" s="409"/>
      <c r="AB12" s="408">
        <v>58.52</v>
      </c>
      <c r="AC12" s="409"/>
      <c r="AD12" s="408">
        <v>61.69</v>
      </c>
      <c r="AE12" s="409"/>
      <c r="AF12" s="408">
        <v>62.31</v>
      </c>
      <c r="AG12" s="409"/>
      <c r="AH12" s="408">
        <v>52.08</v>
      </c>
      <c r="AI12" s="409"/>
      <c r="AJ12" s="408">
        <v>43.92</v>
      </c>
      <c r="AK12" s="409"/>
      <c r="AL12" s="408">
        <v>34.58</v>
      </c>
      <c r="AM12" s="409"/>
      <c r="AN12" s="408">
        <v>26.76</v>
      </c>
      <c r="AO12" s="409"/>
      <c r="AP12" s="408">
        <v>42.89</v>
      </c>
    </row>
    <row r="13" spans="1:43" ht="13" x14ac:dyDescent="0.3">
      <c r="A13" s="402"/>
      <c r="B13" s="64" t="s">
        <v>571</v>
      </c>
      <c r="C13" s="48">
        <v>19.100000000000001</v>
      </c>
      <c r="H13" s="56" t="s">
        <v>573</v>
      </c>
      <c r="I13" s="321">
        <v>89</v>
      </c>
      <c r="J13" s="321">
        <v>79.400000000000006</v>
      </c>
      <c r="L13" s="62"/>
      <c r="M13" s="413"/>
      <c r="N13" s="62"/>
      <c r="Q13" s="406">
        <v>1972</v>
      </c>
      <c r="R13" s="408">
        <v>28.1</v>
      </c>
      <c r="S13" s="409"/>
      <c r="T13" s="408">
        <v>30.57</v>
      </c>
      <c r="U13" s="409"/>
      <c r="V13" s="408" t="s">
        <v>596</v>
      </c>
      <c r="W13" s="410" t="s">
        <v>597</v>
      </c>
      <c r="X13" s="408" t="s">
        <v>596</v>
      </c>
      <c r="Y13" s="410" t="s">
        <v>597</v>
      </c>
      <c r="Z13" s="408" t="s">
        <v>596</v>
      </c>
      <c r="AA13" s="410" t="s">
        <v>597</v>
      </c>
      <c r="AB13" s="408">
        <v>58.85</v>
      </c>
      <c r="AC13" s="409"/>
      <c r="AD13" s="408">
        <v>62.03</v>
      </c>
      <c r="AE13" s="409"/>
      <c r="AF13" s="408">
        <v>62.03</v>
      </c>
      <c r="AG13" s="409"/>
      <c r="AH13" s="408" t="s">
        <v>596</v>
      </c>
      <c r="AI13" s="410" t="s">
        <v>597</v>
      </c>
      <c r="AJ13" s="408">
        <v>44.87</v>
      </c>
      <c r="AK13" s="409"/>
      <c r="AL13" s="408">
        <v>27.18</v>
      </c>
      <c r="AM13" s="409"/>
      <c r="AN13" s="408">
        <v>22.48</v>
      </c>
      <c r="AO13" s="409"/>
      <c r="AP13" s="408">
        <v>42.01</v>
      </c>
    </row>
    <row r="14" spans="1:43" ht="13" x14ac:dyDescent="0.3">
      <c r="A14" s="402"/>
      <c r="B14" s="64" t="s">
        <v>573</v>
      </c>
      <c r="C14" s="48">
        <v>18.8</v>
      </c>
      <c r="H14" s="98" t="s">
        <v>580</v>
      </c>
      <c r="I14" s="321">
        <v>92</v>
      </c>
      <c r="J14" s="321">
        <v>82</v>
      </c>
      <c r="L14" s="62"/>
      <c r="M14" s="413"/>
      <c r="N14" s="62"/>
      <c r="Q14" s="406">
        <v>1973</v>
      </c>
      <c r="R14" s="408">
        <v>22.63</v>
      </c>
      <c r="S14" s="410" t="s">
        <v>599</v>
      </c>
      <c r="T14" s="408">
        <v>26.88</v>
      </c>
      <c r="U14" s="409"/>
      <c r="V14" s="408">
        <v>30.92</v>
      </c>
      <c r="W14" s="409"/>
      <c r="X14" s="408">
        <v>33.93</v>
      </c>
      <c r="Y14" s="409"/>
      <c r="Z14" s="408">
        <v>46.61</v>
      </c>
      <c r="AA14" s="409"/>
      <c r="AB14" s="408">
        <v>57.62</v>
      </c>
      <c r="AC14" s="410" t="s">
        <v>599</v>
      </c>
      <c r="AD14" s="408">
        <v>61.11</v>
      </c>
      <c r="AE14" s="409"/>
      <c r="AF14" s="408">
        <v>62.98</v>
      </c>
      <c r="AG14" s="410" t="s">
        <v>599</v>
      </c>
      <c r="AH14" s="408">
        <v>52.45</v>
      </c>
      <c r="AI14" s="409"/>
      <c r="AJ14" s="408">
        <v>45.37</v>
      </c>
      <c r="AK14" s="409"/>
      <c r="AL14" s="408">
        <v>34.79</v>
      </c>
      <c r="AM14" s="410" t="s">
        <v>599</v>
      </c>
      <c r="AN14" s="408">
        <v>26.82</v>
      </c>
      <c r="AO14" s="410" t="s">
        <v>599</v>
      </c>
      <c r="AP14" s="408">
        <v>41.84</v>
      </c>
    </row>
    <row r="15" spans="1:43" ht="13" x14ac:dyDescent="0.3">
      <c r="A15" s="402" t="s">
        <v>575</v>
      </c>
      <c r="B15" s="64" t="s">
        <v>572</v>
      </c>
      <c r="C15" s="48">
        <v>19</v>
      </c>
      <c r="H15" s="98" t="s">
        <v>581</v>
      </c>
      <c r="I15" s="321">
        <v>88</v>
      </c>
      <c r="J15" s="321">
        <v>80</v>
      </c>
      <c r="L15" s="62"/>
      <c r="M15" s="413"/>
      <c r="N15" s="62"/>
      <c r="Q15" s="406">
        <v>1974</v>
      </c>
      <c r="R15" s="408">
        <v>25.1</v>
      </c>
      <c r="S15" s="410" t="s">
        <v>599</v>
      </c>
      <c r="T15" s="408">
        <v>28.98</v>
      </c>
      <c r="U15" s="410" t="s">
        <v>599</v>
      </c>
      <c r="V15" s="408">
        <v>38.049999999999997</v>
      </c>
      <c r="W15" s="410" t="s">
        <v>599</v>
      </c>
      <c r="X15" s="408">
        <v>39.880000000000003</v>
      </c>
      <c r="Y15" s="409"/>
      <c r="Z15" s="408">
        <v>53.11</v>
      </c>
      <c r="AA15" s="409"/>
      <c r="AB15" s="408">
        <v>60.02</v>
      </c>
      <c r="AC15" s="409"/>
      <c r="AD15" s="408">
        <v>63.74</v>
      </c>
      <c r="AE15" s="409"/>
      <c r="AF15" s="408">
        <v>59.15</v>
      </c>
      <c r="AG15" s="409"/>
      <c r="AH15" s="408">
        <v>50.28</v>
      </c>
      <c r="AI15" s="409"/>
      <c r="AJ15" s="408">
        <v>45.4</v>
      </c>
      <c r="AK15" s="410" t="s">
        <v>599</v>
      </c>
      <c r="AL15" s="408">
        <v>33.880000000000003</v>
      </c>
      <c r="AM15" s="409"/>
      <c r="AN15" s="408">
        <v>24.9</v>
      </c>
      <c r="AO15" s="409"/>
      <c r="AP15" s="408">
        <v>43.54</v>
      </c>
    </row>
    <row r="16" spans="1:43" ht="14" x14ac:dyDescent="0.3">
      <c r="A16" s="402"/>
      <c r="B16" s="64" t="s">
        <v>571</v>
      </c>
      <c r="C16" s="48">
        <v>19.2</v>
      </c>
      <c r="L16" s="937" t="s">
        <v>644</v>
      </c>
      <c r="M16" s="937"/>
      <c r="N16" s="937"/>
      <c r="O16" s="937"/>
      <c r="Q16" s="406">
        <v>1975</v>
      </c>
      <c r="R16" s="408">
        <v>26.94</v>
      </c>
      <c r="S16" s="409"/>
      <c r="T16" s="408">
        <v>25.82</v>
      </c>
      <c r="U16" s="409"/>
      <c r="V16" s="408">
        <v>31.45</v>
      </c>
      <c r="W16" s="409"/>
      <c r="X16" s="408">
        <v>37.72</v>
      </c>
      <c r="Y16" s="409"/>
      <c r="Z16" s="408">
        <v>45.84</v>
      </c>
      <c r="AA16" s="409"/>
      <c r="AB16" s="408">
        <v>55.88</v>
      </c>
      <c r="AC16" s="410" t="s">
        <v>599</v>
      </c>
      <c r="AD16" s="408">
        <v>63.62</v>
      </c>
      <c r="AE16" s="410" t="s">
        <v>600</v>
      </c>
      <c r="AF16" s="408">
        <v>61.35</v>
      </c>
      <c r="AG16" s="409"/>
      <c r="AH16" s="408">
        <v>52.1</v>
      </c>
      <c r="AI16" s="409"/>
      <c r="AJ16" s="408">
        <v>45.78</v>
      </c>
      <c r="AK16" s="410" t="s">
        <v>599</v>
      </c>
      <c r="AL16" s="408">
        <v>32.82</v>
      </c>
      <c r="AM16" s="409"/>
      <c r="AN16" s="408">
        <v>32.11</v>
      </c>
      <c r="AO16" s="409"/>
      <c r="AP16" s="408">
        <v>42.62</v>
      </c>
    </row>
    <row r="17" spans="1:42" ht="52" x14ac:dyDescent="0.3">
      <c r="A17" s="402"/>
      <c r="B17" s="64" t="s">
        <v>573</v>
      </c>
      <c r="C17" s="48">
        <v>19</v>
      </c>
      <c r="L17" s="164"/>
      <c r="M17" s="429" t="s">
        <v>645</v>
      </c>
      <c r="N17" s="430" t="s">
        <v>646</v>
      </c>
      <c r="O17" s="431" t="s">
        <v>649</v>
      </c>
      <c r="Q17" s="406">
        <v>1976</v>
      </c>
      <c r="R17" s="408">
        <v>27.84</v>
      </c>
      <c r="S17" s="409"/>
      <c r="T17" s="408">
        <v>33.479999999999997</v>
      </c>
      <c r="U17" s="409"/>
      <c r="V17" s="408">
        <v>31.47</v>
      </c>
      <c r="W17" s="409"/>
      <c r="X17" s="408">
        <v>41.35</v>
      </c>
      <c r="Y17" s="409"/>
      <c r="Z17" s="408">
        <v>48.42</v>
      </c>
      <c r="AA17" s="409"/>
      <c r="AB17" s="408">
        <v>57.17</v>
      </c>
      <c r="AC17" s="409"/>
      <c r="AD17" s="408">
        <v>64.03</v>
      </c>
      <c r="AE17" s="409"/>
      <c r="AF17" s="408">
        <v>60.42</v>
      </c>
      <c r="AG17" s="409"/>
      <c r="AH17" s="408">
        <v>53.1</v>
      </c>
      <c r="AI17" s="409"/>
      <c r="AJ17" s="408">
        <v>40.450000000000003</v>
      </c>
      <c r="AK17" s="409"/>
      <c r="AL17" s="408">
        <v>32.799999999999997</v>
      </c>
      <c r="AM17" s="409"/>
      <c r="AN17" s="408">
        <v>29.13</v>
      </c>
      <c r="AO17" s="409"/>
      <c r="AP17" s="408">
        <v>43.3</v>
      </c>
    </row>
    <row r="18" spans="1:42" ht="13" x14ac:dyDescent="0.3">
      <c r="A18" s="402">
        <v>14</v>
      </c>
      <c r="B18" s="64" t="s">
        <v>572</v>
      </c>
      <c r="C18" s="48">
        <v>19.100000000000001</v>
      </c>
      <c r="L18" s="98" t="s">
        <v>634</v>
      </c>
      <c r="M18" s="428" t="s">
        <v>642</v>
      </c>
      <c r="N18" s="428" t="s">
        <v>648</v>
      </c>
      <c r="O18" s="56">
        <v>45</v>
      </c>
      <c r="Q18" s="406">
        <v>1977</v>
      </c>
      <c r="R18" s="408">
        <v>26.58</v>
      </c>
      <c r="S18" s="409"/>
      <c r="T18" s="408">
        <v>30.26</v>
      </c>
      <c r="U18" s="410" t="s">
        <v>599</v>
      </c>
      <c r="V18" s="408">
        <v>30.89</v>
      </c>
      <c r="W18" s="409"/>
      <c r="X18" s="408">
        <v>41.37</v>
      </c>
      <c r="Y18" s="409"/>
      <c r="Z18" s="408">
        <v>50.29</v>
      </c>
      <c r="AA18" s="409"/>
      <c r="AB18" s="408">
        <v>61.95</v>
      </c>
      <c r="AC18" s="409"/>
      <c r="AD18" s="408">
        <v>64.44</v>
      </c>
      <c r="AE18" s="409"/>
      <c r="AF18" s="408">
        <v>61.4</v>
      </c>
      <c r="AG18" s="409"/>
      <c r="AH18" s="408">
        <v>56.68</v>
      </c>
      <c r="AI18" s="409"/>
      <c r="AJ18" s="408">
        <v>45.02</v>
      </c>
      <c r="AK18" s="409"/>
      <c r="AL18" s="408">
        <v>36.020000000000003</v>
      </c>
      <c r="AM18" s="409"/>
      <c r="AN18" s="408" t="s">
        <v>596</v>
      </c>
      <c r="AO18" s="410" t="s">
        <v>597</v>
      </c>
      <c r="AP18" s="408">
        <v>45.9</v>
      </c>
    </row>
    <row r="19" spans="1:42" ht="13" x14ac:dyDescent="0.3">
      <c r="A19" s="402"/>
      <c r="B19" s="64" t="s">
        <v>571</v>
      </c>
      <c r="C19" s="48">
        <v>19.2</v>
      </c>
      <c r="L19" s="98" t="s">
        <v>580</v>
      </c>
      <c r="M19" s="428" t="s">
        <v>641</v>
      </c>
      <c r="N19" s="428" t="s">
        <v>647</v>
      </c>
      <c r="O19" s="56">
        <v>39</v>
      </c>
      <c r="Q19" s="406">
        <v>1978</v>
      </c>
      <c r="R19" s="408">
        <v>24.23</v>
      </c>
      <c r="S19" s="409"/>
      <c r="T19" s="408">
        <v>26.38</v>
      </c>
      <c r="U19" s="409"/>
      <c r="V19" s="408">
        <v>37.159999999999997</v>
      </c>
      <c r="W19" s="409"/>
      <c r="X19" s="408">
        <v>42.37</v>
      </c>
      <c r="Y19" s="409"/>
      <c r="Z19" s="408">
        <v>48.26</v>
      </c>
      <c r="AA19" s="409"/>
      <c r="AB19" s="408">
        <v>57.85</v>
      </c>
      <c r="AC19" s="409"/>
      <c r="AD19" s="408">
        <v>64.34</v>
      </c>
      <c r="AE19" s="409"/>
      <c r="AF19" s="408">
        <v>60.5</v>
      </c>
      <c r="AG19" s="409"/>
      <c r="AH19" s="408">
        <v>55.03</v>
      </c>
      <c r="AI19" s="409"/>
      <c r="AJ19" s="408">
        <v>45.2</v>
      </c>
      <c r="AK19" s="410" t="s">
        <v>599</v>
      </c>
      <c r="AL19" s="408">
        <v>34.85</v>
      </c>
      <c r="AM19" s="409"/>
      <c r="AN19" s="408">
        <v>21.02</v>
      </c>
      <c r="AO19" s="409"/>
      <c r="AP19" s="408">
        <v>43.1</v>
      </c>
    </row>
    <row r="20" spans="1:42" ht="13" x14ac:dyDescent="0.3">
      <c r="A20" s="402"/>
      <c r="B20" s="64" t="s">
        <v>573</v>
      </c>
      <c r="C20" s="48">
        <v>19.2</v>
      </c>
      <c r="L20" s="98" t="s">
        <v>581</v>
      </c>
      <c r="M20" s="428" t="s">
        <v>643</v>
      </c>
      <c r="N20" s="428" t="s">
        <v>650</v>
      </c>
      <c r="O20" s="56">
        <v>100</v>
      </c>
      <c r="Q20" s="406">
        <v>1979</v>
      </c>
      <c r="R20" s="408">
        <v>17.75</v>
      </c>
      <c r="S20" s="410" t="s">
        <v>599</v>
      </c>
      <c r="T20" s="408">
        <v>28.04</v>
      </c>
      <c r="U20" s="409"/>
      <c r="V20" s="408">
        <v>33.770000000000003</v>
      </c>
      <c r="W20" s="409"/>
      <c r="X20" s="408" t="s">
        <v>596</v>
      </c>
      <c r="Y20" s="410" t="s">
        <v>597</v>
      </c>
      <c r="Z20" s="408">
        <v>46.35</v>
      </c>
      <c r="AA20" s="409"/>
      <c r="AB20" s="408">
        <v>55.68</v>
      </c>
      <c r="AC20" s="409"/>
      <c r="AD20" s="408">
        <v>63.55</v>
      </c>
      <c r="AE20" s="409"/>
      <c r="AF20" s="408" t="s">
        <v>596</v>
      </c>
      <c r="AG20" s="410" t="s">
        <v>597</v>
      </c>
      <c r="AH20" s="408">
        <v>56.43</v>
      </c>
      <c r="AI20" s="410" t="s">
        <v>599</v>
      </c>
      <c r="AJ20" s="408">
        <v>45.94</v>
      </c>
      <c r="AK20" s="409"/>
      <c r="AL20" s="408">
        <v>28.55</v>
      </c>
      <c r="AM20" s="410" t="s">
        <v>600</v>
      </c>
      <c r="AN20" s="408">
        <v>30.73</v>
      </c>
      <c r="AO20" s="410" t="s">
        <v>599</v>
      </c>
      <c r="AP20" s="408">
        <v>40.68</v>
      </c>
    </row>
    <row r="21" spans="1:42" x14ac:dyDescent="0.25">
      <c r="L21" s="938" t="s">
        <v>651</v>
      </c>
      <c r="M21" s="939"/>
      <c r="N21" s="939"/>
      <c r="O21" s="939"/>
      <c r="Q21" s="406">
        <v>1980</v>
      </c>
      <c r="R21" s="408">
        <v>24.55</v>
      </c>
      <c r="S21" s="410" t="s">
        <v>599</v>
      </c>
      <c r="T21" s="408">
        <v>31.32</v>
      </c>
      <c r="U21" s="410" t="s">
        <v>599</v>
      </c>
      <c r="V21" s="408">
        <v>31.42</v>
      </c>
      <c r="W21" s="409"/>
      <c r="X21" s="408">
        <v>38.07</v>
      </c>
      <c r="Y21" s="409"/>
      <c r="Z21" s="408">
        <v>46.88</v>
      </c>
      <c r="AA21" s="410" t="s">
        <v>600</v>
      </c>
      <c r="AB21" s="408">
        <v>60.62</v>
      </c>
      <c r="AC21" s="410" t="s">
        <v>600</v>
      </c>
      <c r="AD21" s="408">
        <v>65.44</v>
      </c>
      <c r="AE21" s="409"/>
      <c r="AF21" s="408">
        <v>62.48</v>
      </c>
      <c r="AG21" s="409"/>
      <c r="AH21" s="408">
        <v>56.8</v>
      </c>
      <c r="AI21" s="409"/>
      <c r="AJ21" s="408">
        <v>41.47</v>
      </c>
      <c r="AK21" s="409"/>
      <c r="AL21" s="408">
        <v>35.03</v>
      </c>
      <c r="AM21" s="410" t="s">
        <v>599</v>
      </c>
      <c r="AN21" s="408">
        <v>35.9</v>
      </c>
      <c r="AO21" s="409"/>
      <c r="AP21" s="408">
        <v>44.17</v>
      </c>
    </row>
    <row r="22" spans="1:42" x14ac:dyDescent="0.25">
      <c r="Q22" s="406">
        <v>1981</v>
      </c>
      <c r="R22" s="408">
        <v>30.55</v>
      </c>
      <c r="S22" s="410" t="s">
        <v>599</v>
      </c>
      <c r="T22" s="408">
        <v>31.21</v>
      </c>
      <c r="U22" s="409"/>
      <c r="V22" s="408">
        <v>32.43</v>
      </c>
      <c r="W22" s="410" t="s">
        <v>599</v>
      </c>
      <c r="X22" s="408">
        <v>45.67</v>
      </c>
      <c r="Y22" s="409"/>
      <c r="Z22" s="408">
        <v>47.76</v>
      </c>
      <c r="AA22" s="409"/>
      <c r="AB22" s="408">
        <v>60.8</v>
      </c>
      <c r="AC22" s="409"/>
      <c r="AD22" s="408">
        <v>64.38</v>
      </c>
      <c r="AE22" s="410" t="s">
        <v>599</v>
      </c>
      <c r="AF22" s="408">
        <v>61.19</v>
      </c>
      <c r="AG22" s="409"/>
      <c r="AH22" s="408">
        <v>56.77</v>
      </c>
      <c r="AI22" s="409"/>
      <c r="AJ22" s="408">
        <v>44.61</v>
      </c>
      <c r="AK22" s="410" t="s">
        <v>601</v>
      </c>
      <c r="AL22" s="408">
        <v>38.03</v>
      </c>
      <c r="AM22" s="409"/>
      <c r="AN22" s="408">
        <v>28.87</v>
      </c>
      <c r="AO22" s="409"/>
      <c r="AP22" s="408">
        <v>45.19</v>
      </c>
    </row>
    <row r="23" spans="1:42" x14ac:dyDescent="0.25">
      <c r="Q23" s="406">
        <v>1982</v>
      </c>
      <c r="R23" s="408">
        <v>28.44</v>
      </c>
      <c r="S23" s="409"/>
      <c r="T23" s="408">
        <v>28.39</v>
      </c>
      <c r="U23" s="409"/>
      <c r="V23" s="408">
        <v>36.03</v>
      </c>
      <c r="W23" s="409"/>
      <c r="X23" s="408">
        <v>41.13</v>
      </c>
      <c r="Y23" s="409"/>
      <c r="Z23" s="408">
        <v>47.9</v>
      </c>
      <c r="AA23" s="409"/>
      <c r="AB23" s="408">
        <v>54.45</v>
      </c>
      <c r="AC23" s="409"/>
      <c r="AD23" s="408">
        <v>61.66</v>
      </c>
      <c r="AE23" s="410" t="s">
        <v>600</v>
      </c>
      <c r="AF23" s="408">
        <v>63.82</v>
      </c>
      <c r="AG23" s="409"/>
      <c r="AH23" s="408">
        <v>53.42</v>
      </c>
      <c r="AI23" s="409"/>
      <c r="AJ23" s="408">
        <v>41.08</v>
      </c>
      <c r="AK23" s="409"/>
      <c r="AL23" s="408">
        <v>30.3</v>
      </c>
      <c r="AM23" s="409"/>
      <c r="AN23" s="408">
        <v>26.5</v>
      </c>
      <c r="AO23" s="409"/>
      <c r="AP23" s="408">
        <v>42.76</v>
      </c>
    </row>
    <row r="24" spans="1:42" x14ac:dyDescent="0.25">
      <c r="Q24" s="406">
        <v>1983</v>
      </c>
      <c r="R24" s="408">
        <v>29.34</v>
      </c>
      <c r="S24" s="409"/>
      <c r="T24" s="408">
        <v>29.8</v>
      </c>
      <c r="U24" s="409"/>
      <c r="V24" s="408">
        <v>30.9</v>
      </c>
      <c r="W24" s="409"/>
      <c r="X24" s="408">
        <v>33.28</v>
      </c>
      <c r="Y24" s="409"/>
      <c r="Z24" s="408">
        <v>43.45</v>
      </c>
      <c r="AA24" s="409"/>
      <c r="AB24" s="408">
        <v>54.58</v>
      </c>
      <c r="AC24" s="409"/>
      <c r="AD24" s="408">
        <v>63.84</v>
      </c>
      <c r="AE24" s="409"/>
      <c r="AF24" s="408">
        <v>65.11</v>
      </c>
      <c r="AG24" s="409"/>
      <c r="AH24" s="408">
        <v>58.37</v>
      </c>
      <c r="AI24" s="409"/>
      <c r="AJ24" s="408">
        <v>46.16</v>
      </c>
      <c r="AK24" s="409"/>
      <c r="AL24" s="408">
        <v>34.020000000000003</v>
      </c>
      <c r="AM24" s="409"/>
      <c r="AN24" s="408" t="s">
        <v>596</v>
      </c>
      <c r="AO24" s="410" t="s">
        <v>597</v>
      </c>
      <c r="AP24" s="408">
        <v>44.44</v>
      </c>
    </row>
    <row r="25" spans="1:42" x14ac:dyDescent="0.25">
      <c r="Q25" s="406">
        <v>1984</v>
      </c>
      <c r="R25" s="408" t="s">
        <v>596</v>
      </c>
      <c r="S25" s="410" t="s">
        <v>597</v>
      </c>
      <c r="T25" s="408" t="s">
        <v>596</v>
      </c>
      <c r="U25" s="410" t="s">
        <v>597</v>
      </c>
      <c r="V25" s="408" t="s">
        <v>596</v>
      </c>
      <c r="W25" s="410" t="s">
        <v>597</v>
      </c>
      <c r="X25" s="408" t="s">
        <v>596</v>
      </c>
      <c r="Y25" s="410" t="s">
        <v>597</v>
      </c>
      <c r="Z25" s="408" t="s">
        <v>596</v>
      </c>
      <c r="AA25" s="410" t="s">
        <v>597</v>
      </c>
      <c r="AB25" s="408" t="s">
        <v>596</v>
      </c>
      <c r="AC25" s="410" t="s">
        <v>597</v>
      </c>
      <c r="AD25" s="408">
        <v>65.37</v>
      </c>
      <c r="AE25" s="409"/>
      <c r="AF25" s="408">
        <v>62.77</v>
      </c>
      <c r="AG25" s="409"/>
      <c r="AH25" s="408" t="s">
        <v>596</v>
      </c>
      <c r="AI25" s="410" t="s">
        <v>597</v>
      </c>
      <c r="AJ25" s="408">
        <v>38.29</v>
      </c>
      <c r="AK25" s="409"/>
      <c r="AL25" s="408">
        <v>35.869999999999997</v>
      </c>
      <c r="AM25" s="409"/>
      <c r="AN25" s="408">
        <v>30.19</v>
      </c>
      <c r="AO25" s="409"/>
      <c r="AP25" s="408">
        <v>46.5</v>
      </c>
    </row>
    <row r="26" spans="1:42" x14ac:dyDescent="0.25">
      <c r="Q26" s="406">
        <v>1985</v>
      </c>
      <c r="R26" s="408">
        <v>23.55</v>
      </c>
      <c r="S26" s="410" t="s">
        <v>599</v>
      </c>
      <c r="T26" s="408">
        <v>24.98</v>
      </c>
      <c r="U26" s="409"/>
      <c r="V26" s="408">
        <v>35.479999999999997</v>
      </c>
      <c r="W26" s="409"/>
      <c r="X26" s="408">
        <v>44.22</v>
      </c>
      <c r="Y26" s="409"/>
      <c r="Z26" s="408">
        <v>50.79</v>
      </c>
      <c r="AA26" s="409"/>
      <c r="AB26" s="408">
        <v>60.6</v>
      </c>
      <c r="AC26" s="409"/>
      <c r="AD26" s="408">
        <v>63.66</v>
      </c>
      <c r="AE26" s="409"/>
      <c r="AF26" s="408">
        <v>62.87</v>
      </c>
      <c r="AG26" s="409"/>
      <c r="AH26" s="408">
        <v>51.65</v>
      </c>
      <c r="AI26" s="409"/>
      <c r="AJ26" s="408">
        <v>45.48</v>
      </c>
      <c r="AK26" s="410" t="s">
        <v>600</v>
      </c>
      <c r="AL26" s="408">
        <v>30.72</v>
      </c>
      <c r="AM26" s="409"/>
      <c r="AN26" s="408">
        <v>29.29</v>
      </c>
      <c r="AO26" s="409"/>
      <c r="AP26" s="408">
        <v>43.61</v>
      </c>
    </row>
    <row r="27" spans="1:42" x14ac:dyDescent="0.25">
      <c r="Q27" s="406">
        <v>1986</v>
      </c>
      <c r="R27" s="408">
        <v>34.47</v>
      </c>
      <c r="S27" s="409"/>
      <c r="T27" s="408">
        <v>32.56</v>
      </c>
      <c r="U27" s="410" t="s">
        <v>599</v>
      </c>
      <c r="V27" s="408">
        <v>39.71</v>
      </c>
      <c r="W27" s="409"/>
      <c r="X27" s="408">
        <v>44.73</v>
      </c>
      <c r="Y27" s="409"/>
      <c r="Z27" s="408">
        <v>47.84</v>
      </c>
      <c r="AA27" s="409"/>
      <c r="AB27" s="408">
        <v>59.67</v>
      </c>
      <c r="AC27" s="409"/>
      <c r="AD27" s="408">
        <v>63</v>
      </c>
      <c r="AE27" s="409"/>
      <c r="AF27" s="408">
        <v>62.56</v>
      </c>
      <c r="AG27" s="409"/>
      <c r="AH27" s="408">
        <v>52.17</v>
      </c>
      <c r="AI27" s="409"/>
      <c r="AJ27" s="408">
        <v>42.77</v>
      </c>
      <c r="AK27" s="409"/>
      <c r="AL27" s="408">
        <v>33.78</v>
      </c>
      <c r="AM27" s="409"/>
      <c r="AN27" s="408">
        <v>27.18</v>
      </c>
      <c r="AO27" s="409"/>
      <c r="AP27" s="408">
        <v>45.04</v>
      </c>
    </row>
    <row r="28" spans="1:42" x14ac:dyDescent="0.25">
      <c r="Q28" s="406">
        <v>1987</v>
      </c>
      <c r="R28" s="408">
        <v>26.73</v>
      </c>
      <c r="S28" s="409"/>
      <c r="T28" s="408">
        <v>29.3</v>
      </c>
      <c r="U28" s="410" t="s">
        <v>599</v>
      </c>
      <c r="V28" s="408">
        <v>31.71</v>
      </c>
      <c r="W28" s="409"/>
      <c r="X28" s="408">
        <v>42.77</v>
      </c>
      <c r="Y28" s="409"/>
      <c r="Z28" s="408">
        <v>50.68</v>
      </c>
      <c r="AA28" s="409"/>
      <c r="AB28" s="408">
        <v>58.9</v>
      </c>
      <c r="AC28" s="409"/>
      <c r="AD28" s="408">
        <v>64.2</v>
      </c>
      <c r="AE28" s="410" t="s">
        <v>599</v>
      </c>
      <c r="AF28" s="408">
        <v>61.23</v>
      </c>
      <c r="AG28" s="409"/>
      <c r="AH28" s="408">
        <v>53.58</v>
      </c>
      <c r="AI28" s="409"/>
      <c r="AJ28" s="408">
        <v>45.37</v>
      </c>
      <c r="AK28" s="409"/>
      <c r="AL28" s="408">
        <v>34.17</v>
      </c>
      <c r="AM28" s="409"/>
      <c r="AN28" s="408">
        <v>24.89</v>
      </c>
      <c r="AO28" s="409"/>
      <c r="AP28" s="408">
        <v>43.63</v>
      </c>
    </row>
    <row r="29" spans="1:42" x14ac:dyDescent="0.25">
      <c r="Q29" s="406">
        <v>1988</v>
      </c>
      <c r="R29" s="408">
        <v>22.56</v>
      </c>
      <c r="S29" s="409"/>
      <c r="T29" s="408">
        <v>29.31</v>
      </c>
      <c r="U29" s="409"/>
      <c r="V29" s="408">
        <v>31.37</v>
      </c>
      <c r="W29" s="409"/>
      <c r="X29" s="408">
        <v>43.18</v>
      </c>
      <c r="Y29" s="409"/>
      <c r="Z29" s="408">
        <v>50.1</v>
      </c>
      <c r="AA29" s="409"/>
      <c r="AB29" s="408">
        <v>61.52</v>
      </c>
      <c r="AC29" s="409"/>
      <c r="AD29" s="408">
        <v>63.81</v>
      </c>
      <c r="AE29" s="409"/>
      <c r="AF29" s="408">
        <v>64.150000000000006</v>
      </c>
      <c r="AG29" s="409"/>
      <c r="AH29" s="408">
        <v>53.02</v>
      </c>
      <c r="AI29" s="409"/>
      <c r="AJ29" s="408">
        <v>48.05</v>
      </c>
      <c r="AK29" s="409"/>
      <c r="AL29" s="408">
        <v>35.28</v>
      </c>
      <c r="AM29" s="409"/>
      <c r="AN29" s="408">
        <v>25.97</v>
      </c>
      <c r="AO29" s="409"/>
      <c r="AP29" s="408">
        <v>44.03</v>
      </c>
    </row>
    <row r="30" spans="1:42" x14ac:dyDescent="0.25">
      <c r="Q30" s="406">
        <v>1989</v>
      </c>
      <c r="R30" s="408">
        <v>26.87</v>
      </c>
      <c r="S30" s="410" t="s">
        <v>599</v>
      </c>
      <c r="T30" s="408">
        <v>20.95</v>
      </c>
      <c r="U30" s="409"/>
      <c r="V30" s="408">
        <v>39.5</v>
      </c>
      <c r="W30" s="409"/>
      <c r="X30" s="408">
        <v>43.62</v>
      </c>
      <c r="Y30" s="409"/>
      <c r="Z30" s="408">
        <v>50.6</v>
      </c>
      <c r="AA30" s="409"/>
      <c r="AB30" s="408">
        <v>55.95</v>
      </c>
      <c r="AC30" s="409"/>
      <c r="AD30" s="408">
        <v>64.319999999999993</v>
      </c>
      <c r="AE30" s="409"/>
      <c r="AF30" s="408">
        <v>61.05</v>
      </c>
      <c r="AG30" s="409"/>
      <c r="AH30" s="408">
        <v>54.27</v>
      </c>
      <c r="AI30" s="409"/>
      <c r="AJ30" s="408">
        <v>43.55</v>
      </c>
      <c r="AK30" s="409"/>
      <c r="AL30" s="408">
        <v>37.86</v>
      </c>
      <c r="AM30" s="410" t="s">
        <v>600</v>
      </c>
      <c r="AN30" s="408">
        <v>25.6</v>
      </c>
      <c r="AO30" s="410" t="s">
        <v>600</v>
      </c>
      <c r="AP30" s="408">
        <v>43.68</v>
      </c>
    </row>
    <row r="31" spans="1:42" x14ac:dyDescent="0.25">
      <c r="Q31" s="406">
        <v>1990</v>
      </c>
      <c r="R31" s="408">
        <v>29.38</v>
      </c>
      <c r="S31" s="410" t="s">
        <v>602</v>
      </c>
      <c r="T31" s="408">
        <v>28.3</v>
      </c>
      <c r="U31" s="409"/>
      <c r="V31" s="408">
        <v>34.31</v>
      </c>
      <c r="W31" s="409"/>
      <c r="X31" s="408">
        <v>42.2</v>
      </c>
      <c r="Y31" s="409"/>
      <c r="Z31" s="408">
        <v>47.65</v>
      </c>
      <c r="AA31" s="409"/>
      <c r="AB31" s="408">
        <v>60.72</v>
      </c>
      <c r="AC31" s="409"/>
      <c r="AD31" s="408">
        <v>61.6</v>
      </c>
      <c r="AE31" s="409"/>
      <c r="AF31" s="408">
        <v>60.98</v>
      </c>
      <c r="AG31" s="409"/>
      <c r="AH31" s="408">
        <v>57.85</v>
      </c>
      <c r="AI31" s="409"/>
      <c r="AJ31" s="408">
        <v>45.56</v>
      </c>
      <c r="AK31" s="409"/>
      <c r="AL31" s="408">
        <v>37.950000000000003</v>
      </c>
      <c r="AM31" s="409"/>
      <c r="AN31" s="408">
        <v>21.9</v>
      </c>
      <c r="AO31" s="409"/>
      <c r="AP31" s="408">
        <v>44.03</v>
      </c>
    </row>
    <row r="32" spans="1:42" x14ac:dyDescent="0.25">
      <c r="B32" s="19" t="s">
        <v>619</v>
      </c>
      <c r="C32" s="19" t="s">
        <v>272</v>
      </c>
      <c r="D32" s="19" t="s">
        <v>620</v>
      </c>
      <c r="Q32" s="406">
        <v>1991</v>
      </c>
      <c r="R32" s="408">
        <v>24.19</v>
      </c>
      <c r="S32" s="409"/>
      <c r="T32" s="408">
        <v>32.200000000000003</v>
      </c>
      <c r="U32" s="409"/>
      <c r="V32" s="408">
        <v>35.9</v>
      </c>
      <c r="W32" s="409"/>
      <c r="X32" s="408">
        <v>40.78</v>
      </c>
      <c r="Y32" s="409"/>
      <c r="Z32" s="408">
        <v>50.63</v>
      </c>
      <c r="AA32" s="409"/>
      <c r="AB32" s="408">
        <v>59.6</v>
      </c>
      <c r="AC32" s="409"/>
      <c r="AD32" s="408">
        <v>62.47</v>
      </c>
      <c r="AE32" s="409"/>
      <c r="AF32" s="408">
        <v>61.81</v>
      </c>
      <c r="AG32" s="409"/>
      <c r="AH32" s="408">
        <v>54.77</v>
      </c>
      <c r="AI32" s="409"/>
      <c r="AJ32" s="408">
        <v>44.34</v>
      </c>
      <c r="AK32" s="409"/>
      <c r="AL32" s="408">
        <v>31.67</v>
      </c>
      <c r="AM32" s="409"/>
      <c r="AN32" s="408">
        <v>29.71</v>
      </c>
      <c r="AO32" s="409"/>
      <c r="AP32" s="408">
        <v>44.01</v>
      </c>
    </row>
    <row r="33" spans="1:42" x14ac:dyDescent="0.25">
      <c r="A33" s="19" t="s">
        <v>96</v>
      </c>
      <c r="Q33" s="406">
        <v>1992</v>
      </c>
      <c r="R33" s="408">
        <v>28.19</v>
      </c>
      <c r="S33" s="409"/>
      <c r="T33" s="408">
        <v>32.29</v>
      </c>
      <c r="U33" s="409"/>
      <c r="V33" s="408">
        <v>36.26</v>
      </c>
      <c r="W33" s="409"/>
      <c r="X33" s="408">
        <v>46.15</v>
      </c>
      <c r="Y33" s="409"/>
      <c r="Z33" s="408">
        <v>51.79</v>
      </c>
      <c r="AA33" s="409"/>
      <c r="AB33" s="408">
        <v>56.13</v>
      </c>
      <c r="AC33" s="409"/>
      <c r="AD33" s="408">
        <v>61.45</v>
      </c>
      <c r="AE33" s="409"/>
      <c r="AF33" s="408">
        <v>59.5</v>
      </c>
      <c r="AG33" s="410" t="s">
        <v>599</v>
      </c>
      <c r="AH33" s="408">
        <v>56.7</v>
      </c>
      <c r="AI33" s="409"/>
      <c r="AJ33" s="408">
        <v>47.79</v>
      </c>
      <c r="AK33" s="409"/>
      <c r="AL33" s="408">
        <v>28.82</v>
      </c>
      <c r="AM33" s="409"/>
      <c r="AN33" s="408">
        <v>26.13</v>
      </c>
      <c r="AO33" s="409"/>
      <c r="AP33" s="408">
        <v>44.27</v>
      </c>
    </row>
    <row r="34" spans="1:42" x14ac:dyDescent="0.25">
      <c r="A34" s="19">
        <v>2011</v>
      </c>
      <c r="B34">
        <v>410000</v>
      </c>
      <c r="C34">
        <v>81000</v>
      </c>
      <c r="Q34" s="406"/>
      <c r="R34" s="408"/>
      <c r="S34" s="409"/>
      <c r="T34" s="408"/>
      <c r="U34" s="409"/>
      <c r="V34" s="408"/>
      <c r="W34" s="409"/>
      <c r="X34" s="408"/>
      <c r="Y34" s="409"/>
      <c r="Z34" s="408"/>
      <c r="AA34" s="409"/>
      <c r="AB34" s="408"/>
      <c r="AC34" s="409"/>
      <c r="AD34" s="408"/>
      <c r="AE34" s="409"/>
      <c r="AF34" s="408"/>
      <c r="AG34" s="410"/>
      <c r="AH34" s="408"/>
      <c r="AI34" s="409"/>
      <c r="AJ34" s="408"/>
      <c r="AK34" s="409"/>
      <c r="AL34" s="408"/>
      <c r="AM34" s="409"/>
      <c r="AN34" s="408"/>
      <c r="AO34" s="409"/>
      <c r="AP34" s="408"/>
    </row>
    <row r="35" spans="1:42" x14ac:dyDescent="0.25">
      <c r="A35">
        <v>2010</v>
      </c>
      <c r="B35">
        <v>396613</v>
      </c>
      <c r="C35">
        <v>80985</v>
      </c>
      <c r="D35">
        <v>448</v>
      </c>
      <c r="E35" s="422">
        <f>D35/C44</f>
        <v>1.1342518748069493E-3</v>
      </c>
      <c r="Q35" s="406">
        <v>1993</v>
      </c>
      <c r="R35" s="408">
        <v>25.98</v>
      </c>
      <c r="S35" s="409"/>
      <c r="T35" s="408">
        <v>26.09</v>
      </c>
      <c r="U35" s="409"/>
      <c r="V35" s="408">
        <v>37.049999999999997</v>
      </c>
      <c r="W35" s="409"/>
      <c r="X35" s="408">
        <v>40.53</v>
      </c>
      <c r="Y35" s="409"/>
      <c r="Z35" s="408">
        <v>49.61</v>
      </c>
      <c r="AA35" s="409"/>
      <c r="AB35" s="408">
        <v>57.27</v>
      </c>
      <c r="AC35" s="409"/>
      <c r="AD35" s="408">
        <v>62.31</v>
      </c>
      <c r="AE35" s="409"/>
      <c r="AF35" s="408">
        <v>60.56</v>
      </c>
      <c r="AG35" s="409"/>
      <c r="AH35" s="408">
        <v>52.68</v>
      </c>
      <c r="AI35" s="409"/>
      <c r="AJ35" s="408">
        <v>42.05</v>
      </c>
      <c r="AK35" s="409"/>
      <c r="AL35" s="408">
        <v>31.02</v>
      </c>
      <c r="AM35" s="409"/>
      <c r="AN35" s="408">
        <v>29.44</v>
      </c>
      <c r="AO35" s="409"/>
      <c r="AP35" s="408">
        <v>42.88</v>
      </c>
    </row>
    <row r="36" spans="1:42" x14ac:dyDescent="0.25">
      <c r="A36">
        <v>2009</v>
      </c>
      <c r="B36">
        <f>169573+36000</f>
        <v>205573</v>
      </c>
      <c r="C36">
        <v>70844</v>
      </c>
      <c r="D36">
        <v>0</v>
      </c>
      <c r="Q36" s="406">
        <v>1994</v>
      </c>
      <c r="R36" s="408">
        <v>30.19</v>
      </c>
      <c r="S36" s="409"/>
      <c r="T36" s="408">
        <v>27.55</v>
      </c>
      <c r="U36" s="409"/>
      <c r="V36" s="408">
        <v>37.32</v>
      </c>
      <c r="W36" s="409"/>
      <c r="X36" s="408">
        <v>41.15</v>
      </c>
      <c r="Y36" s="409"/>
      <c r="Z36" s="408">
        <v>53.84</v>
      </c>
      <c r="AA36" s="409"/>
      <c r="AB36" s="408">
        <v>62.52</v>
      </c>
      <c r="AC36" s="409"/>
      <c r="AD36" s="408">
        <v>64.03</v>
      </c>
      <c r="AE36" s="409"/>
      <c r="AF36" s="408">
        <v>64.5</v>
      </c>
      <c r="AG36" s="409"/>
      <c r="AH36" s="408">
        <v>57.02</v>
      </c>
      <c r="AI36" s="409"/>
      <c r="AJ36" s="408">
        <v>43.84</v>
      </c>
      <c r="AK36" s="409"/>
      <c r="AL36" s="408">
        <v>33.47</v>
      </c>
      <c r="AM36" s="409"/>
      <c r="AN36" s="408">
        <v>31.53</v>
      </c>
      <c r="AO36" s="409"/>
      <c r="AP36" s="408">
        <v>45.58</v>
      </c>
    </row>
    <row r="37" spans="1:42" x14ac:dyDescent="0.25">
      <c r="A37">
        <v>2008</v>
      </c>
      <c r="B37">
        <f>163819+36000</f>
        <v>199819</v>
      </c>
      <c r="C37">
        <f>61482+18250</f>
        <v>79732</v>
      </c>
      <c r="D37">
        <v>0</v>
      </c>
      <c r="Q37" s="406">
        <v>1995</v>
      </c>
      <c r="R37" s="408">
        <v>26.89</v>
      </c>
      <c r="S37" s="409"/>
      <c r="T37" s="408">
        <v>33.25</v>
      </c>
      <c r="U37" s="409"/>
      <c r="V37" s="408">
        <v>35.53</v>
      </c>
      <c r="W37" s="409"/>
      <c r="X37" s="408">
        <v>37.520000000000003</v>
      </c>
      <c r="Y37" s="409"/>
      <c r="Z37" s="408">
        <v>44.66</v>
      </c>
      <c r="AA37" s="409"/>
      <c r="AB37" s="408">
        <v>55.55</v>
      </c>
      <c r="AC37" s="409"/>
      <c r="AD37" s="408">
        <v>62.37</v>
      </c>
      <c r="AE37" s="409"/>
      <c r="AF37" s="408">
        <v>65.84</v>
      </c>
      <c r="AG37" s="409"/>
      <c r="AH37" s="408">
        <v>54.42</v>
      </c>
      <c r="AI37" s="409"/>
      <c r="AJ37" s="408">
        <v>44.74</v>
      </c>
      <c r="AK37" s="409"/>
      <c r="AL37" s="408">
        <v>38.32</v>
      </c>
      <c r="AM37" s="409"/>
      <c r="AN37" s="408">
        <v>29.9</v>
      </c>
      <c r="AO37" s="409"/>
      <c r="AP37" s="408">
        <v>44.08</v>
      </c>
    </row>
    <row r="38" spans="1:42" ht="13" x14ac:dyDescent="0.3">
      <c r="A38">
        <v>2007</v>
      </c>
      <c r="B38">
        <v>205000</v>
      </c>
      <c r="C38">
        <v>82413</v>
      </c>
      <c r="D38">
        <v>0</v>
      </c>
      <c r="H38" s="935"/>
      <c r="I38" s="932" t="s">
        <v>640</v>
      </c>
      <c r="J38" s="932"/>
      <c r="K38" s="107" t="s">
        <v>622</v>
      </c>
      <c r="L38" s="107" t="s">
        <v>272</v>
      </c>
      <c r="M38" s="19"/>
      <c r="Q38" s="406">
        <v>1996</v>
      </c>
      <c r="R38" s="408">
        <v>24.94</v>
      </c>
      <c r="S38" s="409"/>
      <c r="T38" s="408">
        <v>29.28</v>
      </c>
      <c r="U38" s="409"/>
      <c r="V38" s="408">
        <v>32.18</v>
      </c>
      <c r="W38" s="409"/>
      <c r="X38" s="408">
        <v>41.62</v>
      </c>
      <c r="Y38" s="409"/>
      <c r="Z38" s="408">
        <v>52.92</v>
      </c>
      <c r="AA38" s="409"/>
      <c r="AB38" s="408">
        <v>60.4</v>
      </c>
      <c r="AC38" s="409"/>
      <c r="AD38" s="408">
        <v>65</v>
      </c>
      <c r="AE38" s="409"/>
      <c r="AF38" s="408">
        <v>62.84</v>
      </c>
      <c r="AG38" s="409"/>
      <c r="AH38" s="408">
        <v>53.12</v>
      </c>
      <c r="AI38" s="409"/>
      <c r="AJ38" s="408">
        <v>45.63</v>
      </c>
      <c r="AK38" s="409"/>
      <c r="AL38" s="408">
        <v>36.049999999999997</v>
      </c>
      <c r="AM38" s="409"/>
      <c r="AN38" s="408">
        <v>29.53</v>
      </c>
      <c r="AO38" s="409"/>
      <c r="AP38" s="408">
        <v>44.46</v>
      </c>
    </row>
    <row r="39" spans="1:42" ht="13" x14ac:dyDescent="0.3">
      <c r="A39">
        <v>2006</v>
      </c>
      <c r="B39">
        <v>200000</v>
      </c>
      <c r="C39">
        <v>64800</v>
      </c>
      <c r="D39">
        <v>268</v>
      </c>
      <c r="H39" s="936"/>
      <c r="I39" s="107" t="s">
        <v>619</v>
      </c>
      <c r="J39" s="107" t="s">
        <v>272</v>
      </c>
      <c r="K39" s="425" t="s">
        <v>637</v>
      </c>
      <c r="L39" s="425" t="s">
        <v>638</v>
      </c>
      <c r="M39" s="423"/>
      <c r="Q39" s="406">
        <v>1997</v>
      </c>
      <c r="R39" s="408">
        <v>25.66</v>
      </c>
      <c r="S39" s="409"/>
      <c r="T39" s="408">
        <v>26.29</v>
      </c>
      <c r="U39" s="409"/>
      <c r="V39" s="408">
        <v>37.08</v>
      </c>
      <c r="W39" s="409"/>
      <c r="X39" s="408">
        <v>36.229999999999997</v>
      </c>
      <c r="Y39" s="409"/>
      <c r="Z39" s="408">
        <v>50.21</v>
      </c>
      <c r="AA39" s="409"/>
      <c r="AB39" s="408">
        <v>59.34</v>
      </c>
      <c r="AC39" s="410" t="s">
        <v>599</v>
      </c>
      <c r="AD39" s="408">
        <v>62.9</v>
      </c>
      <c r="AE39" s="409"/>
      <c r="AF39" s="408">
        <v>62.27</v>
      </c>
      <c r="AG39" s="409"/>
      <c r="AH39" s="408">
        <v>57.77</v>
      </c>
      <c r="AI39" s="409"/>
      <c r="AJ39" s="408">
        <v>45.23</v>
      </c>
      <c r="AK39" s="409"/>
      <c r="AL39" s="408">
        <v>32.65</v>
      </c>
      <c r="AM39" s="409"/>
      <c r="AN39" s="408">
        <v>25.48</v>
      </c>
      <c r="AO39" s="409"/>
      <c r="AP39" s="408">
        <v>43.43</v>
      </c>
    </row>
    <row r="40" spans="1:42" x14ac:dyDescent="0.25">
      <c r="A40">
        <v>2005</v>
      </c>
      <c r="B40">
        <v>200000</v>
      </c>
      <c r="C40">
        <v>64800</v>
      </c>
      <c r="D40">
        <v>0</v>
      </c>
      <c r="H40" s="98" t="s">
        <v>636</v>
      </c>
      <c r="I40" s="424">
        <v>1417000</v>
      </c>
      <c r="J40" s="424">
        <v>394975</v>
      </c>
      <c r="K40" s="330">
        <v>448</v>
      </c>
      <c r="L40" s="426">
        <f>K40/J40</f>
        <v>1.1342490031014622E-3</v>
      </c>
      <c r="M40" s="422"/>
      <c r="Q40" s="406">
        <v>1998</v>
      </c>
      <c r="R40" s="408">
        <v>31.37</v>
      </c>
      <c r="S40" s="409"/>
      <c r="T40" s="408">
        <v>29.14</v>
      </c>
      <c r="U40" s="409"/>
      <c r="V40" s="408">
        <v>33.049999999999997</v>
      </c>
      <c r="W40" s="409"/>
      <c r="X40" s="408">
        <v>38.67</v>
      </c>
      <c r="Y40" s="409"/>
      <c r="Z40" s="408">
        <v>51.81</v>
      </c>
      <c r="AA40" s="409"/>
      <c r="AB40" s="408">
        <v>56.18</v>
      </c>
      <c r="AC40" s="409"/>
      <c r="AD40" s="408">
        <v>65.81</v>
      </c>
      <c r="AE40" s="409"/>
      <c r="AF40" s="408">
        <v>63.69</v>
      </c>
      <c r="AG40" s="409"/>
      <c r="AH40" s="408">
        <v>59.4</v>
      </c>
      <c r="AI40" s="409"/>
      <c r="AJ40" s="408">
        <v>45.44</v>
      </c>
      <c r="AK40" s="409"/>
      <c r="AL40" s="408">
        <v>36.78</v>
      </c>
      <c r="AM40" s="409"/>
      <c r="AN40" s="408">
        <v>25.68</v>
      </c>
      <c r="AO40" s="409"/>
      <c r="AP40" s="408">
        <v>44.75</v>
      </c>
    </row>
    <row r="41" spans="1:42" x14ac:dyDescent="0.25">
      <c r="A41">
        <v>2004</v>
      </c>
      <c r="B41">
        <v>190000</v>
      </c>
      <c r="C41">
        <v>63000</v>
      </c>
      <c r="D41">
        <v>0</v>
      </c>
      <c r="H41" s="98" t="s">
        <v>639</v>
      </c>
      <c r="I41" s="424">
        <v>911000</v>
      </c>
      <c r="J41" s="424">
        <v>312600</v>
      </c>
      <c r="K41" s="330">
        <v>268</v>
      </c>
      <c r="L41" s="426">
        <f>K41/J41</f>
        <v>8.5732565579014716E-4</v>
      </c>
      <c r="Q41" s="406">
        <v>1999</v>
      </c>
      <c r="R41" s="408">
        <v>30.74</v>
      </c>
      <c r="S41" s="409"/>
      <c r="T41" s="408">
        <v>34.04</v>
      </c>
      <c r="U41" s="409"/>
      <c r="V41" s="408">
        <v>39.11</v>
      </c>
      <c r="W41" s="409"/>
      <c r="X41" s="408">
        <v>37.53</v>
      </c>
      <c r="Y41" s="409"/>
      <c r="Z41" s="408">
        <v>49.58</v>
      </c>
      <c r="AA41" s="409"/>
      <c r="AB41" s="408">
        <v>57.63</v>
      </c>
      <c r="AC41" s="409"/>
      <c r="AD41" s="408">
        <v>66.53</v>
      </c>
      <c r="AE41" s="410" t="s">
        <v>599</v>
      </c>
      <c r="AF41" s="408">
        <v>62.74</v>
      </c>
      <c r="AG41" s="409"/>
      <c r="AH41" s="408">
        <v>52.68</v>
      </c>
      <c r="AI41" s="410" t="s">
        <v>600</v>
      </c>
      <c r="AJ41" s="408">
        <v>45.05</v>
      </c>
      <c r="AK41" s="409"/>
      <c r="AL41" s="408">
        <v>41.42</v>
      </c>
      <c r="AM41" s="409"/>
      <c r="AN41" s="408">
        <v>29.24</v>
      </c>
      <c r="AO41" s="409"/>
      <c r="AP41" s="408">
        <v>45.52</v>
      </c>
    </row>
    <row r="42" spans="1:42" ht="13" x14ac:dyDescent="0.3">
      <c r="A42">
        <v>2003</v>
      </c>
      <c r="B42">
        <v>165000</v>
      </c>
      <c r="C42">
        <v>62000</v>
      </c>
      <c r="D42">
        <v>0</v>
      </c>
      <c r="H42" s="64" t="s">
        <v>449</v>
      </c>
      <c r="I42" s="427">
        <f>SUM(I40:I41)</f>
        <v>2328000</v>
      </c>
      <c r="J42" s="427">
        <f>SUM(J40:J41)</f>
        <v>707575</v>
      </c>
      <c r="K42" s="330">
        <f>SUM(K40:K41)</f>
        <v>716</v>
      </c>
      <c r="L42" s="426">
        <f>K42/J42</f>
        <v>1.0119068649966435E-3</v>
      </c>
      <c r="Q42" s="406">
        <v>2000</v>
      </c>
      <c r="R42" s="408">
        <v>30.55</v>
      </c>
      <c r="S42" s="409"/>
      <c r="T42" s="408">
        <v>34.32</v>
      </c>
      <c r="U42" s="410" t="s">
        <v>599</v>
      </c>
      <c r="V42" s="408">
        <v>36.22</v>
      </c>
      <c r="W42" s="410" t="s">
        <v>599</v>
      </c>
      <c r="X42" s="408">
        <v>44.9</v>
      </c>
      <c r="Y42" s="409"/>
      <c r="Z42" s="408">
        <v>53.42</v>
      </c>
      <c r="AA42" s="409"/>
      <c r="AB42" s="408">
        <v>59.77</v>
      </c>
      <c r="AC42" s="409"/>
      <c r="AD42" s="408">
        <v>67.209999999999994</v>
      </c>
      <c r="AE42" s="409"/>
      <c r="AF42" s="408">
        <v>66.56</v>
      </c>
      <c r="AG42" s="409"/>
      <c r="AH42" s="408">
        <v>55.88</v>
      </c>
      <c r="AI42" s="409"/>
      <c r="AJ42" s="408">
        <v>43.79</v>
      </c>
      <c r="AK42" s="409"/>
      <c r="AL42" s="408">
        <v>26.6</v>
      </c>
      <c r="AM42" s="409"/>
      <c r="AN42" s="408">
        <v>26.11</v>
      </c>
      <c r="AO42" s="409"/>
      <c r="AP42" s="408">
        <v>45.44</v>
      </c>
    </row>
    <row r="43" spans="1:42" x14ac:dyDescent="0.25">
      <c r="A43">
        <v>2002</v>
      </c>
      <c r="B43">
        <v>156000</v>
      </c>
      <c r="C43">
        <v>58000</v>
      </c>
      <c r="Q43" s="411"/>
      <c r="R43" s="408"/>
      <c r="S43" s="409"/>
      <c r="T43" s="408"/>
      <c r="U43" s="410"/>
      <c r="V43" s="408"/>
      <c r="W43" s="410"/>
      <c r="X43" s="408"/>
      <c r="Y43" s="409"/>
      <c r="Z43" s="408"/>
      <c r="AA43" s="409"/>
      <c r="AB43" s="408"/>
      <c r="AC43" s="409"/>
      <c r="AD43" s="408"/>
      <c r="AE43" s="409"/>
      <c r="AF43" s="408"/>
      <c r="AG43" s="409"/>
      <c r="AH43" s="408"/>
      <c r="AI43" s="409"/>
      <c r="AJ43" s="408"/>
      <c r="AK43" s="409"/>
      <c r="AL43" s="408"/>
      <c r="AM43" s="409"/>
      <c r="AN43" s="408"/>
      <c r="AO43" s="409"/>
      <c r="AP43" s="408"/>
    </row>
    <row r="44" spans="1:42" x14ac:dyDescent="0.25">
      <c r="B44">
        <f>SUM(B34:B38)</f>
        <v>1417005</v>
      </c>
      <c r="C44">
        <f>SUM(C34:C38)</f>
        <v>394974</v>
      </c>
      <c r="D44">
        <f>SUM(D34:D42)</f>
        <v>716</v>
      </c>
      <c r="E44" s="422">
        <f>D44/C44</f>
        <v>1.8127775499146778E-3</v>
      </c>
      <c r="Q44" s="406">
        <v>2002</v>
      </c>
      <c r="R44" s="408">
        <v>27.1</v>
      </c>
      <c r="S44" s="409"/>
      <c r="T44" s="408">
        <v>26.66</v>
      </c>
      <c r="U44" s="409"/>
      <c r="V44" s="408">
        <v>30.84</v>
      </c>
      <c r="W44" s="409"/>
      <c r="X44" s="408">
        <v>43.77</v>
      </c>
      <c r="Y44" s="409"/>
      <c r="Z44" s="408">
        <v>48.94</v>
      </c>
      <c r="AA44" s="409"/>
      <c r="AB44" s="408">
        <v>62.18</v>
      </c>
      <c r="AC44" s="409"/>
      <c r="AD44" s="408">
        <v>67.87</v>
      </c>
      <c r="AE44" s="409"/>
      <c r="AF44" s="408">
        <v>63.48</v>
      </c>
      <c r="AG44" s="409"/>
      <c r="AH44" s="408">
        <v>55.5</v>
      </c>
      <c r="AI44" s="409"/>
      <c r="AJ44" s="408">
        <v>39.82</v>
      </c>
      <c r="AK44" s="409"/>
      <c r="AL44" s="408">
        <v>33</v>
      </c>
      <c r="AM44" s="409"/>
      <c r="AN44" s="408">
        <v>30.27</v>
      </c>
      <c r="AO44" s="409"/>
      <c r="AP44" s="408">
        <v>44.12</v>
      </c>
    </row>
    <row r="45" spans="1:42" x14ac:dyDescent="0.25">
      <c r="Q45" s="406">
        <v>2003</v>
      </c>
      <c r="R45" s="408">
        <v>33.18</v>
      </c>
      <c r="S45" s="409"/>
      <c r="T45" s="408">
        <v>24.61</v>
      </c>
      <c r="U45" s="409"/>
      <c r="V45" s="408">
        <v>34.29</v>
      </c>
      <c r="W45" s="409"/>
      <c r="X45" s="408">
        <v>43.77</v>
      </c>
      <c r="Y45" s="409"/>
      <c r="Z45" s="408">
        <v>50.15</v>
      </c>
      <c r="AA45" s="409"/>
      <c r="AB45" s="408">
        <v>56.52</v>
      </c>
      <c r="AC45" s="409"/>
      <c r="AD45" s="408">
        <v>67.849999999999994</v>
      </c>
      <c r="AE45" s="409"/>
      <c r="AF45" s="408">
        <v>65.819999999999993</v>
      </c>
      <c r="AG45" s="409"/>
      <c r="AH45" s="408">
        <v>54.25</v>
      </c>
      <c r="AI45" s="409"/>
      <c r="AJ45" s="408">
        <v>48.81</v>
      </c>
      <c r="AK45" s="409"/>
      <c r="AL45" s="408">
        <v>32.75</v>
      </c>
      <c r="AM45" s="409"/>
      <c r="AN45" s="408">
        <v>31.21</v>
      </c>
      <c r="AO45" s="409"/>
      <c r="AP45" s="408">
        <v>45.27</v>
      </c>
    </row>
    <row r="46" spans="1:42" x14ac:dyDescent="0.25">
      <c r="Q46" s="406">
        <v>2004</v>
      </c>
      <c r="R46" s="408">
        <v>28.48</v>
      </c>
      <c r="S46" s="409"/>
      <c r="T46" s="408">
        <v>25.4</v>
      </c>
      <c r="U46" s="409"/>
      <c r="V46" s="408">
        <v>41.48</v>
      </c>
      <c r="W46" s="409"/>
      <c r="X46" s="408">
        <v>42.6</v>
      </c>
      <c r="Y46" s="409"/>
      <c r="Z46" s="408">
        <v>51.77</v>
      </c>
      <c r="AA46" s="409"/>
      <c r="AB46" s="408">
        <v>56.93</v>
      </c>
      <c r="AC46" s="409"/>
      <c r="AD46" s="408">
        <v>62.15</v>
      </c>
      <c r="AE46" s="409"/>
      <c r="AF46" s="408">
        <v>59.84</v>
      </c>
      <c r="AG46" s="409"/>
      <c r="AH46" s="408">
        <v>55.22</v>
      </c>
      <c r="AI46" s="409"/>
      <c r="AJ46" s="408">
        <v>46.02</v>
      </c>
      <c r="AK46" s="409"/>
      <c r="AL46" s="408">
        <v>34.5</v>
      </c>
      <c r="AM46" s="409"/>
      <c r="AN46" s="408">
        <v>31.21</v>
      </c>
      <c r="AO46" s="409"/>
      <c r="AP46" s="408">
        <v>44.63</v>
      </c>
    </row>
    <row r="47" spans="1:42" x14ac:dyDescent="0.25">
      <c r="Q47" s="406">
        <v>2005</v>
      </c>
      <c r="R47" s="408">
        <v>32.840000000000003</v>
      </c>
      <c r="S47" s="409"/>
      <c r="T47" s="408">
        <v>31.46</v>
      </c>
      <c r="U47" s="409"/>
      <c r="V47" s="408">
        <v>34.450000000000003</v>
      </c>
      <c r="W47" s="409"/>
      <c r="X47" s="408">
        <v>39.950000000000003</v>
      </c>
      <c r="Y47" s="409"/>
      <c r="Z47" s="408">
        <v>49.31</v>
      </c>
      <c r="AA47" s="409"/>
      <c r="AB47" s="408">
        <v>58.42</v>
      </c>
      <c r="AC47" s="409"/>
      <c r="AD47" s="408">
        <v>67.02</v>
      </c>
      <c r="AE47" s="409"/>
      <c r="AF47" s="408">
        <v>61.68</v>
      </c>
      <c r="AG47" s="409"/>
      <c r="AH47" s="408">
        <v>57.12</v>
      </c>
      <c r="AI47" s="409"/>
      <c r="AJ47" s="408">
        <v>45.73</v>
      </c>
      <c r="AK47" s="409"/>
      <c r="AL47" s="408">
        <v>38.369999999999997</v>
      </c>
      <c r="AM47" s="409"/>
      <c r="AN47" s="408">
        <v>26.94</v>
      </c>
      <c r="AO47" s="409"/>
      <c r="AP47" s="408">
        <v>45.27</v>
      </c>
    </row>
    <row r="48" spans="1:42" x14ac:dyDescent="0.25">
      <c r="Q48" s="406">
        <v>2006</v>
      </c>
      <c r="R48" s="408">
        <v>32.369999999999997</v>
      </c>
      <c r="S48" s="409"/>
      <c r="T48" s="408">
        <v>27.5</v>
      </c>
      <c r="U48" s="409"/>
      <c r="V48" s="408">
        <v>33.229999999999997</v>
      </c>
      <c r="W48" s="409"/>
      <c r="X48" s="408">
        <v>45.37</v>
      </c>
      <c r="Y48" s="409"/>
      <c r="Z48" s="408">
        <v>52.1</v>
      </c>
      <c r="AA48" s="409"/>
      <c r="AB48" s="408">
        <v>61.83</v>
      </c>
      <c r="AC48" s="410" t="s">
        <v>602</v>
      </c>
      <c r="AD48" s="408">
        <v>65.290000000000006</v>
      </c>
      <c r="AE48" s="410" t="s">
        <v>603</v>
      </c>
      <c r="AF48" s="408" t="s">
        <v>596</v>
      </c>
      <c r="AG48" s="410" t="s">
        <v>597</v>
      </c>
      <c r="AH48" s="408" t="s">
        <v>596</v>
      </c>
      <c r="AI48" s="410" t="s">
        <v>597</v>
      </c>
      <c r="AJ48" s="408" t="s">
        <v>596</v>
      </c>
      <c r="AK48" s="410" t="s">
        <v>597</v>
      </c>
      <c r="AL48" s="408" t="s">
        <v>596</v>
      </c>
      <c r="AM48" s="410" t="s">
        <v>597</v>
      </c>
      <c r="AN48" s="408" t="s">
        <v>596</v>
      </c>
      <c r="AO48" s="410" t="s">
        <v>597</v>
      </c>
      <c r="AP48" s="408">
        <v>42.07</v>
      </c>
    </row>
    <row r="49" spans="17:43" x14ac:dyDescent="0.25">
      <c r="Q49" s="406">
        <v>2007</v>
      </c>
      <c r="R49" s="408"/>
      <c r="S49" s="409"/>
      <c r="T49" s="408"/>
      <c r="U49" s="409"/>
      <c r="V49" s="408"/>
      <c r="W49" s="409"/>
      <c r="X49" s="408"/>
      <c r="Y49" s="409"/>
      <c r="Z49" s="408"/>
      <c r="AA49" s="409"/>
      <c r="AB49" s="408"/>
      <c r="AC49" s="410"/>
      <c r="AD49" s="408"/>
      <c r="AE49" s="410"/>
      <c r="AF49" s="408"/>
      <c r="AG49" s="410"/>
      <c r="AH49" s="408"/>
      <c r="AI49" s="410"/>
      <c r="AJ49" s="408"/>
      <c r="AK49" s="410"/>
      <c r="AL49" s="408"/>
      <c r="AM49" s="410"/>
      <c r="AN49" s="408"/>
      <c r="AO49" s="410"/>
      <c r="AP49" s="408"/>
    </row>
    <row r="50" spans="17:43" x14ac:dyDescent="0.25">
      <c r="Q50" s="406">
        <v>2008</v>
      </c>
      <c r="R50" s="408"/>
      <c r="S50" s="409"/>
      <c r="T50" s="408"/>
      <c r="U50" s="409"/>
      <c r="V50" s="408"/>
      <c r="W50" s="409"/>
      <c r="X50" s="408"/>
      <c r="Y50" s="409"/>
      <c r="Z50" s="408"/>
      <c r="AA50" s="409"/>
      <c r="AB50" s="408"/>
      <c r="AC50" s="410"/>
      <c r="AD50" s="408"/>
      <c r="AE50" s="410"/>
      <c r="AF50" s="408"/>
      <c r="AG50" s="410"/>
      <c r="AH50" s="408"/>
      <c r="AI50" s="410"/>
      <c r="AJ50" s="408"/>
      <c r="AK50" s="410"/>
      <c r="AL50" s="408"/>
      <c r="AM50" s="410"/>
      <c r="AN50" s="408"/>
      <c r="AO50" s="410"/>
      <c r="AP50" s="408"/>
    </row>
    <row r="51" spans="17:43" x14ac:dyDescent="0.25">
      <c r="Q51" s="406">
        <v>2009</v>
      </c>
      <c r="R51" s="408"/>
      <c r="S51" s="409"/>
      <c r="T51" s="408"/>
      <c r="U51" s="409"/>
      <c r="V51" s="408"/>
      <c r="W51" s="409"/>
      <c r="X51" s="408"/>
      <c r="Y51" s="409"/>
      <c r="Z51" s="408"/>
      <c r="AA51" s="409"/>
      <c r="AB51" s="408"/>
      <c r="AC51" s="410"/>
      <c r="AD51" s="408"/>
      <c r="AE51" s="410"/>
      <c r="AF51" s="408"/>
      <c r="AG51" s="410"/>
      <c r="AH51" s="408"/>
      <c r="AI51" s="410"/>
      <c r="AJ51" s="408"/>
      <c r="AK51" s="410"/>
      <c r="AL51" s="408"/>
      <c r="AM51" s="410"/>
      <c r="AN51" s="408"/>
      <c r="AO51" s="410"/>
      <c r="AP51" s="408"/>
    </row>
    <row r="52" spans="17:43" x14ac:dyDescent="0.25">
      <c r="Q52" s="405">
        <v>2010</v>
      </c>
      <c r="R52" s="407"/>
      <c r="S52" s="409"/>
      <c r="T52" s="407"/>
      <c r="U52" s="409"/>
      <c r="V52" s="407"/>
      <c r="W52" s="409"/>
      <c r="X52" s="407"/>
      <c r="Y52" s="409"/>
      <c r="Z52" s="407"/>
      <c r="AA52" s="409"/>
      <c r="AB52" s="407"/>
      <c r="AC52" s="409"/>
      <c r="AG52" s="409"/>
      <c r="AH52" s="407"/>
      <c r="AI52" s="409"/>
      <c r="AJ52" s="407"/>
      <c r="AK52" s="409"/>
      <c r="AL52" s="407"/>
      <c r="AM52" s="409"/>
      <c r="AN52" s="407"/>
      <c r="AO52" s="409"/>
      <c r="AP52" s="407"/>
    </row>
    <row r="53" spans="17:43" x14ac:dyDescent="0.25">
      <c r="Q53" s="405"/>
      <c r="R53" s="407"/>
      <c r="S53" s="409"/>
      <c r="T53" s="407"/>
      <c r="U53" s="409"/>
      <c r="V53" s="407"/>
      <c r="W53" s="409"/>
      <c r="X53" s="407"/>
      <c r="Y53" s="409"/>
      <c r="Z53" s="407"/>
      <c r="AA53" s="409"/>
      <c r="AB53" s="407"/>
      <c r="AC53" s="409"/>
      <c r="AD53" s="407">
        <f>PERCENTILE(AD2:AD48,0.9)</f>
        <v>66.823999999999998</v>
      </c>
      <c r="AE53" s="409"/>
      <c r="AF53" s="407">
        <f>PERCENTILE(AF2:AF48,0.9)</f>
        <v>64.465000000000003</v>
      </c>
      <c r="AG53" s="409"/>
      <c r="AH53" s="407"/>
      <c r="AI53" s="409"/>
      <c r="AJ53" s="407"/>
      <c r="AK53" s="409"/>
      <c r="AL53" s="407"/>
      <c r="AM53" s="409"/>
      <c r="AN53" s="407"/>
      <c r="AO53" s="409"/>
      <c r="AP53" s="407"/>
    </row>
    <row r="54" spans="17:43" ht="13.25" customHeight="1" x14ac:dyDescent="0.25">
      <c r="Q54" s="940" t="s">
        <v>604</v>
      </c>
      <c r="R54" s="940"/>
      <c r="S54" s="940"/>
      <c r="T54" s="940"/>
      <c r="U54" s="940"/>
      <c r="V54" s="940"/>
      <c r="W54" s="940"/>
      <c r="X54" s="940"/>
      <c r="Y54" s="940"/>
      <c r="Z54" s="940"/>
      <c r="AA54" s="940"/>
      <c r="AB54" s="940"/>
      <c r="AC54" s="940"/>
      <c r="AD54" s="940"/>
      <c r="AE54" s="940"/>
      <c r="AF54" s="940"/>
      <c r="AG54" s="940"/>
      <c r="AH54" s="940"/>
      <c r="AI54" s="940"/>
      <c r="AJ54" s="940"/>
      <c r="AK54" s="940"/>
      <c r="AL54" s="940"/>
      <c r="AM54" s="940"/>
      <c r="AN54" s="940"/>
      <c r="AO54" s="940"/>
      <c r="AP54" s="940"/>
    </row>
    <row r="55" spans="17:43" x14ac:dyDescent="0.25">
      <c r="Q55" s="406" t="s">
        <v>605</v>
      </c>
      <c r="R55" s="408">
        <v>27.4</v>
      </c>
      <c r="S55" s="409"/>
      <c r="T55" s="408">
        <v>28.92</v>
      </c>
      <c r="U55" s="409"/>
      <c r="V55" s="408">
        <v>33.92</v>
      </c>
      <c r="W55" s="409"/>
      <c r="X55" s="408">
        <v>41.2</v>
      </c>
      <c r="Y55" s="409"/>
      <c r="Z55" s="408">
        <v>49.54</v>
      </c>
      <c r="AA55" s="409"/>
      <c r="AB55" s="408">
        <v>58.24</v>
      </c>
      <c r="AC55" s="409"/>
      <c r="AD55" s="408">
        <v>64.09</v>
      </c>
      <c r="AE55" s="409"/>
      <c r="AF55" s="408">
        <v>62.36</v>
      </c>
      <c r="AG55" s="409"/>
      <c r="AH55" s="408">
        <v>54.63</v>
      </c>
      <c r="AI55" s="409"/>
      <c r="AJ55" s="408">
        <v>44.65</v>
      </c>
      <c r="AK55" s="409"/>
      <c r="AL55" s="408">
        <v>34.340000000000003</v>
      </c>
      <c r="AM55" s="409"/>
      <c r="AN55" s="408">
        <v>28.03</v>
      </c>
      <c r="AO55" s="409"/>
      <c r="AP55" s="408">
        <v>44.02</v>
      </c>
    </row>
    <row r="56" spans="17:43" x14ac:dyDescent="0.25">
      <c r="Q56" s="406" t="s">
        <v>606</v>
      </c>
      <c r="R56" s="408">
        <v>3.55</v>
      </c>
      <c r="S56" s="409"/>
      <c r="T56" s="408">
        <v>3.14</v>
      </c>
      <c r="U56" s="409"/>
      <c r="V56" s="408">
        <v>3.64</v>
      </c>
      <c r="W56" s="409"/>
      <c r="X56" s="408">
        <v>3.16</v>
      </c>
      <c r="Y56" s="409"/>
      <c r="Z56" s="408">
        <v>2.5</v>
      </c>
      <c r="AA56" s="409"/>
      <c r="AB56" s="408">
        <v>2.34</v>
      </c>
      <c r="AC56" s="409"/>
      <c r="AD56" s="408">
        <v>1.91</v>
      </c>
      <c r="AE56" s="409"/>
      <c r="AF56" s="408">
        <v>1.97</v>
      </c>
      <c r="AG56" s="409"/>
      <c r="AH56" s="408">
        <v>2.5499999999999998</v>
      </c>
      <c r="AI56" s="409"/>
      <c r="AJ56" s="408">
        <v>2.72</v>
      </c>
      <c r="AK56" s="409"/>
      <c r="AL56" s="408">
        <v>3.35</v>
      </c>
      <c r="AM56" s="409"/>
      <c r="AN56" s="408">
        <v>3.12</v>
      </c>
      <c r="AO56" s="409"/>
      <c r="AP56" s="408">
        <v>1.02</v>
      </c>
    </row>
    <row r="57" spans="17:43" x14ac:dyDescent="0.25">
      <c r="Q57" s="406" t="s">
        <v>607</v>
      </c>
      <c r="R57" s="408">
        <v>-0.35</v>
      </c>
      <c r="S57" s="409"/>
      <c r="T57" s="408">
        <v>-0.21</v>
      </c>
      <c r="U57" s="409"/>
      <c r="V57" s="408">
        <v>-0.33</v>
      </c>
      <c r="W57" s="409"/>
      <c r="X57" s="408">
        <v>-0.66</v>
      </c>
      <c r="Y57" s="409"/>
      <c r="Z57" s="408">
        <v>-0.34</v>
      </c>
      <c r="AA57" s="409"/>
      <c r="AB57" s="408">
        <v>-0.06</v>
      </c>
      <c r="AC57" s="409"/>
      <c r="AD57" s="408">
        <v>0.44</v>
      </c>
      <c r="AE57" s="409"/>
      <c r="AF57" s="408">
        <v>0.63</v>
      </c>
      <c r="AG57" s="409"/>
      <c r="AH57" s="408">
        <v>-7.0000000000000007E-2</v>
      </c>
      <c r="AI57" s="409"/>
      <c r="AJ57" s="408">
        <v>-0.84</v>
      </c>
      <c r="AK57" s="409"/>
      <c r="AL57" s="408">
        <v>-0.27</v>
      </c>
      <c r="AM57" s="409"/>
      <c r="AN57" s="408">
        <v>-0.12</v>
      </c>
      <c r="AO57" s="409"/>
      <c r="AP57" s="408">
        <v>-0.02</v>
      </c>
    </row>
    <row r="58" spans="17:43" x14ac:dyDescent="0.25">
      <c r="Q58" s="406" t="s">
        <v>608</v>
      </c>
      <c r="R58" s="408">
        <v>34.47</v>
      </c>
      <c r="S58" s="409"/>
      <c r="T58" s="408">
        <v>34.32</v>
      </c>
      <c r="U58" s="409"/>
      <c r="V58" s="408">
        <v>41.48</v>
      </c>
      <c r="W58" s="409"/>
      <c r="X58" s="408">
        <v>46.15</v>
      </c>
      <c r="Y58" s="409"/>
      <c r="Z58" s="408">
        <v>53.84</v>
      </c>
      <c r="AA58" s="409"/>
      <c r="AB58" s="408">
        <v>62.52</v>
      </c>
      <c r="AC58" s="409"/>
      <c r="AD58" s="408">
        <v>67.87</v>
      </c>
      <c r="AE58" s="409"/>
      <c r="AF58" s="408">
        <v>67.58</v>
      </c>
      <c r="AG58" s="409"/>
      <c r="AH58" s="408">
        <v>59.78</v>
      </c>
      <c r="AI58" s="409"/>
      <c r="AJ58" s="408">
        <v>50.5</v>
      </c>
      <c r="AK58" s="409"/>
      <c r="AL58" s="408">
        <v>41.42</v>
      </c>
      <c r="AM58" s="409"/>
      <c r="AN58" s="408">
        <v>35.9</v>
      </c>
      <c r="AO58" s="409"/>
      <c r="AP58" s="408">
        <v>45.72</v>
      </c>
    </row>
    <row r="59" spans="17:43" x14ac:dyDescent="0.25">
      <c r="Q59" s="406" t="s">
        <v>609</v>
      </c>
      <c r="R59" s="408">
        <v>17.75</v>
      </c>
      <c r="S59" s="409"/>
      <c r="T59" s="408">
        <v>20.95</v>
      </c>
      <c r="U59" s="409"/>
      <c r="V59" s="408">
        <v>23.79</v>
      </c>
      <c r="W59" s="409"/>
      <c r="X59" s="408">
        <v>33.28</v>
      </c>
      <c r="Y59" s="409"/>
      <c r="Z59" s="408">
        <v>43.45</v>
      </c>
      <c r="AA59" s="409"/>
      <c r="AB59" s="408">
        <v>53.02</v>
      </c>
      <c r="AC59" s="409"/>
      <c r="AD59" s="408">
        <v>61.11</v>
      </c>
      <c r="AE59" s="409"/>
      <c r="AF59" s="408">
        <v>59.15</v>
      </c>
      <c r="AG59" s="409"/>
      <c r="AH59" s="408">
        <v>49.25</v>
      </c>
      <c r="AI59" s="409"/>
      <c r="AJ59" s="408">
        <v>36.42</v>
      </c>
      <c r="AK59" s="409"/>
      <c r="AL59" s="408">
        <v>26.6</v>
      </c>
      <c r="AM59" s="409"/>
      <c r="AN59" s="408">
        <v>21.02</v>
      </c>
      <c r="AO59" s="409"/>
      <c r="AP59" s="408">
        <v>41.84</v>
      </c>
    </row>
    <row r="60" spans="17:43" x14ac:dyDescent="0.25">
      <c r="Q60" s="406" t="s">
        <v>610</v>
      </c>
      <c r="R60" s="408">
        <v>44</v>
      </c>
      <c r="S60" s="409"/>
      <c r="T60" s="408">
        <v>44</v>
      </c>
      <c r="U60" s="409"/>
      <c r="V60" s="408">
        <v>43</v>
      </c>
      <c r="W60" s="409"/>
      <c r="X60" s="408">
        <v>42</v>
      </c>
      <c r="Y60" s="409"/>
      <c r="Z60" s="408">
        <v>43</v>
      </c>
      <c r="AA60" s="409"/>
      <c r="AB60" s="408">
        <v>45</v>
      </c>
      <c r="AC60" s="409"/>
      <c r="AD60" s="408">
        <v>45</v>
      </c>
      <c r="AE60" s="409"/>
      <c r="AF60" s="408">
        <v>43</v>
      </c>
      <c r="AG60" s="409"/>
      <c r="AH60" s="408">
        <v>42</v>
      </c>
      <c r="AI60" s="409"/>
      <c r="AJ60" s="408">
        <v>45</v>
      </c>
      <c r="AK60" s="409"/>
      <c r="AL60" s="408">
        <v>44</v>
      </c>
      <c r="AM60" s="409"/>
      <c r="AN60" s="408">
        <v>43</v>
      </c>
      <c r="AO60" s="409"/>
      <c r="AP60" s="408">
        <v>37</v>
      </c>
    </row>
    <row r="63" spans="17:43" ht="13.25" customHeight="1" x14ac:dyDescent="0.25">
      <c r="Q63" s="404" t="s">
        <v>582</v>
      </c>
      <c r="R63" s="940" t="s">
        <v>583</v>
      </c>
      <c r="S63" s="940"/>
      <c r="T63" s="940" t="s">
        <v>584</v>
      </c>
      <c r="U63" s="940"/>
      <c r="V63" s="940" t="s">
        <v>585</v>
      </c>
      <c r="W63" s="940"/>
      <c r="X63" s="940" t="s">
        <v>586</v>
      </c>
      <c r="Y63" s="940"/>
      <c r="Z63" s="940" t="s">
        <v>587</v>
      </c>
      <c r="AA63" s="940"/>
      <c r="AB63" s="940" t="s">
        <v>588</v>
      </c>
      <c r="AC63" s="940"/>
      <c r="AD63" s="940" t="s">
        <v>589</v>
      </c>
      <c r="AE63" s="940"/>
      <c r="AF63" s="940" t="s">
        <v>590</v>
      </c>
      <c r="AG63" s="940"/>
      <c r="AH63" s="940" t="s">
        <v>591</v>
      </c>
      <c r="AI63" s="940"/>
      <c r="AJ63" s="940" t="s">
        <v>592</v>
      </c>
      <c r="AK63" s="940"/>
      <c r="AL63" s="940" t="s">
        <v>593</v>
      </c>
      <c r="AM63" s="940"/>
      <c r="AN63" s="940" t="s">
        <v>594</v>
      </c>
      <c r="AO63" s="940"/>
      <c r="AP63" s="940" t="s">
        <v>595</v>
      </c>
      <c r="AQ63" s="940"/>
    </row>
    <row r="64" spans="17:43" x14ac:dyDescent="0.25">
      <c r="Q64" s="406">
        <v>1961</v>
      </c>
      <c r="R64" s="408" t="s">
        <v>596</v>
      </c>
      <c r="S64" s="410" t="s">
        <v>597</v>
      </c>
      <c r="T64" s="408" t="s">
        <v>596</v>
      </c>
      <c r="U64" s="410" t="s">
        <v>597</v>
      </c>
      <c r="V64" s="408" t="s">
        <v>596</v>
      </c>
      <c r="W64" s="410" t="s">
        <v>597</v>
      </c>
      <c r="X64" s="408" t="s">
        <v>596</v>
      </c>
      <c r="Y64" s="410" t="s">
        <v>597</v>
      </c>
      <c r="Z64" s="408">
        <v>78.569999999999993</v>
      </c>
      <c r="AA64" s="410" t="s">
        <v>598</v>
      </c>
      <c r="AB64" s="408">
        <v>76.930000000000007</v>
      </c>
      <c r="AC64" s="409"/>
      <c r="AD64" s="408">
        <v>80.900000000000006</v>
      </c>
      <c r="AE64" s="409"/>
      <c r="AF64" s="408">
        <v>78.42</v>
      </c>
      <c r="AG64" s="409"/>
      <c r="AH64" s="408">
        <v>65.33</v>
      </c>
      <c r="AI64" s="409"/>
      <c r="AJ64" s="408">
        <v>62.61</v>
      </c>
      <c r="AK64" s="409"/>
      <c r="AL64" s="408">
        <v>48.67</v>
      </c>
      <c r="AM64" s="409"/>
      <c r="AN64" s="408">
        <v>40.74</v>
      </c>
      <c r="AO64" s="409"/>
      <c r="AP64" s="408">
        <v>64.8</v>
      </c>
    </row>
    <row r="65" spans="17:42" x14ac:dyDescent="0.25">
      <c r="Q65" s="406">
        <v>1962</v>
      </c>
      <c r="R65" s="408">
        <v>42.26</v>
      </c>
      <c r="S65" s="409"/>
      <c r="T65" s="408">
        <v>47.36</v>
      </c>
      <c r="U65" s="409"/>
      <c r="V65" s="408">
        <v>49.35</v>
      </c>
      <c r="W65" s="409"/>
      <c r="X65" s="408">
        <v>63.57</v>
      </c>
      <c r="Y65" s="409"/>
      <c r="Z65" s="408">
        <v>72.84</v>
      </c>
      <c r="AA65" s="409"/>
      <c r="AB65" s="408">
        <v>77.099999999999994</v>
      </c>
      <c r="AC65" s="409"/>
      <c r="AD65" s="408">
        <v>86.77</v>
      </c>
      <c r="AE65" s="409"/>
      <c r="AF65" s="408"/>
      <c r="AG65" s="410" t="s">
        <v>597</v>
      </c>
      <c r="AH65" s="408" t="s">
        <v>596</v>
      </c>
      <c r="AI65" s="410" t="s">
        <v>597</v>
      </c>
      <c r="AJ65" s="408">
        <v>68.87</v>
      </c>
      <c r="AK65" s="409"/>
      <c r="AL65" s="408">
        <v>57.23</v>
      </c>
      <c r="AM65" s="409"/>
      <c r="AN65" s="408">
        <v>50.61</v>
      </c>
      <c r="AO65" s="409"/>
      <c r="AP65" s="408">
        <v>61.6</v>
      </c>
    </row>
    <row r="66" spans="17:42" x14ac:dyDescent="0.25">
      <c r="Q66" s="406">
        <v>1963</v>
      </c>
      <c r="R66" s="408">
        <v>41.03</v>
      </c>
      <c r="S66" s="409"/>
      <c r="T66" s="408">
        <v>50.14</v>
      </c>
      <c r="U66" s="409"/>
      <c r="V66" s="408">
        <v>50.13</v>
      </c>
      <c r="W66" s="409"/>
      <c r="X66" s="408">
        <v>60.63</v>
      </c>
      <c r="Y66" s="409"/>
      <c r="Z66" s="408">
        <v>72.290000000000006</v>
      </c>
      <c r="AA66" s="409"/>
      <c r="AB66" s="408">
        <v>78.83</v>
      </c>
      <c r="AC66" s="409"/>
      <c r="AD66" s="408">
        <v>85.1</v>
      </c>
      <c r="AE66" s="409"/>
      <c r="AF66" s="408">
        <v>78.39</v>
      </c>
      <c r="AG66" s="409"/>
      <c r="AH66" s="408">
        <v>77.53</v>
      </c>
      <c r="AI66" s="409"/>
      <c r="AJ66" s="408">
        <v>69.81</v>
      </c>
      <c r="AK66" s="409"/>
      <c r="AL66" s="408">
        <v>57.67</v>
      </c>
      <c r="AM66" s="409"/>
      <c r="AN66" s="408">
        <v>46.19</v>
      </c>
      <c r="AO66" s="409"/>
      <c r="AP66" s="408">
        <v>63.98</v>
      </c>
    </row>
    <row r="67" spans="17:42" x14ac:dyDescent="0.25">
      <c r="Q67" s="406">
        <v>1964</v>
      </c>
      <c r="R67" s="408">
        <v>44.9</v>
      </c>
      <c r="S67" s="409"/>
      <c r="T67" s="408">
        <v>41.48</v>
      </c>
      <c r="U67" s="409"/>
      <c r="V67" s="408">
        <v>44.61</v>
      </c>
      <c r="W67" s="409"/>
      <c r="X67" s="408">
        <v>56.1</v>
      </c>
      <c r="Y67" s="409"/>
      <c r="Z67" s="408">
        <v>67.58</v>
      </c>
      <c r="AA67" s="409"/>
      <c r="AB67" s="408">
        <v>73.099999999999994</v>
      </c>
      <c r="AC67" s="409"/>
      <c r="AD67" s="408">
        <v>84.03</v>
      </c>
      <c r="AE67" s="409"/>
      <c r="AF67" s="408">
        <v>78.55</v>
      </c>
      <c r="AG67" s="409"/>
      <c r="AH67" s="408">
        <v>73.8</v>
      </c>
      <c r="AI67" s="409"/>
      <c r="AJ67" s="408">
        <v>67.319999999999993</v>
      </c>
      <c r="AK67" s="409"/>
      <c r="AL67" s="408">
        <v>52.47</v>
      </c>
      <c r="AM67" s="409"/>
      <c r="AN67" s="408">
        <v>46.55</v>
      </c>
      <c r="AO67" s="409"/>
      <c r="AP67" s="408">
        <v>60.87</v>
      </c>
    </row>
    <row r="68" spans="17:42" x14ac:dyDescent="0.25">
      <c r="Q68" s="406">
        <v>1965</v>
      </c>
      <c r="R68" s="408">
        <v>47.71</v>
      </c>
      <c r="S68" s="409"/>
      <c r="T68" s="408">
        <v>47.18</v>
      </c>
      <c r="U68" s="409"/>
      <c r="V68" s="408">
        <v>40.1</v>
      </c>
      <c r="W68" s="409"/>
      <c r="X68" s="408">
        <v>58.9</v>
      </c>
      <c r="Y68" s="409"/>
      <c r="Z68" s="408">
        <v>65</v>
      </c>
      <c r="AA68" s="409"/>
      <c r="AB68" s="408">
        <v>72</v>
      </c>
      <c r="AC68" s="409"/>
      <c r="AD68" s="408">
        <v>79.52</v>
      </c>
      <c r="AE68" s="409"/>
      <c r="AF68" s="408">
        <v>77.290000000000006</v>
      </c>
      <c r="AG68" s="409"/>
      <c r="AH68" s="408">
        <v>64.7</v>
      </c>
      <c r="AI68" s="409"/>
      <c r="AJ68" s="408">
        <v>68.680000000000007</v>
      </c>
      <c r="AK68" s="409"/>
      <c r="AL68" s="408">
        <v>58.5</v>
      </c>
      <c r="AM68" s="409"/>
      <c r="AN68" s="408">
        <v>51.19</v>
      </c>
      <c r="AO68" s="409"/>
      <c r="AP68" s="408">
        <v>60.9</v>
      </c>
    </row>
    <row r="69" spans="17:42" x14ac:dyDescent="0.25">
      <c r="Q69" s="406">
        <v>1966</v>
      </c>
      <c r="R69" s="408">
        <v>44.74</v>
      </c>
      <c r="S69" s="409"/>
      <c r="T69" s="408">
        <v>42.54</v>
      </c>
      <c r="U69" s="409"/>
      <c r="V69" s="408">
        <v>55.84</v>
      </c>
      <c r="W69" s="409"/>
      <c r="X69" s="408">
        <v>57.67</v>
      </c>
      <c r="Y69" s="409"/>
      <c r="Z69" s="408">
        <v>70.55</v>
      </c>
      <c r="AA69" s="409"/>
      <c r="AB69" s="408">
        <v>75.63</v>
      </c>
      <c r="AC69" s="409"/>
      <c r="AD69" s="408">
        <v>85.23</v>
      </c>
      <c r="AE69" s="409"/>
      <c r="AF69" s="408">
        <v>78.709999999999994</v>
      </c>
      <c r="AG69" s="409"/>
      <c r="AH69" s="408">
        <v>74.97</v>
      </c>
      <c r="AI69" s="409"/>
      <c r="AJ69" s="408">
        <v>65.680000000000007</v>
      </c>
      <c r="AK69" s="409"/>
      <c r="AL69" s="408">
        <v>56.4</v>
      </c>
      <c r="AM69" s="409"/>
      <c r="AN69" s="408">
        <v>46.68</v>
      </c>
      <c r="AO69" s="409"/>
      <c r="AP69" s="408">
        <v>62.89</v>
      </c>
    </row>
    <row r="70" spans="17:42" x14ac:dyDescent="0.25">
      <c r="Q70" s="406">
        <v>1967</v>
      </c>
      <c r="R70" s="408">
        <v>47.94</v>
      </c>
      <c r="S70" s="409"/>
      <c r="T70" s="408">
        <v>46.43</v>
      </c>
      <c r="U70" s="409"/>
      <c r="V70" s="408">
        <v>55.77</v>
      </c>
      <c r="W70" s="409"/>
      <c r="X70" s="408">
        <v>57.17</v>
      </c>
      <c r="Y70" s="409"/>
      <c r="Z70" s="408">
        <v>60.87</v>
      </c>
      <c r="AA70" s="409"/>
      <c r="AB70" s="408">
        <v>69.099999999999994</v>
      </c>
      <c r="AC70" s="409"/>
      <c r="AD70" s="408">
        <v>79.06</v>
      </c>
      <c r="AE70" s="409"/>
      <c r="AF70" s="408">
        <v>77</v>
      </c>
      <c r="AG70" s="409"/>
      <c r="AH70" s="408">
        <v>72.87</v>
      </c>
      <c r="AI70" s="409"/>
      <c r="AJ70" s="408">
        <v>66.39</v>
      </c>
      <c r="AK70" s="409"/>
      <c r="AL70" s="408" t="s">
        <v>596</v>
      </c>
      <c r="AM70" s="410" t="s">
        <v>597</v>
      </c>
      <c r="AN70" s="408">
        <v>40.32</v>
      </c>
      <c r="AO70" s="409"/>
      <c r="AP70" s="408">
        <v>61.17</v>
      </c>
    </row>
    <row r="71" spans="17:42" x14ac:dyDescent="0.25">
      <c r="Q71" s="406">
        <v>1968</v>
      </c>
      <c r="R71" s="408">
        <v>47.26</v>
      </c>
      <c r="S71" s="409"/>
      <c r="T71" s="408">
        <v>46.07</v>
      </c>
      <c r="U71" s="409"/>
      <c r="V71" s="408">
        <v>51.84</v>
      </c>
      <c r="W71" s="409"/>
      <c r="X71" s="408">
        <v>53.07</v>
      </c>
      <c r="Y71" s="409"/>
      <c r="Z71" s="408">
        <v>62</v>
      </c>
      <c r="AA71" s="409"/>
      <c r="AB71" s="408">
        <v>76.97</v>
      </c>
      <c r="AC71" s="409"/>
      <c r="AD71" s="408">
        <v>79.58</v>
      </c>
      <c r="AE71" s="409"/>
      <c r="AF71" s="408">
        <v>77.03</v>
      </c>
      <c r="AG71" s="409"/>
      <c r="AH71" s="408">
        <v>72.5</v>
      </c>
      <c r="AI71" s="409"/>
      <c r="AJ71" s="408">
        <v>65.42</v>
      </c>
      <c r="AK71" s="409"/>
      <c r="AL71" s="408">
        <v>46.87</v>
      </c>
      <c r="AM71" s="409"/>
      <c r="AN71" s="408">
        <v>44.74</v>
      </c>
      <c r="AO71" s="409"/>
      <c r="AP71" s="408">
        <v>60.28</v>
      </c>
    </row>
    <row r="72" spans="17:42" x14ac:dyDescent="0.25">
      <c r="Q72" s="406">
        <v>1969</v>
      </c>
      <c r="R72" s="408">
        <v>48.06</v>
      </c>
      <c r="S72" s="409"/>
      <c r="T72" s="408">
        <v>47.04</v>
      </c>
      <c r="U72" s="409"/>
      <c r="V72" s="408">
        <v>44.26</v>
      </c>
      <c r="W72" s="409"/>
      <c r="X72" s="408">
        <v>60.8</v>
      </c>
      <c r="Y72" s="409"/>
      <c r="Z72" s="408">
        <v>66.87</v>
      </c>
      <c r="AA72" s="409"/>
      <c r="AB72" s="408">
        <v>67.37</v>
      </c>
      <c r="AC72" s="409"/>
      <c r="AD72" s="408">
        <v>81.87</v>
      </c>
      <c r="AE72" s="409"/>
      <c r="AF72" s="408">
        <v>82.84</v>
      </c>
      <c r="AG72" s="409"/>
      <c r="AH72" s="408">
        <v>73.930000000000007</v>
      </c>
      <c r="AI72" s="409"/>
      <c r="AJ72" s="408">
        <v>52.45</v>
      </c>
      <c r="AK72" s="409"/>
      <c r="AL72" s="408">
        <v>51.9</v>
      </c>
      <c r="AM72" s="409"/>
      <c r="AN72" s="408">
        <v>45.77</v>
      </c>
      <c r="AO72" s="409"/>
      <c r="AP72" s="408">
        <v>60.26</v>
      </c>
    </row>
    <row r="73" spans="17:42" x14ac:dyDescent="0.25">
      <c r="Q73" s="406">
        <v>1970</v>
      </c>
      <c r="R73" s="408">
        <v>44.03</v>
      </c>
      <c r="S73" s="409"/>
      <c r="T73" s="408">
        <v>50.75</v>
      </c>
      <c r="U73" s="409"/>
      <c r="V73" s="408">
        <v>43.87</v>
      </c>
      <c r="W73" s="409"/>
      <c r="X73" s="408">
        <v>52.73</v>
      </c>
      <c r="Y73" s="409"/>
      <c r="Z73" s="408">
        <v>69.23</v>
      </c>
      <c r="AA73" s="409"/>
      <c r="AB73" s="408">
        <v>74.67</v>
      </c>
      <c r="AC73" s="409"/>
      <c r="AD73" s="408">
        <v>81.19</v>
      </c>
      <c r="AE73" s="409"/>
      <c r="AF73" s="408">
        <v>82.16</v>
      </c>
      <c r="AG73" s="409"/>
      <c r="AH73" s="408">
        <v>72.069999999999993</v>
      </c>
      <c r="AI73" s="409"/>
      <c r="AJ73" s="408">
        <v>57.16</v>
      </c>
      <c r="AK73" s="409"/>
      <c r="AL73" s="408">
        <v>50.37</v>
      </c>
      <c r="AM73" s="409"/>
      <c r="AN73" s="408">
        <v>47.42</v>
      </c>
      <c r="AO73" s="409"/>
      <c r="AP73" s="408">
        <v>60.47</v>
      </c>
    </row>
    <row r="74" spans="17:42" x14ac:dyDescent="0.25">
      <c r="Q74" s="406">
        <v>1971</v>
      </c>
      <c r="R74" s="408">
        <v>45.13</v>
      </c>
      <c r="S74" s="409"/>
      <c r="T74" s="408">
        <v>42.89</v>
      </c>
      <c r="U74" s="409"/>
      <c r="V74" s="408">
        <v>50.9</v>
      </c>
      <c r="W74" s="409"/>
      <c r="X74" s="408">
        <v>57.2</v>
      </c>
      <c r="Y74" s="409"/>
      <c r="Z74" s="408">
        <v>63.23</v>
      </c>
      <c r="AA74" s="409"/>
      <c r="AB74" s="408">
        <v>78.77</v>
      </c>
      <c r="AC74" s="409"/>
      <c r="AD74" s="408">
        <v>79.55</v>
      </c>
      <c r="AE74" s="409"/>
      <c r="AF74" s="408">
        <v>81.19</v>
      </c>
      <c r="AG74" s="409"/>
      <c r="AH74" s="408">
        <v>71.069999999999993</v>
      </c>
      <c r="AI74" s="409"/>
      <c r="AJ74" s="408">
        <v>62.68</v>
      </c>
      <c r="AK74" s="409"/>
      <c r="AL74" s="408">
        <v>51.43</v>
      </c>
      <c r="AM74" s="409"/>
      <c r="AN74" s="408">
        <v>45.16</v>
      </c>
      <c r="AO74" s="409"/>
      <c r="AP74" s="408">
        <v>60.77</v>
      </c>
    </row>
    <row r="75" spans="17:42" x14ac:dyDescent="0.25">
      <c r="Q75" s="406">
        <v>1972</v>
      </c>
      <c r="R75" s="408">
        <v>46.84</v>
      </c>
      <c r="S75" s="409"/>
      <c r="T75" s="408">
        <v>48.59</v>
      </c>
      <c r="U75" s="409"/>
      <c r="V75" s="408" t="s">
        <v>596</v>
      </c>
      <c r="W75" s="410" t="s">
        <v>597</v>
      </c>
      <c r="X75" s="408" t="s">
        <v>596</v>
      </c>
      <c r="Y75" s="410" t="s">
        <v>597</v>
      </c>
      <c r="Z75" s="408" t="s">
        <v>596</v>
      </c>
      <c r="AA75" s="410" t="s">
        <v>597</v>
      </c>
      <c r="AB75" s="408">
        <v>78.5</v>
      </c>
      <c r="AC75" s="409"/>
      <c r="AD75" s="408">
        <v>82.45</v>
      </c>
      <c r="AE75" s="409"/>
      <c r="AF75" s="408">
        <v>80.319999999999993</v>
      </c>
      <c r="AG75" s="409"/>
      <c r="AH75" s="408" t="s">
        <v>596</v>
      </c>
      <c r="AI75" s="410" t="s">
        <v>597</v>
      </c>
      <c r="AJ75" s="408">
        <v>60.32</v>
      </c>
      <c r="AK75" s="409"/>
      <c r="AL75" s="408">
        <v>43.47</v>
      </c>
      <c r="AM75" s="409"/>
      <c r="AN75" s="408">
        <v>41.71</v>
      </c>
      <c r="AO75" s="409"/>
      <c r="AP75" s="408">
        <v>60.27</v>
      </c>
    </row>
    <row r="76" spans="17:42" x14ac:dyDescent="0.25">
      <c r="Q76" s="406">
        <v>1973</v>
      </c>
      <c r="R76" s="408">
        <v>41.97</v>
      </c>
      <c r="S76" s="410" t="s">
        <v>599</v>
      </c>
      <c r="T76" s="408">
        <v>44.89</v>
      </c>
      <c r="U76" s="409"/>
      <c r="V76" s="408">
        <v>44.42</v>
      </c>
      <c r="W76" s="409"/>
      <c r="X76" s="408">
        <v>48.2</v>
      </c>
      <c r="Y76" s="409"/>
      <c r="Z76" s="408">
        <v>61.32</v>
      </c>
      <c r="AA76" s="409"/>
      <c r="AB76" s="408">
        <v>75.97</v>
      </c>
      <c r="AC76" s="410" t="s">
        <v>599</v>
      </c>
      <c r="AD76" s="408">
        <v>78</v>
      </c>
      <c r="AE76" s="409"/>
      <c r="AF76" s="408">
        <v>81.97</v>
      </c>
      <c r="AG76" s="410" t="s">
        <v>599</v>
      </c>
      <c r="AH76" s="408">
        <v>69.3</v>
      </c>
      <c r="AI76" s="409"/>
      <c r="AJ76" s="408">
        <v>64.680000000000007</v>
      </c>
      <c r="AK76" s="409"/>
      <c r="AL76" s="408">
        <v>51.72</v>
      </c>
      <c r="AM76" s="410" t="s">
        <v>599</v>
      </c>
      <c r="AN76" s="408">
        <v>44.23</v>
      </c>
      <c r="AO76" s="410" t="s">
        <v>599</v>
      </c>
      <c r="AP76" s="408">
        <v>58.89</v>
      </c>
    </row>
    <row r="77" spans="17:42" x14ac:dyDescent="0.25">
      <c r="Q77" s="406">
        <v>1974</v>
      </c>
      <c r="R77" s="408">
        <v>44.3</v>
      </c>
      <c r="S77" s="410" t="s">
        <v>599</v>
      </c>
      <c r="T77" s="408">
        <v>48.26</v>
      </c>
      <c r="U77" s="410" t="s">
        <v>599</v>
      </c>
      <c r="V77" s="408">
        <v>55.37</v>
      </c>
      <c r="W77" s="410" t="s">
        <v>599</v>
      </c>
      <c r="X77" s="408">
        <v>56.23</v>
      </c>
      <c r="Y77" s="409"/>
      <c r="Z77" s="408">
        <v>72.349999999999994</v>
      </c>
      <c r="AA77" s="409"/>
      <c r="AB77" s="408">
        <v>78.400000000000006</v>
      </c>
      <c r="AC77" s="409"/>
      <c r="AD77" s="408">
        <v>82.42</v>
      </c>
      <c r="AE77" s="409"/>
      <c r="AF77" s="408">
        <v>78.290000000000006</v>
      </c>
      <c r="AG77" s="409"/>
      <c r="AH77" s="408">
        <v>67.430000000000007</v>
      </c>
      <c r="AI77" s="409"/>
      <c r="AJ77" s="408">
        <v>61.33</v>
      </c>
      <c r="AK77" s="410" t="s">
        <v>599</v>
      </c>
      <c r="AL77" s="408">
        <v>48.83</v>
      </c>
      <c r="AM77" s="409"/>
      <c r="AN77" s="408">
        <v>40.32</v>
      </c>
      <c r="AO77" s="409"/>
      <c r="AP77" s="408">
        <v>61.13</v>
      </c>
    </row>
    <row r="78" spans="17:42" x14ac:dyDescent="0.25">
      <c r="Q78" s="406">
        <v>1975</v>
      </c>
      <c r="R78" s="408">
        <v>42.19</v>
      </c>
      <c r="S78" s="409"/>
      <c r="T78" s="408">
        <v>42.14</v>
      </c>
      <c r="U78" s="409"/>
      <c r="V78" s="408">
        <v>45.29</v>
      </c>
      <c r="W78" s="409"/>
      <c r="X78" s="408">
        <v>51.87</v>
      </c>
      <c r="Y78" s="409"/>
      <c r="Z78" s="408">
        <v>59.32</v>
      </c>
      <c r="AA78" s="409"/>
      <c r="AB78" s="408">
        <v>72.790000000000006</v>
      </c>
      <c r="AC78" s="410" t="s">
        <v>599</v>
      </c>
      <c r="AD78" s="408">
        <v>80.45</v>
      </c>
      <c r="AE78" s="410" t="s">
        <v>600</v>
      </c>
      <c r="AF78" s="408">
        <v>79.97</v>
      </c>
      <c r="AG78" s="409"/>
      <c r="AH78" s="408">
        <v>68.2</v>
      </c>
      <c r="AI78" s="409"/>
      <c r="AJ78" s="408">
        <v>65.53</v>
      </c>
      <c r="AK78" s="410" t="s">
        <v>599</v>
      </c>
      <c r="AL78" s="408">
        <v>49.73</v>
      </c>
      <c r="AM78" s="409"/>
      <c r="AN78" s="408">
        <v>47.84</v>
      </c>
      <c r="AO78" s="409"/>
      <c r="AP78" s="408">
        <v>58.78</v>
      </c>
    </row>
    <row r="79" spans="17:42" x14ac:dyDescent="0.25">
      <c r="Q79" s="406">
        <v>1976</v>
      </c>
      <c r="R79" s="408">
        <v>44.9</v>
      </c>
      <c r="S79" s="409"/>
      <c r="T79" s="408">
        <v>49.03</v>
      </c>
      <c r="U79" s="409"/>
      <c r="V79" s="408">
        <v>46.55</v>
      </c>
      <c r="W79" s="409"/>
      <c r="X79" s="408">
        <v>55.37</v>
      </c>
      <c r="Y79" s="409"/>
      <c r="Z79" s="408">
        <v>62.06</v>
      </c>
      <c r="AA79" s="409"/>
      <c r="AB79" s="408">
        <v>74.67</v>
      </c>
      <c r="AC79" s="409"/>
      <c r="AD79" s="408">
        <v>81.13</v>
      </c>
      <c r="AE79" s="409"/>
      <c r="AF79" s="408">
        <v>77.87</v>
      </c>
      <c r="AG79" s="409"/>
      <c r="AH79" s="408">
        <v>67.7</v>
      </c>
      <c r="AI79" s="409"/>
      <c r="AJ79" s="408">
        <v>57.9</v>
      </c>
      <c r="AK79" s="409"/>
      <c r="AL79" s="408">
        <v>49.1</v>
      </c>
      <c r="AM79" s="409"/>
      <c r="AN79" s="408">
        <v>46.48</v>
      </c>
      <c r="AO79" s="409"/>
      <c r="AP79" s="408">
        <v>59.4</v>
      </c>
    </row>
    <row r="80" spans="17:42" x14ac:dyDescent="0.25">
      <c r="Q80" s="406">
        <v>1977</v>
      </c>
      <c r="R80" s="408">
        <v>42.87</v>
      </c>
      <c r="S80" s="409"/>
      <c r="T80" s="408">
        <v>45.57</v>
      </c>
      <c r="U80" s="409"/>
      <c r="V80" s="408">
        <v>47.52</v>
      </c>
      <c r="W80" s="409"/>
      <c r="X80" s="408">
        <v>55.27</v>
      </c>
      <c r="Y80" s="409"/>
      <c r="Z80" s="408">
        <v>66.709999999999994</v>
      </c>
      <c r="AA80" s="409"/>
      <c r="AB80" s="408">
        <v>78.67</v>
      </c>
      <c r="AC80" s="409"/>
      <c r="AD80" s="408">
        <v>81</v>
      </c>
      <c r="AE80" s="409"/>
      <c r="AF80" s="408">
        <v>76.48</v>
      </c>
      <c r="AG80" s="409"/>
      <c r="AH80" s="408">
        <v>75.47</v>
      </c>
      <c r="AI80" s="409"/>
      <c r="AJ80" s="408">
        <v>63.77</v>
      </c>
      <c r="AK80" s="409"/>
      <c r="AL80" s="408">
        <v>51.1</v>
      </c>
      <c r="AM80" s="409"/>
      <c r="AN80" s="408" t="s">
        <v>596</v>
      </c>
      <c r="AO80" s="410" t="s">
        <v>597</v>
      </c>
      <c r="AP80" s="408">
        <v>62.22</v>
      </c>
    </row>
    <row r="81" spans="17:42" x14ac:dyDescent="0.25">
      <c r="Q81" s="406">
        <v>1978</v>
      </c>
      <c r="R81" s="408">
        <v>39.1</v>
      </c>
      <c r="S81" s="409"/>
      <c r="T81" s="408">
        <v>42.54</v>
      </c>
      <c r="U81" s="409"/>
      <c r="V81" s="408">
        <v>52.06</v>
      </c>
      <c r="W81" s="409"/>
      <c r="X81" s="408">
        <v>56.93</v>
      </c>
      <c r="Y81" s="409"/>
      <c r="Z81" s="408">
        <v>62.39</v>
      </c>
      <c r="AA81" s="409"/>
      <c r="AB81" s="408">
        <v>73.47</v>
      </c>
      <c r="AC81" s="409"/>
      <c r="AD81" s="408">
        <v>82.29</v>
      </c>
      <c r="AE81" s="409"/>
      <c r="AF81" s="408">
        <v>77.290000000000006</v>
      </c>
      <c r="AG81" s="409"/>
      <c r="AH81" s="408">
        <v>73.569999999999993</v>
      </c>
      <c r="AI81" s="409"/>
      <c r="AJ81" s="408">
        <v>63.03</v>
      </c>
      <c r="AK81" s="410" t="s">
        <v>599</v>
      </c>
      <c r="AL81" s="408">
        <v>51.4</v>
      </c>
      <c r="AM81" s="409"/>
      <c r="AN81" s="408">
        <v>37.26</v>
      </c>
      <c r="AO81" s="409"/>
      <c r="AP81" s="408">
        <v>59.28</v>
      </c>
    </row>
    <row r="82" spans="17:42" x14ac:dyDescent="0.25">
      <c r="Q82" s="406">
        <v>1979</v>
      </c>
      <c r="R82" s="408">
        <v>33.630000000000003</v>
      </c>
      <c r="S82" s="410" t="s">
        <v>599</v>
      </c>
      <c r="T82" s="408">
        <v>44.18</v>
      </c>
      <c r="U82" s="409"/>
      <c r="V82" s="408">
        <v>47.71</v>
      </c>
      <c r="W82" s="409"/>
      <c r="X82" s="408" t="s">
        <v>596</v>
      </c>
      <c r="Y82" s="410" t="s">
        <v>597</v>
      </c>
      <c r="Z82" s="408">
        <v>60.1</v>
      </c>
      <c r="AA82" s="409"/>
      <c r="AB82" s="408">
        <v>71.73</v>
      </c>
      <c r="AC82" s="409"/>
      <c r="AD82" s="408">
        <v>81.55</v>
      </c>
      <c r="AE82" s="409"/>
      <c r="AF82" s="408"/>
      <c r="AG82" s="410" t="s">
        <v>597</v>
      </c>
      <c r="AH82" s="408">
        <v>75.14</v>
      </c>
      <c r="AI82" s="410" t="s">
        <v>599</v>
      </c>
      <c r="AJ82" s="408">
        <v>62.81</v>
      </c>
      <c r="AK82" s="409"/>
      <c r="AL82" s="408">
        <v>44.76</v>
      </c>
      <c r="AM82" s="410" t="s">
        <v>599</v>
      </c>
      <c r="AN82" s="408">
        <v>49.73</v>
      </c>
      <c r="AO82" s="410" t="s">
        <v>599</v>
      </c>
      <c r="AP82" s="408">
        <v>57.13</v>
      </c>
    </row>
    <row r="83" spans="17:42" x14ac:dyDescent="0.25">
      <c r="Q83" s="406">
        <v>1980</v>
      </c>
      <c r="R83" s="408">
        <v>40</v>
      </c>
      <c r="S83" s="409"/>
      <c r="T83" s="408">
        <v>47.21</v>
      </c>
      <c r="U83" s="409"/>
      <c r="V83" s="408">
        <v>46.61</v>
      </c>
      <c r="W83" s="409"/>
      <c r="X83" s="408">
        <v>52.63</v>
      </c>
      <c r="Y83" s="409"/>
      <c r="Z83" s="408">
        <v>60.83</v>
      </c>
      <c r="AA83" s="410" t="s">
        <v>600</v>
      </c>
      <c r="AB83" s="408">
        <v>80.569999999999993</v>
      </c>
      <c r="AC83" s="410" t="s">
        <v>600</v>
      </c>
      <c r="AD83" s="408">
        <v>82.61</v>
      </c>
      <c r="AE83" s="409"/>
      <c r="AF83" s="408">
        <v>79.709999999999994</v>
      </c>
      <c r="AG83" s="409"/>
      <c r="AH83" s="408">
        <v>75.87</v>
      </c>
      <c r="AI83" s="409"/>
      <c r="AJ83" s="408">
        <v>58.23</v>
      </c>
      <c r="AK83" s="409"/>
      <c r="AL83" s="408">
        <v>51.97</v>
      </c>
      <c r="AM83" s="410" t="s">
        <v>599</v>
      </c>
      <c r="AN83" s="408">
        <v>53.19</v>
      </c>
      <c r="AO83" s="409"/>
      <c r="AP83" s="408">
        <v>60.79</v>
      </c>
    </row>
    <row r="84" spans="17:42" x14ac:dyDescent="0.25">
      <c r="Q84" s="406">
        <v>1981</v>
      </c>
      <c r="R84" s="408">
        <v>48.6</v>
      </c>
      <c r="S84" s="410" t="s">
        <v>599</v>
      </c>
      <c r="T84" s="408">
        <v>49.11</v>
      </c>
      <c r="U84" s="409"/>
      <c r="V84" s="408">
        <v>46.63</v>
      </c>
      <c r="W84" s="410" t="s">
        <v>599</v>
      </c>
      <c r="X84" s="408">
        <v>62.07</v>
      </c>
      <c r="Y84" s="409"/>
      <c r="Z84" s="408">
        <v>60.39</v>
      </c>
      <c r="AA84" s="409"/>
      <c r="AB84" s="408">
        <v>78.3</v>
      </c>
      <c r="AC84" s="409"/>
      <c r="AD84" s="408">
        <v>79.73</v>
      </c>
      <c r="AE84" s="410" t="s">
        <v>599</v>
      </c>
      <c r="AF84" s="408">
        <v>75.650000000000006</v>
      </c>
      <c r="AG84" s="409"/>
      <c r="AH84" s="408">
        <v>73.47</v>
      </c>
      <c r="AI84" s="409"/>
      <c r="AJ84" s="408">
        <v>60.07</v>
      </c>
      <c r="AK84" s="410" t="s">
        <v>601</v>
      </c>
      <c r="AL84" s="408">
        <v>54.4</v>
      </c>
      <c r="AM84" s="409"/>
      <c r="AN84" s="408">
        <v>43.87</v>
      </c>
      <c r="AO84" s="409"/>
      <c r="AP84" s="408">
        <v>61.02</v>
      </c>
    </row>
    <row r="85" spans="17:42" x14ac:dyDescent="0.25">
      <c r="Q85" s="406">
        <v>1982</v>
      </c>
      <c r="R85" s="408">
        <v>45.06</v>
      </c>
      <c r="S85" s="409"/>
      <c r="T85" s="408">
        <v>46.86</v>
      </c>
      <c r="U85" s="409"/>
      <c r="V85" s="408">
        <v>51</v>
      </c>
      <c r="W85" s="409"/>
      <c r="X85" s="408">
        <v>57.77</v>
      </c>
      <c r="Y85" s="409"/>
      <c r="Z85" s="408">
        <v>62.74</v>
      </c>
      <c r="AA85" s="409"/>
      <c r="AB85" s="408">
        <v>70.03</v>
      </c>
      <c r="AC85" s="409"/>
      <c r="AD85" s="408">
        <v>79.33</v>
      </c>
      <c r="AE85" s="410" t="s">
        <v>599</v>
      </c>
      <c r="AF85" s="408">
        <v>79.16</v>
      </c>
      <c r="AG85" s="409"/>
      <c r="AH85" s="408">
        <v>67.930000000000007</v>
      </c>
      <c r="AI85" s="409"/>
      <c r="AJ85" s="408">
        <v>58.35</v>
      </c>
      <c r="AK85" s="409"/>
      <c r="AL85" s="408">
        <v>46.57</v>
      </c>
      <c r="AM85" s="409"/>
      <c r="AN85" s="408">
        <v>42.45</v>
      </c>
      <c r="AO85" s="409"/>
      <c r="AP85" s="408">
        <v>58.94</v>
      </c>
    </row>
    <row r="86" spans="17:42" x14ac:dyDescent="0.25">
      <c r="Q86" s="406">
        <v>1983</v>
      </c>
      <c r="R86" s="408">
        <v>46.58</v>
      </c>
      <c r="S86" s="409"/>
      <c r="T86" s="408">
        <v>44.96</v>
      </c>
      <c r="U86" s="409"/>
      <c r="V86" s="408">
        <v>43.87</v>
      </c>
      <c r="W86" s="409"/>
      <c r="X86" s="408">
        <v>47.57</v>
      </c>
      <c r="Y86" s="409"/>
      <c r="Z86" s="408">
        <v>57.68</v>
      </c>
      <c r="AA86" s="409"/>
      <c r="AB86" s="408">
        <v>70.900000000000006</v>
      </c>
      <c r="AC86" s="409"/>
      <c r="AD86" s="408">
        <v>81</v>
      </c>
      <c r="AE86" s="409"/>
      <c r="AF86" s="408">
        <v>81.58</v>
      </c>
      <c r="AG86" s="409"/>
      <c r="AH86" s="408">
        <v>78.33</v>
      </c>
      <c r="AI86" s="409"/>
      <c r="AJ86" s="408">
        <v>64.099999999999994</v>
      </c>
      <c r="AK86" s="409"/>
      <c r="AL86" s="408">
        <v>49.57</v>
      </c>
      <c r="AM86" s="409"/>
      <c r="AN86" s="408" t="s">
        <v>596</v>
      </c>
      <c r="AO86" s="410" t="s">
        <v>597</v>
      </c>
      <c r="AP86" s="408">
        <v>60.56</v>
      </c>
    </row>
    <row r="87" spans="17:42" x14ac:dyDescent="0.25">
      <c r="Q87" s="406">
        <v>1984</v>
      </c>
      <c r="R87" s="408" t="s">
        <v>596</v>
      </c>
      <c r="S87" s="410" t="s">
        <v>597</v>
      </c>
      <c r="T87" s="408" t="s">
        <v>596</v>
      </c>
      <c r="U87" s="410" t="s">
        <v>597</v>
      </c>
      <c r="V87" s="408" t="s">
        <v>596</v>
      </c>
      <c r="W87" s="410" t="s">
        <v>597</v>
      </c>
      <c r="X87" s="408" t="s">
        <v>596</v>
      </c>
      <c r="Y87" s="410" t="s">
        <v>597</v>
      </c>
      <c r="Z87" s="408" t="s">
        <v>596</v>
      </c>
      <c r="AA87" s="410" t="s">
        <v>597</v>
      </c>
      <c r="AB87" s="408" t="s">
        <v>596</v>
      </c>
      <c r="AC87" s="410" t="s">
        <v>597</v>
      </c>
      <c r="AD87" s="408">
        <v>81.319999999999993</v>
      </c>
      <c r="AE87" s="409"/>
      <c r="AF87" s="408">
        <v>77.680000000000007</v>
      </c>
      <c r="AG87" s="409"/>
      <c r="AH87" s="408" t="s">
        <v>596</v>
      </c>
      <c r="AI87" s="410" t="s">
        <v>597</v>
      </c>
      <c r="AJ87" s="408">
        <v>52.03</v>
      </c>
      <c r="AK87" s="409"/>
      <c r="AL87" s="408">
        <v>51.73</v>
      </c>
      <c r="AM87" s="409"/>
      <c r="AN87" s="408">
        <v>46.55</v>
      </c>
      <c r="AO87" s="409"/>
      <c r="AP87" s="408">
        <v>61.86</v>
      </c>
    </row>
    <row r="88" spans="17:42" x14ac:dyDescent="0.25">
      <c r="Q88" s="406">
        <v>1985</v>
      </c>
      <c r="R88" s="408">
        <v>39.799999999999997</v>
      </c>
      <c r="S88" s="410" t="s">
        <v>599</v>
      </c>
      <c r="T88" s="408">
        <v>42.61</v>
      </c>
      <c r="U88" s="409"/>
      <c r="V88" s="408">
        <v>50.61</v>
      </c>
      <c r="W88" s="409"/>
      <c r="X88" s="408">
        <v>58.5</v>
      </c>
      <c r="Y88" s="409"/>
      <c r="Z88" s="408">
        <v>65.680000000000007</v>
      </c>
      <c r="AA88" s="409"/>
      <c r="AB88" s="408">
        <v>77.63</v>
      </c>
      <c r="AC88" s="409"/>
      <c r="AD88" s="408">
        <v>78.739999999999995</v>
      </c>
      <c r="AE88" s="409"/>
      <c r="AF88" s="408">
        <v>81.87</v>
      </c>
      <c r="AG88" s="409"/>
      <c r="AH88" s="408">
        <v>67.099999999999994</v>
      </c>
      <c r="AI88" s="409"/>
      <c r="AJ88" s="408">
        <v>63.21</v>
      </c>
      <c r="AK88" s="410" t="s">
        <v>600</v>
      </c>
      <c r="AL88" s="408">
        <v>45.47</v>
      </c>
      <c r="AM88" s="409"/>
      <c r="AN88" s="408">
        <v>45.39</v>
      </c>
      <c r="AO88" s="409"/>
      <c r="AP88" s="408">
        <v>59.72</v>
      </c>
    </row>
    <row r="89" spans="17:42" x14ac:dyDescent="0.25">
      <c r="Q89" s="406">
        <v>1986</v>
      </c>
      <c r="R89" s="408">
        <v>52.03</v>
      </c>
      <c r="S89" s="409"/>
      <c r="T89" s="408">
        <v>46.41</v>
      </c>
      <c r="U89" s="410" t="s">
        <v>599</v>
      </c>
      <c r="V89" s="408">
        <v>55.81</v>
      </c>
      <c r="W89" s="409"/>
      <c r="X89" s="408">
        <v>60.5</v>
      </c>
      <c r="Y89" s="409"/>
      <c r="Z89" s="408">
        <v>62.97</v>
      </c>
      <c r="AA89" s="409"/>
      <c r="AB89" s="408">
        <v>75.53</v>
      </c>
      <c r="AC89" s="409"/>
      <c r="AD89" s="408">
        <v>79.709999999999994</v>
      </c>
      <c r="AE89" s="409"/>
      <c r="AF89" s="408">
        <v>79.81</v>
      </c>
      <c r="AG89" s="409"/>
      <c r="AH89" s="408">
        <v>68.430000000000007</v>
      </c>
      <c r="AI89" s="409"/>
      <c r="AJ89" s="408">
        <v>58.77</v>
      </c>
      <c r="AK89" s="409"/>
      <c r="AL89" s="408">
        <v>48.4</v>
      </c>
      <c r="AM89" s="409"/>
      <c r="AN89" s="408">
        <v>45.13</v>
      </c>
      <c r="AO89" s="409"/>
      <c r="AP89" s="408">
        <v>61.12</v>
      </c>
    </row>
    <row r="90" spans="17:42" x14ac:dyDescent="0.25">
      <c r="Q90" s="406">
        <v>1987</v>
      </c>
      <c r="R90" s="408">
        <v>43.9</v>
      </c>
      <c r="S90" s="409"/>
      <c r="T90" s="408">
        <v>43.26</v>
      </c>
      <c r="U90" s="410" t="s">
        <v>599</v>
      </c>
      <c r="V90" s="408">
        <v>46.48</v>
      </c>
      <c r="W90" s="409"/>
      <c r="X90" s="408">
        <v>60.3</v>
      </c>
      <c r="Y90" s="409"/>
      <c r="Z90" s="408">
        <v>65.19</v>
      </c>
      <c r="AA90" s="409"/>
      <c r="AB90" s="408">
        <v>76.03</v>
      </c>
      <c r="AC90" s="409"/>
      <c r="AD90" s="408">
        <v>82.27</v>
      </c>
      <c r="AE90" s="410" t="s">
        <v>599</v>
      </c>
      <c r="AF90" s="408">
        <v>76.48</v>
      </c>
      <c r="AG90" s="409"/>
      <c r="AH90" s="408">
        <v>70.7</v>
      </c>
      <c r="AI90" s="409"/>
      <c r="AJ90" s="408">
        <v>62.48</v>
      </c>
      <c r="AK90" s="409"/>
      <c r="AL90" s="408">
        <v>48.93</v>
      </c>
      <c r="AM90" s="409"/>
      <c r="AN90" s="408">
        <v>40</v>
      </c>
      <c r="AO90" s="409"/>
      <c r="AP90" s="408">
        <v>59.67</v>
      </c>
    </row>
    <row r="91" spans="17:42" x14ac:dyDescent="0.25">
      <c r="Q91" s="406">
        <v>1988</v>
      </c>
      <c r="R91" s="408">
        <v>39.97</v>
      </c>
      <c r="S91" s="409"/>
      <c r="T91" s="408">
        <v>45.9</v>
      </c>
      <c r="U91" s="409"/>
      <c r="V91" s="408">
        <v>46.52</v>
      </c>
      <c r="W91" s="409"/>
      <c r="X91" s="408">
        <v>60.23</v>
      </c>
      <c r="Y91" s="409"/>
      <c r="Z91" s="408">
        <v>66.709999999999994</v>
      </c>
      <c r="AA91" s="409"/>
      <c r="AB91" s="408">
        <v>77.5</v>
      </c>
      <c r="AC91" s="409"/>
      <c r="AD91" s="408">
        <v>81.19</v>
      </c>
      <c r="AE91" s="409"/>
      <c r="AF91" s="408">
        <v>80.349999999999994</v>
      </c>
      <c r="AG91" s="409"/>
      <c r="AH91" s="408">
        <v>71.069999999999993</v>
      </c>
      <c r="AI91" s="409"/>
      <c r="AJ91" s="408">
        <v>65.900000000000006</v>
      </c>
      <c r="AK91" s="409"/>
      <c r="AL91" s="408">
        <v>50.23</v>
      </c>
      <c r="AM91" s="409"/>
      <c r="AN91" s="408">
        <v>43.81</v>
      </c>
      <c r="AO91" s="409"/>
      <c r="AP91" s="408">
        <v>60.78</v>
      </c>
    </row>
    <row r="92" spans="17:42" x14ac:dyDescent="0.25">
      <c r="Q92" s="406">
        <v>1989</v>
      </c>
      <c r="R92" s="408">
        <v>46</v>
      </c>
      <c r="S92" s="409"/>
      <c r="T92" s="408">
        <v>36.61</v>
      </c>
      <c r="U92" s="409"/>
      <c r="V92" s="408">
        <v>58.03</v>
      </c>
      <c r="W92" s="409"/>
      <c r="X92" s="408">
        <v>59.27</v>
      </c>
      <c r="Y92" s="409"/>
      <c r="Z92" s="408">
        <v>66.48</v>
      </c>
      <c r="AA92" s="409"/>
      <c r="AB92" s="408">
        <v>70.97</v>
      </c>
      <c r="AC92" s="409"/>
      <c r="AD92" s="408">
        <v>81.84</v>
      </c>
      <c r="AE92" s="409"/>
      <c r="AF92" s="408">
        <v>77.739999999999995</v>
      </c>
      <c r="AG92" s="409"/>
      <c r="AH92" s="408">
        <v>71.03</v>
      </c>
      <c r="AI92" s="409"/>
      <c r="AJ92" s="408">
        <v>60.94</v>
      </c>
      <c r="AK92" s="409"/>
      <c r="AL92" s="408">
        <v>55.17</v>
      </c>
      <c r="AM92" s="409"/>
      <c r="AN92" s="408">
        <v>42.66</v>
      </c>
      <c r="AO92" s="410" t="s">
        <v>600</v>
      </c>
      <c r="AP92" s="408">
        <v>60.56</v>
      </c>
    </row>
    <row r="93" spans="17:42" x14ac:dyDescent="0.25">
      <c r="Q93" s="406">
        <v>1990</v>
      </c>
      <c r="R93" s="408">
        <v>46.18</v>
      </c>
      <c r="S93" s="410" t="s">
        <v>602</v>
      </c>
      <c r="T93" s="408">
        <v>43.89</v>
      </c>
      <c r="U93" s="409"/>
      <c r="V93" s="408">
        <v>48.19</v>
      </c>
      <c r="W93" s="409"/>
      <c r="X93" s="408">
        <v>56.2</v>
      </c>
      <c r="Y93" s="409"/>
      <c r="Z93" s="408">
        <v>62.81</v>
      </c>
      <c r="AA93" s="409"/>
      <c r="AB93" s="408">
        <v>79.569999999999993</v>
      </c>
      <c r="AC93" s="409"/>
      <c r="AD93" s="408">
        <v>76.099999999999994</v>
      </c>
      <c r="AE93" s="409"/>
      <c r="AF93" s="408">
        <v>78.03</v>
      </c>
      <c r="AG93" s="409"/>
      <c r="AH93" s="408">
        <v>74.67</v>
      </c>
      <c r="AI93" s="409"/>
      <c r="AJ93" s="408">
        <v>63.81</v>
      </c>
      <c r="AK93" s="409"/>
      <c r="AL93" s="408">
        <v>54.8</v>
      </c>
      <c r="AM93" s="409"/>
      <c r="AN93" s="408">
        <v>39.130000000000003</v>
      </c>
      <c r="AO93" s="409"/>
      <c r="AP93" s="408">
        <v>60.28</v>
      </c>
    </row>
    <row r="94" spans="17:42" x14ac:dyDescent="0.25">
      <c r="Q94" s="406">
        <v>1991</v>
      </c>
      <c r="R94" s="408">
        <v>41.23</v>
      </c>
      <c r="S94" s="409"/>
      <c r="T94" s="408">
        <v>50.79</v>
      </c>
      <c r="U94" s="409"/>
      <c r="V94" s="408">
        <v>51.13</v>
      </c>
      <c r="W94" s="409"/>
      <c r="X94" s="408">
        <v>54.8</v>
      </c>
      <c r="Y94" s="409"/>
      <c r="Z94" s="408">
        <v>65.680000000000007</v>
      </c>
      <c r="AA94" s="409"/>
      <c r="AB94" s="408">
        <v>76.069999999999993</v>
      </c>
      <c r="AC94" s="409"/>
      <c r="AD94" s="408">
        <v>78.58</v>
      </c>
      <c r="AE94" s="409"/>
      <c r="AF94" s="408">
        <v>78.13</v>
      </c>
      <c r="AG94" s="409"/>
      <c r="AH94" s="408">
        <v>71.97</v>
      </c>
      <c r="AI94" s="409"/>
      <c r="AJ94" s="408">
        <v>62.65</v>
      </c>
      <c r="AK94" s="409"/>
      <c r="AL94" s="408">
        <v>45.43</v>
      </c>
      <c r="AM94" s="409"/>
      <c r="AN94" s="408">
        <v>46.26</v>
      </c>
      <c r="AO94" s="409"/>
      <c r="AP94" s="408">
        <v>60.22</v>
      </c>
    </row>
    <row r="95" spans="17:42" x14ac:dyDescent="0.25">
      <c r="Q95" s="406">
        <v>1992</v>
      </c>
      <c r="R95" s="408">
        <v>45.48</v>
      </c>
      <c r="S95" s="409"/>
      <c r="T95" s="408">
        <v>47.69</v>
      </c>
      <c r="U95" s="409"/>
      <c r="V95" s="408">
        <v>50.84</v>
      </c>
      <c r="W95" s="409"/>
      <c r="X95" s="408">
        <v>62.53</v>
      </c>
      <c r="Y95" s="409"/>
      <c r="Z95" s="408">
        <v>66.61</v>
      </c>
      <c r="AA95" s="409"/>
      <c r="AB95" s="408">
        <v>70.8</v>
      </c>
      <c r="AC95" s="409"/>
      <c r="AD95" s="408">
        <v>76.97</v>
      </c>
      <c r="AE95" s="409"/>
      <c r="AF95" s="408">
        <v>76.099999999999994</v>
      </c>
      <c r="AG95" s="410" t="s">
        <v>599</v>
      </c>
      <c r="AH95" s="408">
        <v>74.87</v>
      </c>
      <c r="AI95" s="409"/>
      <c r="AJ95" s="408">
        <v>65.739999999999995</v>
      </c>
      <c r="AK95" s="409"/>
      <c r="AL95" s="408">
        <v>42.53</v>
      </c>
      <c r="AM95" s="409"/>
      <c r="AN95" s="408">
        <v>43.1</v>
      </c>
      <c r="AO95" s="409"/>
      <c r="AP95" s="408">
        <v>60.27</v>
      </c>
    </row>
    <row r="96" spans="17:42" x14ac:dyDescent="0.25">
      <c r="Q96" s="406">
        <v>1993</v>
      </c>
      <c r="R96" s="408">
        <v>41.39</v>
      </c>
      <c r="S96" s="409"/>
      <c r="T96" s="408">
        <v>40.71</v>
      </c>
      <c r="U96" s="409"/>
      <c r="V96" s="408">
        <v>51.61</v>
      </c>
      <c r="W96" s="409"/>
      <c r="X96" s="408">
        <v>54.93</v>
      </c>
      <c r="Y96" s="409"/>
      <c r="Z96" s="408">
        <v>64.55</v>
      </c>
      <c r="AA96" s="409"/>
      <c r="AB96" s="408">
        <v>73.2</v>
      </c>
      <c r="AC96" s="409"/>
      <c r="AD96" s="408">
        <v>79.349999999999994</v>
      </c>
      <c r="AE96" s="409"/>
      <c r="AF96" s="408">
        <v>75.739999999999995</v>
      </c>
      <c r="AG96" s="409"/>
      <c r="AH96" s="408">
        <v>69.37</v>
      </c>
      <c r="AI96" s="409"/>
      <c r="AJ96" s="408">
        <v>57.97</v>
      </c>
      <c r="AK96" s="409"/>
      <c r="AL96" s="408">
        <v>46.63</v>
      </c>
      <c r="AM96" s="409"/>
      <c r="AN96" s="408">
        <v>46.32</v>
      </c>
      <c r="AO96" s="409"/>
      <c r="AP96" s="408">
        <v>58.48</v>
      </c>
    </row>
    <row r="97" spans="17:42" x14ac:dyDescent="0.25">
      <c r="Q97" s="406">
        <v>1994</v>
      </c>
      <c r="R97" s="408">
        <v>45.9</v>
      </c>
      <c r="S97" s="409"/>
      <c r="T97" s="408">
        <v>45.11</v>
      </c>
      <c r="U97" s="409"/>
      <c r="V97" s="408">
        <v>54.06</v>
      </c>
      <c r="W97" s="409"/>
      <c r="X97" s="408">
        <v>55.37</v>
      </c>
      <c r="Y97" s="409"/>
      <c r="Z97" s="408">
        <v>70.06</v>
      </c>
      <c r="AA97" s="409"/>
      <c r="AB97" s="408">
        <v>80.400000000000006</v>
      </c>
      <c r="AC97" s="409"/>
      <c r="AD97" s="408">
        <v>80.97</v>
      </c>
      <c r="AE97" s="409"/>
      <c r="AF97" s="408">
        <v>81.709999999999994</v>
      </c>
      <c r="AG97" s="409"/>
      <c r="AH97" s="408">
        <v>75.63</v>
      </c>
      <c r="AI97" s="409"/>
      <c r="AJ97" s="408">
        <v>59.42</v>
      </c>
      <c r="AK97" s="409"/>
      <c r="AL97" s="408">
        <v>49.7</v>
      </c>
      <c r="AM97" s="409"/>
      <c r="AN97" s="408">
        <v>49.71</v>
      </c>
      <c r="AO97" s="409"/>
      <c r="AP97" s="408">
        <v>62.34</v>
      </c>
    </row>
    <row r="98" spans="17:42" x14ac:dyDescent="0.25">
      <c r="Q98" s="406">
        <v>1995</v>
      </c>
      <c r="R98" s="408">
        <v>44.61</v>
      </c>
      <c r="S98" s="409"/>
      <c r="T98" s="408">
        <v>51.64</v>
      </c>
      <c r="U98" s="409"/>
      <c r="V98" s="408">
        <v>51.26</v>
      </c>
      <c r="W98" s="409"/>
      <c r="X98" s="408">
        <v>51.73</v>
      </c>
      <c r="Y98" s="409"/>
      <c r="Z98" s="408">
        <v>56.97</v>
      </c>
      <c r="AA98" s="409"/>
      <c r="AB98" s="408">
        <v>71.33</v>
      </c>
      <c r="AC98" s="409"/>
      <c r="AD98" s="408">
        <v>81.23</v>
      </c>
      <c r="AE98" s="409"/>
      <c r="AF98" s="408">
        <v>83.81</v>
      </c>
      <c r="AG98" s="409"/>
      <c r="AH98" s="408">
        <v>71.27</v>
      </c>
      <c r="AI98" s="409"/>
      <c r="AJ98" s="408">
        <v>64.87</v>
      </c>
      <c r="AK98" s="409"/>
      <c r="AL98" s="408">
        <v>55.93</v>
      </c>
      <c r="AM98" s="409"/>
      <c r="AN98" s="408">
        <v>47.77</v>
      </c>
      <c r="AO98" s="409"/>
      <c r="AP98" s="408">
        <v>61.04</v>
      </c>
    </row>
    <row r="99" spans="17:42" x14ac:dyDescent="0.25">
      <c r="Q99" s="406">
        <v>1996</v>
      </c>
      <c r="R99" s="408">
        <v>43.23</v>
      </c>
      <c r="S99" s="409"/>
      <c r="T99" s="408">
        <v>47.41</v>
      </c>
      <c r="U99" s="409"/>
      <c r="V99" s="408">
        <v>49.52</v>
      </c>
      <c r="W99" s="409"/>
      <c r="X99" s="408">
        <v>58.7</v>
      </c>
      <c r="Y99" s="409"/>
      <c r="Z99" s="408">
        <v>69.61</v>
      </c>
      <c r="AA99" s="409"/>
      <c r="AB99" s="408">
        <v>78.63</v>
      </c>
      <c r="AC99" s="409"/>
      <c r="AD99" s="408">
        <v>82.03</v>
      </c>
      <c r="AE99" s="409"/>
      <c r="AF99" s="408">
        <v>81.739999999999995</v>
      </c>
      <c r="AG99" s="409"/>
      <c r="AH99" s="408">
        <v>70.430000000000007</v>
      </c>
      <c r="AI99" s="409"/>
      <c r="AJ99" s="408">
        <v>63.35</v>
      </c>
      <c r="AK99" s="409"/>
      <c r="AL99" s="408">
        <v>52.6</v>
      </c>
      <c r="AM99" s="409"/>
      <c r="AN99" s="408">
        <v>45.71</v>
      </c>
      <c r="AO99" s="409"/>
      <c r="AP99" s="408">
        <v>61.91</v>
      </c>
    </row>
    <row r="100" spans="17:42" x14ac:dyDescent="0.25">
      <c r="Q100" s="406">
        <v>1997</v>
      </c>
      <c r="R100" s="408">
        <v>42.13</v>
      </c>
      <c r="S100" s="409"/>
      <c r="T100" s="408">
        <v>42.25</v>
      </c>
      <c r="U100" s="409"/>
      <c r="V100" s="408">
        <v>55.68</v>
      </c>
      <c r="W100" s="409"/>
      <c r="X100" s="408">
        <v>50.47</v>
      </c>
      <c r="Y100" s="409"/>
      <c r="Z100" s="408">
        <v>65.94</v>
      </c>
      <c r="AA100" s="409"/>
      <c r="AB100" s="408">
        <v>76.239999999999995</v>
      </c>
      <c r="AC100" s="410" t="s">
        <v>599</v>
      </c>
      <c r="AD100" s="408">
        <v>81.45</v>
      </c>
      <c r="AE100" s="409"/>
      <c r="AF100" s="408">
        <v>77.709999999999994</v>
      </c>
      <c r="AG100" s="409"/>
      <c r="AH100" s="408">
        <v>73.569999999999993</v>
      </c>
      <c r="AI100" s="409"/>
      <c r="AJ100" s="408">
        <v>63.61</v>
      </c>
      <c r="AK100" s="409"/>
      <c r="AL100" s="408">
        <v>47.93</v>
      </c>
      <c r="AM100" s="409"/>
      <c r="AN100" s="408">
        <v>41.87</v>
      </c>
      <c r="AO100" s="409"/>
      <c r="AP100" s="408">
        <v>59.9</v>
      </c>
    </row>
    <row r="101" spans="17:42" x14ac:dyDescent="0.25">
      <c r="Q101" s="406">
        <v>1998</v>
      </c>
      <c r="R101" s="408">
        <v>48.35</v>
      </c>
      <c r="S101" s="409"/>
      <c r="T101" s="408">
        <v>44.57</v>
      </c>
      <c r="U101" s="409"/>
      <c r="V101" s="408">
        <v>48.71</v>
      </c>
      <c r="W101" s="409"/>
      <c r="X101" s="408">
        <v>53.33</v>
      </c>
      <c r="Y101" s="409"/>
      <c r="Z101" s="408">
        <v>69.650000000000006</v>
      </c>
      <c r="AA101" s="409"/>
      <c r="AB101" s="408">
        <v>73.430000000000007</v>
      </c>
      <c r="AC101" s="409"/>
      <c r="AD101" s="408">
        <v>82.1</v>
      </c>
      <c r="AE101" s="409"/>
      <c r="AF101" s="408">
        <v>80.709999999999994</v>
      </c>
      <c r="AG101" s="409"/>
      <c r="AH101" s="408">
        <v>78.430000000000007</v>
      </c>
      <c r="AI101" s="409"/>
      <c r="AJ101" s="408">
        <v>62.16</v>
      </c>
      <c r="AK101" s="409"/>
      <c r="AL101" s="408">
        <v>53.07</v>
      </c>
      <c r="AM101" s="409"/>
      <c r="AN101" s="408">
        <v>43.48</v>
      </c>
      <c r="AO101" s="409"/>
      <c r="AP101" s="408">
        <v>61.5</v>
      </c>
    </row>
    <row r="102" spans="17:42" x14ac:dyDescent="0.25">
      <c r="Q102" s="406">
        <v>1999</v>
      </c>
      <c r="R102" s="408">
        <v>45.52</v>
      </c>
      <c r="S102" s="409"/>
      <c r="T102" s="408">
        <v>52.61</v>
      </c>
      <c r="U102" s="409"/>
      <c r="V102" s="408">
        <v>56.94</v>
      </c>
      <c r="W102" s="409"/>
      <c r="X102" s="408">
        <v>52.13</v>
      </c>
      <c r="Y102" s="409"/>
      <c r="Z102" s="408">
        <v>64.709999999999994</v>
      </c>
      <c r="AA102" s="409"/>
      <c r="AB102" s="408">
        <v>74.930000000000007</v>
      </c>
      <c r="AC102" s="409"/>
      <c r="AD102" s="408">
        <v>83.42</v>
      </c>
      <c r="AE102" s="409"/>
      <c r="AF102" s="408">
        <v>78.13</v>
      </c>
      <c r="AG102" s="409"/>
      <c r="AH102" s="408">
        <v>69.63</v>
      </c>
      <c r="AI102" s="409"/>
      <c r="AJ102" s="408">
        <v>65.23</v>
      </c>
      <c r="AK102" s="409"/>
      <c r="AL102" s="408">
        <v>62.07</v>
      </c>
      <c r="AM102" s="409"/>
      <c r="AN102" s="408">
        <v>46.39</v>
      </c>
      <c r="AO102" s="409"/>
      <c r="AP102" s="408">
        <v>62.64</v>
      </c>
    </row>
    <row r="103" spans="17:42" x14ac:dyDescent="0.25">
      <c r="Q103" s="406">
        <v>2000</v>
      </c>
      <c r="R103" s="408">
        <v>46.84</v>
      </c>
      <c r="S103" s="409"/>
      <c r="T103" s="408">
        <v>50</v>
      </c>
      <c r="U103" s="409"/>
      <c r="V103" s="408">
        <v>50.81</v>
      </c>
      <c r="W103" s="409"/>
      <c r="X103" s="408">
        <v>63.47</v>
      </c>
      <c r="Y103" s="409"/>
      <c r="Z103" s="408">
        <v>70.16</v>
      </c>
      <c r="AA103" s="409"/>
      <c r="AB103" s="408">
        <v>78.53</v>
      </c>
      <c r="AC103" s="409"/>
      <c r="AD103" s="408">
        <v>86.06</v>
      </c>
      <c r="AE103" s="409"/>
      <c r="AF103" s="408">
        <v>84</v>
      </c>
      <c r="AG103" s="409"/>
      <c r="AH103" s="408">
        <v>74</v>
      </c>
      <c r="AI103" s="409"/>
      <c r="AJ103" s="408">
        <v>61.32</v>
      </c>
      <c r="AK103" s="409"/>
      <c r="AL103" s="408">
        <v>41.97</v>
      </c>
      <c r="AM103" s="409"/>
      <c r="AN103" s="408">
        <v>44.23</v>
      </c>
      <c r="AO103" s="409"/>
      <c r="AP103" s="408">
        <v>62.62</v>
      </c>
    </row>
    <row r="104" spans="17:42" x14ac:dyDescent="0.25">
      <c r="Q104" s="406">
        <v>2001</v>
      </c>
      <c r="R104" s="408">
        <v>43.93</v>
      </c>
      <c r="S104" s="410" t="s">
        <v>599</v>
      </c>
      <c r="T104" s="408">
        <v>45.11</v>
      </c>
      <c r="U104" s="409"/>
      <c r="V104" s="408">
        <v>48.32</v>
      </c>
      <c r="W104" s="409"/>
      <c r="X104" s="408">
        <v>59.63</v>
      </c>
      <c r="Y104" s="409"/>
      <c r="Z104" s="408">
        <v>66.81</v>
      </c>
      <c r="AA104" s="409"/>
      <c r="AB104" s="408">
        <v>79.33</v>
      </c>
      <c r="AC104" s="409"/>
      <c r="AD104" s="408">
        <v>85.74</v>
      </c>
      <c r="AE104" s="409"/>
      <c r="AF104" s="408">
        <v>85.84</v>
      </c>
      <c r="AG104" s="409"/>
      <c r="AH104" s="408">
        <v>77.97</v>
      </c>
      <c r="AI104" s="409"/>
      <c r="AJ104" s="408">
        <v>63.84</v>
      </c>
      <c r="AK104" s="409"/>
      <c r="AL104" s="408">
        <v>55.73</v>
      </c>
      <c r="AM104" s="409"/>
      <c r="AN104" s="408">
        <v>45.97</v>
      </c>
      <c r="AO104" s="409"/>
      <c r="AP104" s="408">
        <v>63.19</v>
      </c>
    </row>
    <row r="105" spans="17:42" x14ac:dyDescent="0.25">
      <c r="Q105" s="406">
        <v>2002</v>
      </c>
      <c r="R105" s="408">
        <v>44.23</v>
      </c>
      <c r="S105" s="409"/>
      <c r="T105" s="408">
        <v>46.71</v>
      </c>
      <c r="U105" s="409"/>
      <c r="V105" s="408">
        <v>47.74</v>
      </c>
      <c r="W105" s="409"/>
      <c r="X105" s="408">
        <v>62.7</v>
      </c>
      <c r="Y105" s="409"/>
      <c r="Z105" s="408">
        <v>66.16</v>
      </c>
      <c r="AA105" s="409"/>
      <c r="AB105" s="408">
        <v>82.2</v>
      </c>
      <c r="AC105" s="409"/>
      <c r="AD105" s="408">
        <v>87.52</v>
      </c>
      <c r="AE105" s="409"/>
      <c r="AF105" s="408">
        <v>82.39</v>
      </c>
      <c r="AG105" s="409"/>
      <c r="AH105" s="408">
        <v>73.97</v>
      </c>
      <c r="AI105" s="409"/>
      <c r="AJ105" s="408">
        <v>56.94</v>
      </c>
      <c r="AK105" s="409"/>
      <c r="AL105" s="408">
        <v>49.4</v>
      </c>
      <c r="AM105" s="409"/>
      <c r="AN105" s="408">
        <v>47.23</v>
      </c>
      <c r="AO105" s="409"/>
      <c r="AP105" s="408">
        <v>62.26</v>
      </c>
    </row>
    <row r="106" spans="17:42" x14ac:dyDescent="0.25">
      <c r="Q106" s="406">
        <v>2003</v>
      </c>
      <c r="R106" s="408">
        <v>50.03</v>
      </c>
      <c r="S106" s="409"/>
      <c r="T106" s="408">
        <v>41.5</v>
      </c>
      <c r="U106" s="409"/>
      <c r="V106" s="408">
        <v>49.84</v>
      </c>
      <c r="W106" s="409"/>
      <c r="X106" s="408">
        <v>60.17</v>
      </c>
      <c r="Y106" s="409"/>
      <c r="Z106" s="408">
        <v>65.680000000000007</v>
      </c>
      <c r="AA106" s="409"/>
      <c r="AB106" s="408">
        <v>71.33</v>
      </c>
      <c r="AC106" s="409"/>
      <c r="AD106" s="408">
        <v>88.26</v>
      </c>
      <c r="AE106" s="409"/>
      <c r="AF106" s="408">
        <v>83.9</v>
      </c>
      <c r="AG106" s="409"/>
      <c r="AH106" s="408">
        <v>72.099999999999994</v>
      </c>
      <c r="AI106" s="409"/>
      <c r="AJ106" s="408">
        <v>68</v>
      </c>
      <c r="AK106" s="409"/>
      <c r="AL106" s="408">
        <v>49.43</v>
      </c>
      <c r="AM106" s="409"/>
      <c r="AN106" s="408">
        <v>48.39</v>
      </c>
      <c r="AO106" s="409"/>
      <c r="AP106" s="408">
        <v>62.39</v>
      </c>
    </row>
    <row r="107" spans="17:42" x14ac:dyDescent="0.25">
      <c r="Q107" s="406">
        <v>2004</v>
      </c>
      <c r="R107" s="408">
        <v>46.87</v>
      </c>
      <c r="S107" s="409"/>
      <c r="T107" s="408">
        <v>41.97</v>
      </c>
      <c r="U107" s="409"/>
      <c r="V107" s="408">
        <v>58.74</v>
      </c>
      <c r="W107" s="409"/>
      <c r="X107" s="408">
        <v>57.53</v>
      </c>
      <c r="Y107" s="409"/>
      <c r="Z107" s="408">
        <v>68.55</v>
      </c>
      <c r="AA107" s="409"/>
      <c r="AB107" s="408">
        <v>71.930000000000007</v>
      </c>
      <c r="AC107" s="409"/>
      <c r="AD107" s="408">
        <v>77.87</v>
      </c>
      <c r="AE107" s="409"/>
      <c r="AF107" s="408">
        <v>76.260000000000005</v>
      </c>
      <c r="AG107" s="409"/>
      <c r="AH107" s="408">
        <v>72.569999999999993</v>
      </c>
      <c r="AI107" s="409"/>
      <c r="AJ107" s="408">
        <v>61.97</v>
      </c>
      <c r="AK107" s="409"/>
      <c r="AL107" s="408">
        <v>48.1</v>
      </c>
      <c r="AM107" s="409"/>
      <c r="AN107" s="408">
        <v>48.39</v>
      </c>
      <c r="AO107" s="409"/>
      <c r="AP107" s="408">
        <v>60.9</v>
      </c>
    </row>
    <row r="108" spans="17:42" x14ac:dyDescent="0.25">
      <c r="Q108" s="406">
        <v>2005</v>
      </c>
      <c r="R108" s="408">
        <v>48.06</v>
      </c>
      <c r="S108" s="409"/>
      <c r="T108" s="408">
        <v>44.79</v>
      </c>
      <c r="U108" s="409"/>
      <c r="V108" s="408">
        <v>47.9</v>
      </c>
      <c r="W108" s="409"/>
      <c r="X108" s="408">
        <v>53.5</v>
      </c>
      <c r="Y108" s="409"/>
      <c r="Z108" s="408">
        <v>63.42</v>
      </c>
      <c r="AA108" s="409"/>
      <c r="AB108" s="408">
        <v>74.17</v>
      </c>
      <c r="AC108" s="409"/>
      <c r="AD108" s="408">
        <v>85.45</v>
      </c>
      <c r="AE108" s="409"/>
      <c r="AF108" s="408">
        <v>77.709999999999994</v>
      </c>
      <c r="AG108" s="409"/>
      <c r="AH108" s="408">
        <v>74.599999999999994</v>
      </c>
      <c r="AI108" s="409"/>
      <c r="AJ108" s="408">
        <v>62.13</v>
      </c>
      <c r="AK108" s="409"/>
      <c r="AL108" s="408">
        <v>54.97</v>
      </c>
      <c r="AM108" s="409"/>
      <c r="AN108" s="408">
        <v>42.71</v>
      </c>
      <c r="AO108" s="409"/>
      <c r="AP108" s="408">
        <v>60.78</v>
      </c>
    </row>
    <row r="109" spans="17:42" x14ac:dyDescent="0.25">
      <c r="Q109" s="406">
        <v>2006</v>
      </c>
      <c r="R109" s="408">
        <v>48.39</v>
      </c>
      <c r="S109" s="409"/>
      <c r="T109" s="408">
        <v>43.39</v>
      </c>
      <c r="U109" s="409"/>
      <c r="V109" s="408">
        <v>47.94</v>
      </c>
      <c r="W109" s="409"/>
      <c r="X109" s="408">
        <v>61.77</v>
      </c>
      <c r="Y109" s="409"/>
      <c r="Z109" s="408">
        <v>67.58</v>
      </c>
      <c r="AA109" s="409"/>
      <c r="AB109" s="408">
        <v>79.040000000000006</v>
      </c>
      <c r="AC109" s="410" t="s">
        <v>602</v>
      </c>
      <c r="AD109" s="408">
        <v>82</v>
      </c>
      <c r="AE109" s="410" t="s">
        <v>603</v>
      </c>
      <c r="AF109" s="408">
        <v>78</v>
      </c>
      <c r="AG109" s="410" t="s">
        <v>597</v>
      </c>
      <c r="AH109" s="408" t="s">
        <v>596</v>
      </c>
      <c r="AI109" s="410" t="s">
        <v>597</v>
      </c>
      <c r="AJ109" s="408" t="s">
        <v>596</v>
      </c>
      <c r="AK109" s="410" t="s">
        <v>597</v>
      </c>
      <c r="AL109" s="408" t="s">
        <v>596</v>
      </c>
      <c r="AM109" s="410" t="s">
        <v>597</v>
      </c>
      <c r="AN109" s="408" t="s">
        <v>596</v>
      </c>
      <c r="AO109" s="410" t="s">
        <v>597</v>
      </c>
      <c r="AP109" s="408">
        <v>58.02</v>
      </c>
    </row>
    <row r="110" spans="17:42" x14ac:dyDescent="0.25">
      <c r="Q110" s="406">
        <v>2007</v>
      </c>
      <c r="R110" s="408"/>
      <c r="S110" s="409"/>
      <c r="T110" s="408"/>
      <c r="U110" s="409"/>
      <c r="V110" s="408"/>
      <c r="W110" s="409"/>
      <c r="X110" s="408"/>
      <c r="Y110" s="409"/>
      <c r="Z110" s="408"/>
      <c r="AA110" s="409"/>
      <c r="AB110" s="408"/>
      <c r="AC110" s="410"/>
      <c r="AD110" s="408">
        <v>83</v>
      </c>
      <c r="AE110" s="410"/>
      <c r="AF110" s="408">
        <v>81</v>
      </c>
      <c r="AG110" s="410"/>
      <c r="AH110" s="408"/>
      <c r="AI110" s="410"/>
      <c r="AJ110" s="408"/>
      <c r="AK110" s="410"/>
      <c r="AL110" s="408"/>
      <c r="AM110" s="410"/>
      <c r="AN110" s="408"/>
      <c r="AO110" s="410"/>
      <c r="AP110" s="408"/>
    </row>
    <row r="111" spans="17:42" x14ac:dyDescent="0.25">
      <c r="Q111" s="406">
        <v>2008</v>
      </c>
      <c r="R111" s="408"/>
      <c r="S111" s="409"/>
      <c r="T111" s="408"/>
      <c r="U111" s="409"/>
      <c r="V111" s="408"/>
      <c r="W111" s="409"/>
      <c r="X111" s="408"/>
      <c r="Y111" s="409"/>
      <c r="Z111" s="408"/>
      <c r="AA111" s="409"/>
      <c r="AB111" s="408"/>
      <c r="AC111" s="410"/>
      <c r="AD111" s="408">
        <v>84</v>
      </c>
      <c r="AE111" s="410"/>
      <c r="AF111" s="408">
        <v>78</v>
      </c>
      <c r="AG111" s="410"/>
      <c r="AH111" s="408"/>
      <c r="AI111" s="410"/>
      <c r="AJ111" s="408"/>
      <c r="AK111" s="410"/>
      <c r="AL111" s="408"/>
      <c r="AM111" s="410"/>
      <c r="AN111" s="408"/>
      <c r="AO111" s="410"/>
      <c r="AP111" s="408"/>
    </row>
    <row r="112" spans="17:42" x14ac:dyDescent="0.25">
      <c r="Q112" s="406">
        <v>2009</v>
      </c>
      <c r="R112" s="408"/>
      <c r="S112" s="409"/>
      <c r="T112" s="408"/>
      <c r="U112" s="409"/>
      <c r="V112" s="408"/>
      <c r="W112" s="409"/>
      <c r="X112" s="408"/>
      <c r="Y112" s="409"/>
      <c r="Z112" s="408"/>
      <c r="AA112" s="409"/>
      <c r="AB112" s="408"/>
      <c r="AC112" s="410"/>
      <c r="AD112" s="408">
        <v>78</v>
      </c>
      <c r="AE112" s="410"/>
      <c r="AF112" s="408">
        <v>78</v>
      </c>
      <c r="AG112" s="410"/>
      <c r="AH112" s="408"/>
      <c r="AI112" s="410"/>
      <c r="AJ112" s="408"/>
      <c r="AK112" s="410"/>
      <c r="AL112" s="408"/>
      <c r="AM112" s="410"/>
      <c r="AN112" s="408"/>
      <c r="AO112" s="410"/>
      <c r="AP112" s="408"/>
    </row>
    <row r="113" spans="17:42" x14ac:dyDescent="0.25">
      <c r="Q113" s="406">
        <v>2010</v>
      </c>
      <c r="R113" s="408"/>
      <c r="S113" s="409"/>
      <c r="T113" s="408"/>
      <c r="U113" s="409"/>
      <c r="V113" s="408"/>
      <c r="W113" s="409"/>
      <c r="X113" s="408"/>
      <c r="Y113" s="409"/>
      <c r="Z113" s="408"/>
      <c r="AA113" s="409"/>
      <c r="AB113" s="408"/>
      <c r="AC113" s="410"/>
      <c r="AD113" s="408">
        <v>82</v>
      </c>
      <c r="AE113" s="410"/>
      <c r="AF113" s="408">
        <v>80</v>
      </c>
      <c r="AG113" s="410"/>
      <c r="AH113" s="408"/>
      <c r="AI113" s="410"/>
      <c r="AJ113" s="408"/>
      <c r="AK113" s="410"/>
      <c r="AL113" s="408"/>
      <c r="AM113" s="410"/>
      <c r="AN113" s="408"/>
      <c r="AO113" s="410"/>
      <c r="AP113" s="408"/>
    </row>
    <row r="114" spans="17:42" x14ac:dyDescent="0.25">
      <c r="Q114" s="405"/>
      <c r="R114" s="407"/>
      <c r="S114" s="409"/>
      <c r="T114" s="407"/>
      <c r="U114" s="409"/>
      <c r="V114" s="407"/>
      <c r="W114" s="409"/>
      <c r="X114" s="407"/>
      <c r="Y114" s="409"/>
      <c r="Z114" s="407"/>
      <c r="AA114" s="409"/>
      <c r="AB114" s="407"/>
      <c r="AC114" s="409"/>
      <c r="AD114" s="412">
        <f>PERCENTILE(AD64:AD113,0.9)</f>
        <v>85.478999999999999</v>
      </c>
      <c r="AE114" s="409"/>
      <c r="AF114" s="407">
        <f>PERCENTILE(AF64:AF109,0.9)</f>
        <v>82.704999999999998</v>
      </c>
      <c r="AG114" s="409"/>
      <c r="AH114" s="407"/>
      <c r="AI114" s="409"/>
      <c r="AJ114" s="407"/>
      <c r="AK114" s="409"/>
      <c r="AL114" s="407"/>
      <c r="AM114" s="409"/>
      <c r="AN114" s="407"/>
      <c r="AO114" s="409"/>
      <c r="AP114" s="407"/>
    </row>
    <row r="115" spans="17:42" x14ac:dyDescent="0.25">
      <c r="Q115" s="405"/>
      <c r="R115" s="407"/>
      <c r="S115" s="409"/>
      <c r="T115" s="407"/>
      <c r="U115" s="409"/>
      <c r="V115" s="407"/>
      <c r="W115" s="409"/>
      <c r="X115" s="407"/>
      <c r="Y115" s="409"/>
      <c r="Z115" s="407"/>
      <c r="AA115" s="409"/>
      <c r="AB115" s="407"/>
      <c r="AC115" s="409"/>
      <c r="AD115" s="407"/>
      <c r="AE115" s="409"/>
      <c r="AF115" s="407"/>
      <c r="AG115" s="409"/>
      <c r="AH115" s="407"/>
      <c r="AI115" s="409"/>
      <c r="AJ115" s="407"/>
      <c r="AK115" s="409"/>
      <c r="AL115" s="407"/>
      <c r="AM115" s="409"/>
      <c r="AN115" s="407"/>
      <c r="AO115" s="409"/>
      <c r="AP115" s="407"/>
    </row>
    <row r="116" spans="17:42" ht="13.25" customHeight="1" x14ac:dyDescent="0.25">
      <c r="Q116" s="940" t="s">
        <v>604</v>
      </c>
      <c r="R116" s="940"/>
      <c r="S116" s="940"/>
      <c r="T116" s="940"/>
      <c r="U116" s="940"/>
      <c r="V116" s="940"/>
      <c r="W116" s="940"/>
      <c r="X116" s="940"/>
      <c r="Y116" s="940"/>
      <c r="Z116" s="940"/>
      <c r="AA116" s="940"/>
      <c r="AB116" s="940"/>
      <c r="AC116" s="940"/>
      <c r="AD116" s="940"/>
      <c r="AE116" s="940"/>
      <c r="AF116" s="940"/>
      <c r="AG116" s="940"/>
      <c r="AH116" s="940"/>
      <c r="AI116" s="940"/>
      <c r="AJ116" s="940"/>
      <c r="AK116" s="940"/>
      <c r="AL116" s="940"/>
      <c r="AM116" s="940"/>
      <c r="AN116" s="940"/>
      <c r="AO116" s="940"/>
      <c r="AP116" s="940"/>
    </row>
    <row r="117" spans="17:42" x14ac:dyDescent="0.25">
      <c r="Q117" s="406" t="s">
        <v>605</v>
      </c>
      <c r="R117" s="408">
        <v>44.62</v>
      </c>
      <c r="S117" s="409"/>
      <c r="T117" s="408">
        <v>45.68</v>
      </c>
      <c r="U117" s="409"/>
      <c r="V117" s="408">
        <v>49.78</v>
      </c>
      <c r="W117" s="409"/>
      <c r="X117" s="408">
        <v>56.89</v>
      </c>
      <c r="Y117" s="409"/>
      <c r="Z117" s="408">
        <v>65.31</v>
      </c>
      <c r="AA117" s="409"/>
      <c r="AB117" s="408">
        <v>75.41</v>
      </c>
      <c r="AC117" s="409"/>
      <c r="AD117" s="408">
        <v>81.62</v>
      </c>
      <c r="AE117" s="409"/>
      <c r="AF117" s="408">
        <v>79.44</v>
      </c>
      <c r="AG117" s="409"/>
      <c r="AH117" s="408">
        <v>72.25</v>
      </c>
      <c r="AI117" s="409"/>
      <c r="AJ117" s="408">
        <v>62.52</v>
      </c>
      <c r="AK117" s="409"/>
      <c r="AL117" s="408">
        <v>50.78</v>
      </c>
      <c r="AM117" s="409"/>
      <c r="AN117" s="408">
        <v>45.18</v>
      </c>
      <c r="AO117" s="409"/>
      <c r="AP117" s="408">
        <v>60.84</v>
      </c>
    </row>
    <row r="118" spans="17:42" x14ac:dyDescent="0.25">
      <c r="Q118" s="406" t="s">
        <v>606</v>
      </c>
      <c r="R118" s="408">
        <v>3.38</v>
      </c>
      <c r="S118" s="409"/>
      <c r="T118" s="408">
        <v>3.3</v>
      </c>
      <c r="U118" s="409"/>
      <c r="V118" s="408">
        <v>4.26</v>
      </c>
      <c r="W118" s="409"/>
      <c r="X118" s="408">
        <v>4.0599999999999996</v>
      </c>
      <c r="Y118" s="409"/>
      <c r="Z118" s="408">
        <v>3.91</v>
      </c>
      <c r="AA118" s="409"/>
      <c r="AB118" s="408">
        <v>3.49</v>
      </c>
      <c r="AC118" s="409"/>
      <c r="AD118" s="408">
        <v>2.75</v>
      </c>
      <c r="AE118" s="409"/>
      <c r="AF118" s="408">
        <v>2.56</v>
      </c>
      <c r="AG118" s="409"/>
      <c r="AH118" s="408">
        <v>3.43</v>
      </c>
      <c r="AI118" s="409"/>
      <c r="AJ118" s="408">
        <v>3.89</v>
      </c>
      <c r="AK118" s="409"/>
      <c r="AL118" s="408">
        <v>4.3899999999999997</v>
      </c>
      <c r="AM118" s="409"/>
      <c r="AN118" s="408">
        <v>3.37</v>
      </c>
      <c r="AO118" s="409"/>
      <c r="AP118" s="408">
        <v>1.31</v>
      </c>
    </row>
    <row r="119" spans="17:42" x14ac:dyDescent="0.25">
      <c r="Q119" s="406" t="s">
        <v>607</v>
      </c>
      <c r="R119" s="408">
        <v>-0.64</v>
      </c>
      <c r="S119" s="409"/>
      <c r="T119" s="408">
        <v>-0.12</v>
      </c>
      <c r="U119" s="409"/>
      <c r="V119" s="408">
        <v>0.22</v>
      </c>
      <c r="W119" s="409"/>
      <c r="X119" s="408">
        <v>-0.33</v>
      </c>
      <c r="Y119" s="409"/>
      <c r="Z119" s="408">
        <v>-0.05</v>
      </c>
      <c r="AA119" s="409"/>
      <c r="AB119" s="408">
        <v>-0.26</v>
      </c>
      <c r="AC119" s="409"/>
      <c r="AD119" s="408">
        <v>0.49</v>
      </c>
      <c r="AE119" s="409"/>
      <c r="AF119" s="408">
        <v>0.56000000000000005</v>
      </c>
      <c r="AG119" s="409"/>
      <c r="AH119" s="408">
        <v>-0.22</v>
      </c>
      <c r="AI119" s="409"/>
      <c r="AJ119" s="408">
        <v>-0.61</v>
      </c>
      <c r="AK119" s="409"/>
      <c r="AL119" s="408">
        <v>0.21</v>
      </c>
      <c r="AM119" s="409"/>
      <c r="AN119" s="408">
        <v>-0.06</v>
      </c>
      <c r="AO119" s="409"/>
      <c r="AP119" s="408">
        <v>0.39</v>
      </c>
    </row>
    <row r="120" spans="17:42" x14ac:dyDescent="0.25">
      <c r="Q120" s="406" t="s">
        <v>608</v>
      </c>
      <c r="R120" s="408">
        <v>52.03</v>
      </c>
      <c r="S120" s="409"/>
      <c r="T120" s="408">
        <v>52.61</v>
      </c>
      <c r="U120" s="409"/>
      <c r="V120" s="408">
        <v>58.74</v>
      </c>
      <c r="W120" s="409"/>
      <c r="X120" s="408">
        <v>63.57</v>
      </c>
      <c r="Y120" s="409"/>
      <c r="Z120" s="408">
        <v>72.84</v>
      </c>
      <c r="AA120" s="409"/>
      <c r="AB120" s="408">
        <v>82.2</v>
      </c>
      <c r="AC120" s="409"/>
      <c r="AD120" s="408">
        <v>88.26</v>
      </c>
      <c r="AE120" s="409"/>
      <c r="AF120" s="408">
        <v>85.84</v>
      </c>
      <c r="AG120" s="409"/>
      <c r="AH120" s="408">
        <v>78.430000000000007</v>
      </c>
      <c r="AI120" s="409"/>
      <c r="AJ120" s="408">
        <v>69.81</v>
      </c>
      <c r="AK120" s="409"/>
      <c r="AL120" s="408">
        <v>62.07</v>
      </c>
      <c r="AM120" s="409"/>
      <c r="AN120" s="408">
        <v>53.19</v>
      </c>
      <c r="AO120" s="409"/>
      <c r="AP120" s="408">
        <v>63.98</v>
      </c>
    </row>
    <row r="121" spans="17:42" x14ac:dyDescent="0.25">
      <c r="Q121" s="406" t="s">
        <v>609</v>
      </c>
      <c r="R121" s="408">
        <v>33.630000000000003</v>
      </c>
      <c r="S121" s="409"/>
      <c r="T121" s="408">
        <v>36.61</v>
      </c>
      <c r="U121" s="409"/>
      <c r="V121" s="408">
        <v>40.1</v>
      </c>
      <c r="W121" s="409"/>
      <c r="X121" s="408">
        <v>47.57</v>
      </c>
      <c r="Y121" s="409"/>
      <c r="Z121" s="408">
        <v>56.97</v>
      </c>
      <c r="AA121" s="409"/>
      <c r="AB121" s="408">
        <v>67.37</v>
      </c>
      <c r="AC121" s="409"/>
      <c r="AD121" s="408">
        <v>76.099999999999994</v>
      </c>
      <c r="AE121" s="409"/>
      <c r="AF121" s="408">
        <v>75.650000000000006</v>
      </c>
      <c r="AG121" s="409"/>
      <c r="AH121" s="408">
        <v>64.7</v>
      </c>
      <c r="AI121" s="409"/>
      <c r="AJ121" s="408">
        <v>52.03</v>
      </c>
      <c r="AK121" s="409"/>
      <c r="AL121" s="408">
        <v>41.97</v>
      </c>
      <c r="AM121" s="409"/>
      <c r="AN121" s="408">
        <v>37.26</v>
      </c>
      <c r="AO121" s="409"/>
      <c r="AP121" s="408">
        <v>58.48</v>
      </c>
    </row>
    <row r="122" spans="17:42" x14ac:dyDescent="0.25">
      <c r="Q122" s="406" t="s">
        <v>610</v>
      </c>
      <c r="R122" s="408">
        <v>44</v>
      </c>
      <c r="S122" s="409"/>
      <c r="T122" s="408">
        <v>44</v>
      </c>
      <c r="U122" s="409"/>
      <c r="V122" s="408">
        <v>43</v>
      </c>
      <c r="W122" s="409"/>
      <c r="X122" s="408">
        <v>42</v>
      </c>
      <c r="Y122" s="409"/>
      <c r="Z122" s="408">
        <v>43</v>
      </c>
      <c r="AA122" s="409"/>
      <c r="AB122" s="408">
        <v>45</v>
      </c>
      <c r="AC122" s="409"/>
      <c r="AD122" s="408">
        <v>45</v>
      </c>
      <c r="AE122" s="409"/>
      <c r="AF122" s="408">
        <v>43</v>
      </c>
      <c r="AG122" s="409"/>
      <c r="AH122" s="408">
        <v>42</v>
      </c>
      <c r="AI122" s="409"/>
      <c r="AJ122" s="408">
        <v>45</v>
      </c>
      <c r="AK122" s="409"/>
      <c r="AL122" s="408">
        <v>44</v>
      </c>
      <c r="AM122" s="409"/>
      <c r="AN122" s="408">
        <v>43</v>
      </c>
      <c r="AO122" s="409"/>
      <c r="AP122" s="408">
        <v>37</v>
      </c>
    </row>
    <row r="124" spans="17:42" x14ac:dyDescent="0.25">
      <c r="Q124" s="406" t="s">
        <v>617</v>
      </c>
      <c r="R124" s="19" t="s">
        <v>616</v>
      </c>
      <c r="S124" s="19" t="s">
        <v>615</v>
      </c>
    </row>
    <row r="125" spans="17:42" x14ac:dyDescent="0.25">
      <c r="Q125" s="404">
        <v>2011</v>
      </c>
      <c r="R125" s="404">
        <v>88.5</v>
      </c>
      <c r="S125" s="404">
        <v>75</v>
      </c>
      <c r="T125" s="404"/>
      <c r="U125" s="404"/>
      <c r="V125" s="404"/>
      <c r="W125" s="404"/>
      <c r="X125" s="404"/>
      <c r="Y125" s="404"/>
      <c r="Z125" s="404"/>
      <c r="AA125" s="404">
        <v>0.56999999999999995</v>
      </c>
      <c r="AB125" s="404">
        <v>0</v>
      </c>
    </row>
    <row r="126" spans="17:42" x14ac:dyDescent="0.25">
      <c r="Q126" s="404">
        <v>2010</v>
      </c>
      <c r="R126" s="404">
        <v>85.5</v>
      </c>
      <c r="S126" s="404">
        <v>72.5</v>
      </c>
      <c r="T126" s="404"/>
      <c r="U126" s="404"/>
      <c r="V126" s="404"/>
      <c r="W126" s="404"/>
      <c r="X126" s="404"/>
      <c r="Y126" s="404"/>
      <c r="Z126" s="404"/>
      <c r="AA126" s="404">
        <v>0.78</v>
      </c>
      <c r="AB126" s="404">
        <v>0</v>
      </c>
    </row>
    <row r="127" spans="17:42" x14ac:dyDescent="0.25">
      <c r="Q127" s="404">
        <v>2009</v>
      </c>
      <c r="R127" s="404">
        <v>81.8</v>
      </c>
      <c r="S127" s="404">
        <v>69.3</v>
      </c>
      <c r="T127" s="404"/>
      <c r="U127" s="404"/>
      <c r="V127" s="404"/>
      <c r="W127" s="404"/>
      <c r="X127" s="404"/>
      <c r="Y127" s="404"/>
      <c r="Z127" s="404"/>
      <c r="AA127" s="404">
        <v>0.4</v>
      </c>
      <c r="AB127" s="404">
        <v>0</v>
      </c>
    </row>
    <row r="128" spans="17:42" x14ac:dyDescent="0.25">
      <c r="Q128" s="404">
        <v>2008</v>
      </c>
      <c r="R128" s="404">
        <v>88.8</v>
      </c>
      <c r="S128" s="404">
        <v>75.099999999999994</v>
      </c>
      <c r="T128" s="404"/>
      <c r="U128" s="404"/>
      <c r="V128" s="404"/>
      <c r="W128" s="404"/>
      <c r="X128" s="404"/>
      <c r="Y128" s="404"/>
      <c r="Z128" s="404"/>
      <c r="AA128" s="404">
        <v>0.08</v>
      </c>
      <c r="AB128" s="404">
        <v>0</v>
      </c>
    </row>
    <row r="129" spans="17:28" x14ac:dyDescent="0.25">
      <c r="Q129" s="404">
        <v>2007</v>
      </c>
      <c r="R129" s="404">
        <v>88.1</v>
      </c>
      <c r="S129" s="404">
        <v>75</v>
      </c>
      <c r="T129" s="404"/>
      <c r="U129" s="404"/>
      <c r="V129" s="404"/>
      <c r="W129" s="404"/>
      <c r="X129" s="404"/>
      <c r="Y129" s="404"/>
      <c r="Z129" s="404"/>
      <c r="AA129" s="404">
        <v>0.36</v>
      </c>
      <c r="AB129" s="404">
        <v>0</v>
      </c>
    </row>
    <row r="130" spans="17:28" x14ac:dyDescent="0.25">
      <c r="Q130" s="404">
        <v>2006</v>
      </c>
      <c r="R130" s="404">
        <v>86</v>
      </c>
      <c r="S130" s="404">
        <v>74.2</v>
      </c>
      <c r="T130" s="404"/>
      <c r="U130" s="404"/>
      <c r="V130" s="404"/>
      <c r="W130" s="404"/>
      <c r="X130" s="404"/>
      <c r="Y130" s="404"/>
      <c r="Z130" s="404"/>
      <c r="AA130" s="404">
        <v>1.5</v>
      </c>
      <c r="AB130" s="404">
        <v>0</v>
      </c>
    </row>
    <row r="131" spans="17:28" x14ac:dyDescent="0.25">
      <c r="Q131" s="404">
        <v>2005</v>
      </c>
      <c r="R131" s="404">
        <v>90</v>
      </c>
      <c r="S131" s="404">
        <v>76.2</v>
      </c>
      <c r="T131" s="404"/>
      <c r="U131" s="404"/>
      <c r="V131" s="404"/>
      <c r="W131" s="404"/>
      <c r="X131" s="404"/>
      <c r="Y131" s="404"/>
      <c r="Z131" s="404"/>
      <c r="AA131" s="404">
        <v>0.52</v>
      </c>
      <c r="AB131" s="404">
        <v>0</v>
      </c>
    </row>
    <row r="132" spans="17:28" x14ac:dyDescent="0.25">
      <c r="Q132" s="404">
        <v>2004</v>
      </c>
      <c r="R132" s="404">
        <v>82.9</v>
      </c>
      <c r="S132" s="404">
        <v>70.400000000000006</v>
      </c>
      <c r="T132" s="404"/>
      <c r="U132" s="404"/>
      <c r="V132" s="404"/>
      <c r="W132" s="404"/>
      <c r="X132" s="404"/>
      <c r="Y132" s="404"/>
      <c r="Z132" s="404"/>
      <c r="AA132" s="404">
        <v>0.81</v>
      </c>
      <c r="AB132" s="404">
        <v>0</v>
      </c>
    </row>
    <row r="133" spans="17:28" x14ac:dyDescent="0.25">
      <c r="Q133" s="404">
        <v>2003</v>
      </c>
      <c r="R133" s="404">
        <v>92.1</v>
      </c>
      <c r="S133" s="404">
        <v>78.2</v>
      </c>
      <c r="T133" s="404"/>
      <c r="U133" s="404"/>
      <c r="V133" s="404"/>
      <c r="W133" s="404"/>
      <c r="X133" s="404"/>
      <c r="Y133" s="404"/>
      <c r="Z133" s="404"/>
      <c r="AA133" s="404">
        <v>0.25</v>
      </c>
      <c r="AB133" s="404">
        <v>0</v>
      </c>
    </row>
    <row r="134" spans="17:28" x14ac:dyDescent="0.25">
      <c r="Q134" s="404">
        <v>2002</v>
      </c>
      <c r="R134" s="404">
        <v>91.7</v>
      </c>
      <c r="S134" s="404">
        <v>77.7</v>
      </c>
      <c r="T134" s="404"/>
      <c r="U134" s="404"/>
      <c r="V134" s="404"/>
      <c r="W134" s="404"/>
      <c r="X134" s="404"/>
      <c r="Y134" s="404"/>
      <c r="Z134" s="404"/>
      <c r="AA134" s="404">
        <v>0.18</v>
      </c>
      <c r="AB134" s="404">
        <v>0</v>
      </c>
    </row>
    <row r="135" spans="17:28" x14ac:dyDescent="0.25">
      <c r="Q135" s="404">
        <v>2001</v>
      </c>
      <c r="R135" s="404">
        <v>89.5</v>
      </c>
      <c r="S135" s="404">
        <v>76.2</v>
      </c>
      <c r="T135" s="404"/>
      <c r="U135" s="404"/>
      <c r="V135" s="404"/>
      <c r="W135" s="404"/>
      <c r="X135" s="404"/>
      <c r="Y135" s="404"/>
      <c r="Z135" s="404"/>
      <c r="AA135" s="404">
        <v>1.05</v>
      </c>
      <c r="AB135" s="404">
        <v>0</v>
      </c>
    </row>
    <row r="136" spans="17:28" x14ac:dyDescent="0.25">
      <c r="Q136" s="404">
        <v>2000</v>
      </c>
      <c r="R136" s="404">
        <v>89.7</v>
      </c>
      <c r="S136" s="404">
        <v>75.400000000000006</v>
      </c>
      <c r="T136" s="404"/>
      <c r="U136" s="404"/>
      <c r="V136" s="404"/>
      <c r="W136" s="404"/>
      <c r="X136" s="404"/>
      <c r="Y136" s="404"/>
      <c r="Z136" s="404"/>
      <c r="AA136" s="404">
        <v>3.72</v>
      </c>
      <c r="AB136" s="404">
        <v>0</v>
      </c>
    </row>
    <row r="137" spans="17:28" x14ac:dyDescent="0.25">
      <c r="Q137" s="404">
        <v>1999</v>
      </c>
      <c r="R137" s="404">
        <v>87.1</v>
      </c>
      <c r="S137" s="404">
        <v>73.900000000000006</v>
      </c>
      <c r="T137" s="404"/>
      <c r="U137" s="404"/>
      <c r="V137" s="404"/>
      <c r="W137" s="404"/>
      <c r="X137" s="404"/>
      <c r="Y137" s="404"/>
      <c r="Z137" s="404"/>
      <c r="AA137" s="404">
        <v>0.69</v>
      </c>
      <c r="AB137" s="404">
        <v>0</v>
      </c>
    </row>
    <row r="138" spans="17:28" x14ac:dyDescent="0.25">
      <c r="Q138" s="404">
        <v>1998</v>
      </c>
      <c r="R138" s="404">
        <v>85.4</v>
      </c>
      <c r="S138" s="404">
        <v>73.2</v>
      </c>
      <c r="T138" s="404"/>
      <c r="U138" s="404"/>
      <c r="V138" s="404"/>
      <c r="W138" s="404"/>
      <c r="X138" s="404"/>
      <c r="Y138" s="404"/>
      <c r="Z138" s="404"/>
      <c r="AA138" s="404">
        <v>0.53</v>
      </c>
      <c r="AB138" s="404">
        <v>0</v>
      </c>
    </row>
    <row r="139" spans="17:28" x14ac:dyDescent="0.25">
      <c r="Q139" s="404">
        <v>1997</v>
      </c>
      <c r="R139" s="404">
        <v>88</v>
      </c>
      <c r="S139" s="404">
        <v>72.900000000000006</v>
      </c>
      <c r="T139" s="404"/>
      <c r="U139" s="404"/>
      <c r="V139" s="404"/>
      <c r="W139" s="404"/>
    </row>
    <row r="140" spans="17:28" x14ac:dyDescent="0.25">
      <c r="Q140" s="404"/>
      <c r="R140" s="418">
        <f>AVERAGE(R125:R139)</f>
        <v>87.673333333333346</v>
      </c>
      <c r="S140" s="418">
        <f>AVERAGE(S125:S139)</f>
        <v>74.346666666666664</v>
      </c>
      <c r="T140" s="404">
        <f>PERCENTILE(R125:R139,0.9)</f>
        <v>91.02</v>
      </c>
      <c r="U140" s="404"/>
      <c r="V140" s="404"/>
      <c r="W140" s="404"/>
    </row>
    <row r="141" spans="17:28" x14ac:dyDescent="0.25">
      <c r="R141" s="19" t="s">
        <v>616</v>
      </c>
      <c r="S141" s="19" t="s">
        <v>615</v>
      </c>
    </row>
    <row r="142" spans="17:28" x14ac:dyDescent="0.25">
      <c r="Q142" s="404">
        <v>2011</v>
      </c>
      <c r="R142" s="404">
        <v>89.4</v>
      </c>
      <c r="S142" s="404">
        <v>75</v>
      </c>
      <c r="T142" s="404"/>
      <c r="U142" s="404"/>
      <c r="V142" s="404"/>
      <c r="Y142" s="404"/>
      <c r="Z142" s="404"/>
      <c r="AA142" s="404">
        <v>0.26</v>
      </c>
      <c r="AB142" s="404">
        <v>0</v>
      </c>
    </row>
    <row r="143" spans="17:28" x14ac:dyDescent="0.25">
      <c r="Q143" s="404">
        <v>2010</v>
      </c>
      <c r="R143" s="404">
        <v>84.8</v>
      </c>
      <c r="S143" s="404">
        <v>72.2</v>
      </c>
      <c r="T143" s="404"/>
      <c r="U143" s="404"/>
      <c r="V143" s="404"/>
      <c r="Y143" s="404"/>
      <c r="Z143" s="404"/>
      <c r="AA143" s="404">
        <v>0.85</v>
      </c>
      <c r="AB143" s="404">
        <v>0</v>
      </c>
    </row>
    <row r="144" spans="17:28" x14ac:dyDescent="0.25">
      <c r="Q144" s="404">
        <v>2009</v>
      </c>
      <c r="R144" s="404">
        <v>81.3</v>
      </c>
      <c r="S144" s="404">
        <v>68.7</v>
      </c>
      <c r="T144" s="404"/>
      <c r="U144" s="404"/>
      <c r="V144" s="404"/>
      <c r="Y144" s="404"/>
      <c r="Z144" s="404"/>
      <c r="AA144" s="404">
        <v>0.25</v>
      </c>
      <c r="AB144" s="404">
        <v>0</v>
      </c>
    </row>
    <row r="145" spans="17:28" x14ac:dyDescent="0.25">
      <c r="Q145" s="404">
        <v>2008</v>
      </c>
      <c r="R145" s="404">
        <v>81.900000000000006</v>
      </c>
      <c r="S145" s="404">
        <v>69.599999999999994</v>
      </c>
      <c r="T145" s="404"/>
      <c r="U145" s="404"/>
      <c r="V145" s="404"/>
      <c r="Y145" s="404"/>
      <c r="Z145" s="404"/>
      <c r="AA145" s="404">
        <v>1.1499999999999999</v>
      </c>
      <c r="AB145" s="404">
        <v>0</v>
      </c>
    </row>
    <row r="146" spans="17:28" x14ac:dyDescent="0.25">
      <c r="Q146" s="404">
        <v>2007</v>
      </c>
      <c r="R146" s="404"/>
      <c r="S146" s="404"/>
      <c r="T146" s="404"/>
      <c r="U146" s="404"/>
      <c r="V146" s="404"/>
      <c r="Y146" s="404"/>
      <c r="Z146" s="404"/>
      <c r="AA146" s="404">
        <v>0.74</v>
      </c>
      <c r="AB146" s="404">
        <v>0</v>
      </c>
    </row>
    <row r="147" spans="17:28" x14ac:dyDescent="0.25">
      <c r="Q147" s="404">
        <v>2006</v>
      </c>
      <c r="R147" s="404">
        <v>81.7</v>
      </c>
      <c r="S147" s="404">
        <v>70.099999999999994</v>
      </c>
      <c r="T147" s="404"/>
      <c r="U147" s="404"/>
      <c r="V147" s="404"/>
      <c r="Y147" s="404"/>
      <c r="Z147" s="404"/>
      <c r="AA147" s="404">
        <v>1.62</v>
      </c>
      <c r="AB147" s="404">
        <v>0</v>
      </c>
    </row>
    <row r="148" spans="17:28" x14ac:dyDescent="0.25">
      <c r="Q148" s="404">
        <v>2005</v>
      </c>
      <c r="R148" s="404">
        <v>81.8</v>
      </c>
      <c r="S148" s="404">
        <v>69.900000000000006</v>
      </c>
      <c r="T148" s="404"/>
      <c r="U148" s="404"/>
      <c r="V148" s="404"/>
      <c r="Y148" s="404"/>
      <c r="Z148" s="404"/>
      <c r="AA148" s="404">
        <v>2.1</v>
      </c>
      <c r="AB148" s="404">
        <v>0</v>
      </c>
    </row>
    <row r="149" spans="17:28" x14ac:dyDescent="0.25">
      <c r="Q149" s="404">
        <v>2004</v>
      </c>
      <c r="R149" s="404">
        <v>79.599999999999994</v>
      </c>
      <c r="S149" s="404">
        <v>67.599999999999994</v>
      </c>
      <c r="T149" s="404"/>
      <c r="U149" s="404"/>
      <c r="V149" s="404"/>
      <c r="Y149" s="404"/>
      <c r="Z149" s="404"/>
      <c r="AA149" s="404">
        <v>1.95</v>
      </c>
      <c r="AB149" s="404">
        <v>0</v>
      </c>
    </row>
    <row r="150" spans="17:28" x14ac:dyDescent="0.25">
      <c r="Q150" s="404">
        <v>2003</v>
      </c>
      <c r="R150" s="404">
        <v>87.5</v>
      </c>
      <c r="S150" s="404">
        <v>74</v>
      </c>
      <c r="T150" s="404"/>
      <c r="U150" s="404"/>
      <c r="V150" s="404"/>
      <c r="Y150" s="404"/>
      <c r="Z150" s="404"/>
      <c r="AA150" s="404">
        <v>0.52</v>
      </c>
      <c r="AB150" s="404">
        <v>0</v>
      </c>
    </row>
    <row r="151" spans="17:28" x14ac:dyDescent="0.25">
      <c r="Q151" s="404">
        <v>2002</v>
      </c>
      <c r="R151" s="404">
        <v>83.9</v>
      </c>
      <c r="S151" s="404">
        <v>70.099999999999994</v>
      </c>
      <c r="T151" s="404"/>
      <c r="U151" s="404"/>
      <c r="V151" s="404"/>
      <c r="Y151" s="404"/>
      <c r="Z151" s="404"/>
      <c r="AA151" s="404">
        <v>0.43</v>
      </c>
      <c r="AB151" s="404">
        <v>0</v>
      </c>
    </row>
    <row r="152" spans="17:28" x14ac:dyDescent="0.25">
      <c r="Q152" s="404">
        <v>2001</v>
      </c>
      <c r="R152" s="404">
        <v>84.7</v>
      </c>
      <c r="S152" s="404">
        <v>72.5</v>
      </c>
      <c r="T152" s="404"/>
      <c r="U152" s="404"/>
      <c r="V152" s="404"/>
      <c r="Y152" s="404"/>
      <c r="Z152" s="404"/>
      <c r="AA152" s="404">
        <v>1.58</v>
      </c>
      <c r="AB152" s="404">
        <v>0</v>
      </c>
    </row>
    <row r="153" spans="17:28" x14ac:dyDescent="0.25">
      <c r="Q153" s="404">
        <v>2000</v>
      </c>
      <c r="R153" s="404">
        <v>87.2</v>
      </c>
      <c r="S153" s="404">
        <v>74.3</v>
      </c>
      <c r="T153" s="404"/>
      <c r="U153" s="404"/>
      <c r="V153" s="404"/>
      <c r="Y153" s="404"/>
      <c r="Z153" s="404"/>
      <c r="AA153" s="404">
        <v>0.7</v>
      </c>
      <c r="AB153" s="404">
        <v>0</v>
      </c>
    </row>
    <row r="154" spans="17:28" x14ac:dyDescent="0.25">
      <c r="Q154" s="404">
        <v>1999</v>
      </c>
      <c r="R154" s="404">
        <v>82</v>
      </c>
      <c r="S154" s="404">
        <v>70.3</v>
      </c>
      <c r="T154" s="404"/>
      <c r="U154" s="404"/>
      <c r="V154" s="404"/>
      <c r="Y154" s="404"/>
      <c r="Z154" s="404"/>
      <c r="AA154" s="404">
        <v>2.13</v>
      </c>
      <c r="AB154" s="404">
        <v>0</v>
      </c>
    </row>
    <row r="155" spans="17:28" x14ac:dyDescent="0.25">
      <c r="Q155" s="404">
        <v>1998</v>
      </c>
      <c r="R155" s="404">
        <v>86</v>
      </c>
      <c r="S155" s="404">
        <v>72.599999999999994</v>
      </c>
      <c r="T155" s="404"/>
      <c r="U155" s="404"/>
      <c r="V155" s="404"/>
    </row>
    <row r="156" spans="17:28" x14ac:dyDescent="0.25">
      <c r="R156" s="3">
        <f>AVERAGE(R142:R155)</f>
        <v>83.984615384615395</v>
      </c>
      <c r="S156" s="3">
        <f>AVERAGE(S142:S155)</f>
        <v>71.3</v>
      </c>
      <c r="T156">
        <f>PERCENTILE(R142:R155,0.9)</f>
        <v>87.44</v>
      </c>
    </row>
    <row r="158" spans="17:28" x14ac:dyDescent="0.25">
      <c r="Q158" s="404"/>
      <c r="R158" s="404"/>
      <c r="S158" s="404"/>
      <c r="T158" s="404"/>
      <c r="U158" s="404"/>
      <c r="V158" s="404"/>
      <c r="W158" s="404"/>
      <c r="Y158" s="404"/>
      <c r="Z158" s="404"/>
      <c r="AA158" s="404"/>
      <c r="AB158" s="404"/>
    </row>
    <row r="159" spans="17:28" x14ac:dyDescent="0.25">
      <c r="Q159" s="404"/>
      <c r="R159" s="404"/>
      <c r="S159" s="404"/>
      <c r="T159" s="404"/>
      <c r="U159" s="404"/>
      <c r="V159" s="404"/>
      <c r="W159" s="404"/>
      <c r="Y159" s="404"/>
      <c r="Z159" s="404"/>
      <c r="AA159" s="404"/>
      <c r="AB159" s="404"/>
    </row>
    <row r="160" spans="17:28" x14ac:dyDescent="0.25">
      <c r="Q160" s="404"/>
      <c r="R160" s="404"/>
      <c r="S160" s="404"/>
      <c r="T160" s="404"/>
      <c r="U160" s="404"/>
      <c r="V160" s="404"/>
      <c r="W160" s="404"/>
      <c r="Y160" s="404"/>
      <c r="Z160" s="404"/>
      <c r="AA160" s="404"/>
      <c r="AB160" s="404"/>
    </row>
    <row r="161" spans="17:28" x14ac:dyDescent="0.25">
      <c r="Q161" s="404"/>
      <c r="R161" s="404"/>
      <c r="S161" s="404"/>
      <c r="T161" s="404"/>
      <c r="U161" s="404"/>
      <c r="V161" s="404"/>
      <c r="W161" s="404"/>
      <c r="Y161" s="404"/>
      <c r="Z161" s="404"/>
      <c r="AA161" s="404"/>
      <c r="AB161" s="404"/>
    </row>
    <row r="162" spans="17:28" x14ac:dyDescent="0.25">
      <c r="Q162" s="404"/>
      <c r="R162" s="404"/>
      <c r="S162" s="404"/>
      <c r="T162" s="404"/>
      <c r="U162" s="404"/>
      <c r="V162" s="404"/>
      <c r="W162" s="404"/>
      <c r="Y162" s="404"/>
      <c r="Z162" s="404"/>
      <c r="AA162" s="404"/>
      <c r="AB162" s="404"/>
    </row>
    <row r="163" spans="17:28" x14ac:dyDescent="0.25">
      <c r="Q163" s="404"/>
      <c r="R163" s="404"/>
      <c r="S163" s="404"/>
      <c r="T163" s="404"/>
      <c r="U163" s="404"/>
      <c r="V163" s="404"/>
      <c r="W163" s="404"/>
      <c r="Y163" s="404"/>
      <c r="Z163" s="404"/>
      <c r="AA163" s="404"/>
      <c r="AB163" s="404"/>
    </row>
    <row r="164" spans="17:28" x14ac:dyDescent="0.25">
      <c r="Q164" s="404"/>
      <c r="R164" s="404"/>
      <c r="S164" s="404"/>
      <c r="T164" s="404"/>
      <c r="U164" s="404"/>
      <c r="V164" s="404"/>
      <c r="W164" s="404"/>
      <c r="Y164" s="404"/>
      <c r="Z164" s="404"/>
      <c r="AA164" s="404"/>
      <c r="AB164" s="404"/>
    </row>
    <row r="165" spans="17:28" x14ac:dyDescent="0.25">
      <c r="Q165" s="404"/>
      <c r="R165" s="404"/>
      <c r="S165" s="404"/>
      <c r="T165" s="404"/>
      <c r="U165" s="404"/>
      <c r="V165" s="404"/>
      <c r="W165" s="404"/>
      <c r="Y165" s="404"/>
      <c r="Z165" s="404"/>
      <c r="AA165" s="404"/>
      <c r="AB165" s="404"/>
    </row>
    <row r="166" spans="17:28" x14ac:dyDescent="0.25">
      <c r="Q166" s="404"/>
      <c r="R166" s="404"/>
      <c r="S166" s="404"/>
      <c r="T166" s="404"/>
      <c r="U166" s="404"/>
      <c r="V166" s="404"/>
      <c r="W166" s="404"/>
      <c r="Y166" s="404"/>
      <c r="Z166" s="404"/>
      <c r="AA166" s="404"/>
      <c r="AB166" s="404"/>
    </row>
    <row r="167" spans="17:28" x14ac:dyDescent="0.25">
      <c r="Q167" s="404"/>
      <c r="R167" s="404"/>
      <c r="S167" s="404"/>
      <c r="T167" s="404"/>
      <c r="U167" s="404"/>
      <c r="V167" s="404"/>
      <c r="W167" s="404"/>
      <c r="Y167" s="404"/>
      <c r="Z167" s="404"/>
      <c r="AA167" s="404"/>
      <c r="AB167" s="404"/>
    </row>
    <row r="168" spans="17:28" x14ac:dyDescent="0.25">
      <c r="Q168" s="404"/>
      <c r="R168" s="404"/>
      <c r="S168" s="404"/>
      <c r="T168" s="404"/>
      <c r="U168" s="404"/>
      <c r="V168" s="404"/>
      <c r="W168" s="404"/>
      <c r="Y168" s="404"/>
      <c r="Z168" s="404"/>
      <c r="AA168" s="404"/>
      <c r="AB168" s="404"/>
    </row>
    <row r="169" spans="17:28" x14ac:dyDescent="0.25">
      <c r="Q169" s="404"/>
      <c r="R169" s="404"/>
      <c r="S169" s="404"/>
      <c r="T169" s="404"/>
      <c r="U169" s="404"/>
      <c r="V169" s="404"/>
      <c r="W169" s="404"/>
      <c r="Y169" s="404"/>
      <c r="Z169" s="404"/>
      <c r="AA169" s="404"/>
      <c r="AB169" s="404"/>
    </row>
    <row r="170" spans="17:28" x14ac:dyDescent="0.25">
      <c r="Q170" s="404"/>
      <c r="R170" s="404"/>
      <c r="S170" s="404"/>
      <c r="T170" s="404"/>
      <c r="U170" s="404"/>
      <c r="V170" s="404"/>
      <c r="W170" s="404"/>
      <c r="Y170" s="404"/>
      <c r="Z170" s="404"/>
      <c r="AA170" s="404"/>
      <c r="AB170" s="404"/>
    </row>
    <row r="171" spans="17:28" x14ac:dyDescent="0.25">
      <c r="Q171" s="404"/>
      <c r="R171" s="404"/>
      <c r="S171" s="404"/>
      <c r="T171" s="404"/>
      <c r="U171" s="404"/>
      <c r="V171" s="404"/>
      <c r="W171" s="404"/>
      <c r="Y171" s="404"/>
      <c r="Z171" s="404"/>
      <c r="AA171" s="404"/>
      <c r="AB171" s="404"/>
    </row>
    <row r="172" spans="17:28" x14ac:dyDescent="0.25">
      <c r="Q172" s="404"/>
      <c r="R172" s="404"/>
      <c r="S172" s="404"/>
      <c r="T172" s="404"/>
      <c r="U172" s="404"/>
      <c r="V172" s="404"/>
      <c r="W172" s="404"/>
    </row>
  </sheetData>
  <mergeCells count="37">
    <mergeCell ref="Q116:AP116"/>
    <mergeCell ref="H9:J9"/>
    <mergeCell ref="H1:K1"/>
    <mergeCell ref="H5:K5"/>
    <mergeCell ref="D1:E1"/>
    <mergeCell ref="AF63:AG63"/>
    <mergeCell ref="AH63:AI63"/>
    <mergeCell ref="AJ63:AK63"/>
    <mergeCell ref="AL63:AM63"/>
    <mergeCell ref="AN63:AO63"/>
    <mergeCell ref="AP63:AQ63"/>
    <mergeCell ref="AN1:AO1"/>
    <mergeCell ref="AP1:AQ1"/>
    <mergeCell ref="Q54:AP54"/>
    <mergeCell ref="R63:S63"/>
    <mergeCell ref="T63:U63"/>
    <mergeCell ref="V63:W63"/>
    <mergeCell ref="X63:Y63"/>
    <mergeCell ref="Z63:AA63"/>
    <mergeCell ref="AB63:AC63"/>
    <mergeCell ref="AD63:AE63"/>
    <mergeCell ref="A1:C1"/>
    <mergeCell ref="R1:S1"/>
    <mergeCell ref="T1:U1"/>
    <mergeCell ref="V1:W1"/>
    <mergeCell ref="X1:Y1"/>
    <mergeCell ref="I38:J38"/>
    <mergeCell ref="H38:H39"/>
    <mergeCell ref="L16:O16"/>
    <mergeCell ref="L21:O21"/>
    <mergeCell ref="AL1:AM1"/>
    <mergeCell ref="Z1:AA1"/>
    <mergeCell ref="AB1:AC1"/>
    <mergeCell ref="AD1:AE1"/>
    <mergeCell ref="AF1:AG1"/>
    <mergeCell ref="AH1:AI1"/>
    <mergeCell ref="AJ1:AK1"/>
  </mergeCell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L59"/>
  <sheetViews>
    <sheetView topLeftCell="A7" workbookViewId="0">
      <selection activeCell="U58" sqref="U58"/>
    </sheetView>
  </sheetViews>
  <sheetFormatPr defaultRowHeight="12.5" x14ac:dyDescent="0.25"/>
  <cols>
    <col min="2" max="2" width="13" customWidth="1"/>
    <col min="3" max="3" width="12.6328125" customWidth="1"/>
    <col min="4" max="4" width="12.36328125" customWidth="1"/>
    <col min="5" max="5" width="12.6328125" customWidth="1"/>
    <col min="6" max="6" width="13.36328125" customWidth="1"/>
    <col min="7" max="7" width="12.54296875" customWidth="1"/>
    <col min="8" max="8" width="11.90625" customWidth="1"/>
    <col min="9" max="9" width="13.08984375" customWidth="1"/>
    <col min="11" max="11" width="12.6328125" customWidth="1"/>
  </cols>
  <sheetData>
    <row r="1" spans="1:38" ht="15.5" x14ac:dyDescent="0.35">
      <c r="A1" s="788" t="s">
        <v>634</v>
      </c>
      <c r="B1" s="788"/>
      <c r="C1" s="788"/>
      <c r="D1" s="788"/>
      <c r="E1" s="788"/>
      <c r="F1" s="788"/>
      <c r="G1" s="788"/>
      <c r="H1" s="788"/>
      <c r="I1" s="788"/>
      <c r="J1" s="788"/>
      <c r="K1" s="788"/>
      <c r="L1" s="788"/>
      <c r="N1" s="788" t="s">
        <v>580</v>
      </c>
      <c r="O1" s="788"/>
      <c r="P1" s="788"/>
      <c r="Q1" s="788"/>
      <c r="R1" s="788"/>
      <c r="S1" s="788"/>
      <c r="T1" s="788"/>
      <c r="U1" s="788"/>
      <c r="V1" s="788"/>
      <c r="W1" s="788"/>
      <c r="X1" s="788"/>
      <c r="Y1" s="788"/>
      <c r="AA1" s="788" t="s">
        <v>581</v>
      </c>
      <c r="AB1" s="788"/>
      <c r="AC1" s="788"/>
      <c r="AD1" s="788"/>
      <c r="AE1" s="788"/>
      <c r="AF1" s="788"/>
      <c r="AG1" s="788"/>
      <c r="AH1" s="788"/>
      <c r="AI1" s="788"/>
      <c r="AJ1" s="788"/>
      <c r="AK1" s="788"/>
      <c r="AL1" s="788"/>
    </row>
    <row r="2" spans="1:38" ht="13" x14ac:dyDescent="0.25">
      <c r="A2" s="945" t="s">
        <v>96</v>
      </c>
      <c r="B2" s="421" t="s">
        <v>621</v>
      </c>
      <c r="C2" s="421" t="s">
        <v>624</v>
      </c>
      <c r="D2" s="421" t="s">
        <v>625</v>
      </c>
      <c r="E2" s="421" t="s">
        <v>626</v>
      </c>
      <c r="F2" s="421" t="s">
        <v>17</v>
      </c>
      <c r="G2" s="421" t="s">
        <v>17</v>
      </c>
      <c r="H2" s="421" t="s">
        <v>628</v>
      </c>
      <c r="I2" s="421" t="s">
        <v>449</v>
      </c>
      <c r="J2" s="421" t="s">
        <v>449</v>
      </c>
      <c r="K2" s="421" t="s">
        <v>632</v>
      </c>
      <c r="L2" s="421" t="s">
        <v>632</v>
      </c>
      <c r="N2" s="19"/>
      <c r="AA2" s="19"/>
    </row>
    <row r="3" spans="1:38" ht="13" x14ac:dyDescent="0.25">
      <c r="A3" s="945"/>
      <c r="B3" s="421" t="s">
        <v>622</v>
      </c>
      <c r="C3" s="421" t="s">
        <v>622</v>
      </c>
      <c r="D3" s="421" t="s">
        <v>119</v>
      </c>
      <c r="E3" s="421" t="s">
        <v>627</v>
      </c>
      <c r="F3" s="421" t="s">
        <v>119</v>
      </c>
      <c r="G3" s="421" t="s">
        <v>627</v>
      </c>
      <c r="H3" s="421" t="s">
        <v>622</v>
      </c>
      <c r="I3" s="421" t="s">
        <v>629</v>
      </c>
      <c r="J3" s="421" t="s">
        <v>631</v>
      </c>
      <c r="K3" s="421" t="s">
        <v>629</v>
      </c>
      <c r="L3" s="421" t="s">
        <v>631</v>
      </c>
      <c r="N3" s="945" t="s">
        <v>96</v>
      </c>
      <c r="O3" s="421" t="s">
        <v>621</v>
      </c>
      <c r="P3" s="421" t="s">
        <v>624</v>
      </c>
      <c r="Q3" s="421" t="s">
        <v>625</v>
      </c>
      <c r="R3" s="421" t="s">
        <v>626</v>
      </c>
      <c r="S3" s="421" t="s">
        <v>17</v>
      </c>
      <c r="T3" s="421" t="s">
        <v>17</v>
      </c>
      <c r="U3" s="421" t="s">
        <v>628</v>
      </c>
      <c r="V3" s="421" t="s">
        <v>449</v>
      </c>
      <c r="W3" s="421" t="s">
        <v>449</v>
      </c>
      <c r="X3" s="421" t="s">
        <v>632</v>
      </c>
      <c r="Y3" s="421" t="s">
        <v>632</v>
      </c>
      <c r="AA3" s="945" t="s">
        <v>96</v>
      </c>
      <c r="AB3" s="421" t="s">
        <v>621</v>
      </c>
      <c r="AC3" s="421" t="s">
        <v>624</v>
      </c>
      <c r="AD3" s="421" t="s">
        <v>625</v>
      </c>
      <c r="AE3" s="421" t="s">
        <v>626</v>
      </c>
      <c r="AF3" s="421" t="s">
        <v>17</v>
      </c>
      <c r="AG3" s="421" t="s">
        <v>17</v>
      </c>
      <c r="AH3" s="421" t="s">
        <v>628</v>
      </c>
      <c r="AI3" s="421" t="s">
        <v>449</v>
      </c>
      <c r="AJ3" s="421" t="s">
        <v>449</v>
      </c>
      <c r="AK3" s="421" t="s">
        <v>632</v>
      </c>
      <c r="AL3" s="421" t="s">
        <v>632</v>
      </c>
    </row>
    <row r="4" spans="1:38" ht="26.4" customHeight="1" x14ac:dyDescent="0.25">
      <c r="A4" s="945"/>
      <c r="B4" s="421" t="s">
        <v>623</v>
      </c>
      <c r="C4" s="421" t="s">
        <v>623</v>
      </c>
      <c r="D4" s="421" t="s">
        <v>622</v>
      </c>
      <c r="E4" s="421" t="s">
        <v>622</v>
      </c>
      <c r="F4" s="421" t="s">
        <v>622</v>
      </c>
      <c r="G4" s="421" t="s">
        <v>622</v>
      </c>
      <c r="H4" s="421" t="s">
        <v>623</v>
      </c>
      <c r="I4" s="421" t="s">
        <v>630</v>
      </c>
      <c r="J4" s="421" t="s">
        <v>630</v>
      </c>
      <c r="K4" s="421" t="s">
        <v>630</v>
      </c>
      <c r="L4" s="421" t="s">
        <v>630</v>
      </c>
      <c r="N4" s="945"/>
      <c r="O4" s="421" t="s">
        <v>622</v>
      </c>
      <c r="P4" s="421" t="s">
        <v>622</v>
      </c>
      <c r="Q4" s="421" t="s">
        <v>119</v>
      </c>
      <c r="R4" s="421" t="s">
        <v>627</v>
      </c>
      <c r="S4" s="421" t="s">
        <v>119</v>
      </c>
      <c r="T4" s="421" t="s">
        <v>627</v>
      </c>
      <c r="U4" s="421" t="s">
        <v>622</v>
      </c>
      <c r="V4" s="421" t="s">
        <v>629</v>
      </c>
      <c r="W4" s="421" t="s">
        <v>631</v>
      </c>
      <c r="X4" s="421" t="s">
        <v>629</v>
      </c>
      <c r="Y4" s="421" t="s">
        <v>631</v>
      </c>
      <c r="AA4" s="945"/>
      <c r="AB4" s="421" t="s">
        <v>622</v>
      </c>
      <c r="AC4" s="421" t="s">
        <v>622</v>
      </c>
      <c r="AD4" s="421" t="s">
        <v>119</v>
      </c>
      <c r="AE4" s="421" t="s">
        <v>627</v>
      </c>
      <c r="AF4" s="421" t="s">
        <v>119</v>
      </c>
      <c r="AG4" s="421" t="s">
        <v>627</v>
      </c>
      <c r="AH4" s="421" t="s">
        <v>622</v>
      </c>
      <c r="AI4" s="421" t="s">
        <v>629</v>
      </c>
      <c r="AJ4" s="421" t="s">
        <v>631</v>
      </c>
      <c r="AK4" s="421" t="s">
        <v>629</v>
      </c>
      <c r="AL4" s="421" t="s">
        <v>631</v>
      </c>
    </row>
    <row r="5" spans="1:38" ht="26" x14ac:dyDescent="0.25">
      <c r="A5" s="945"/>
      <c r="B5" s="421"/>
      <c r="C5" s="421"/>
      <c r="D5" s="421" t="s">
        <v>623</v>
      </c>
      <c r="E5" s="421" t="s">
        <v>623</v>
      </c>
      <c r="F5" s="421" t="s">
        <v>623</v>
      </c>
      <c r="G5" s="421" t="s">
        <v>623</v>
      </c>
      <c r="H5" s="421"/>
      <c r="I5" s="421"/>
      <c r="J5" s="421"/>
      <c r="K5" s="421"/>
      <c r="L5" s="421"/>
      <c r="N5" s="945"/>
      <c r="O5" s="421" t="s">
        <v>623</v>
      </c>
      <c r="P5" s="421" t="s">
        <v>623</v>
      </c>
      <c r="Q5" s="421" t="s">
        <v>622</v>
      </c>
      <c r="R5" s="421" t="s">
        <v>622</v>
      </c>
      <c r="S5" s="421" t="s">
        <v>622</v>
      </c>
      <c r="T5" s="421" t="s">
        <v>622</v>
      </c>
      <c r="U5" s="421" t="s">
        <v>623</v>
      </c>
      <c r="V5" s="421" t="s">
        <v>630</v>
      </c>
      <c r="W5" s="421" t="s">
        <v>630</v>
      </c>
      <c r="X5" s="421" t="s">
        <v>630</v>
      </c>
      <c r="Y5" s="421" t="s">
        <v>630</v>
      </c>
      <c r="AA5" s="945"/>
      <c r="AB5" s="421" t="s">
        <v>623</v>
      </c>
      <c r="AC5" s="421" t="s">
        <v>623</v>
      </c>
      <c r="AD5" s="421" t="s">
        <v>622</v>
      </c>
      <c r="AE5" s="421" t="s">
        <v>622</v>
      </c>
      <c r="AF5" s="421" t="s">
        <v>622</v>
      </c>
      <c r="AG5" s="421" t="s">
        <v>622</v>
      </c>
      <c r="AH5" s="421" t="s">
        <v>623</v>
      </c>
      <c r="AI5" s="421" t="s">
        <v>630</v>
      </c>
      <c r="AJ5" s="421" t="s">
        <v>630</v>
      </c>
      <c r="AK5" s="421" t="s">
        <v>630</v>
      </c>
      <c r="AL5" s="421" t="s">
        <v>630</v>
      </c>
    </row>
    <row r="6" spans="1:38" ht="13" x14ac:dyDescent="0.25">
      <c r="A6" s="404">
        <v>2011</v>
      </c>
      <c r="B6" s="404">
        <v>36</v>
      </c>
      <c r="C6" s="404">
        <v>88</v>
      </c>
      <c r="D6" s="404">
        <v>51</v>
      </c>
      <c r="E6" s="404">
        <v>58</v>
      </c>
      <c r="F6" s="404">
        <v>41.8</v>
      </c>
      <c r="G6" s="404">
        <v>76.3</v>
      </c>
      <c r="H6" s="404">
        <v>59</v>
      </c>
      <c r="I6" s="404">
        <v>1.75</v>
      </c>
      <c r="J6" s="404">
        <v>0</v>
      </c>
      <c r="K6" s="404">
        <v>1.54</v>
      </c>
      <c r="L6" s="404">
        <v>0</v>
      </c>
      <c r="N6" s="945"/>
      <c r="O6" s="421"/>
      <c r="P6" s="421"/>
      <c r="Q6" s="421" t="s">
        <v>623</v>
      </c>
      <c r="R6" s="421" t="s">
        <v>623</v>
      </c>
      <c r="S6" s="421" t="s">
        <v>623</v>
      </c>
      <c r="T6" s="421" t="s">
        <v>623</v>
      </c>
      <c r="U6" s="421"/>
      <c r="V6" s="421"/>
      <c r="W6" s="421"/>
      <c r="X6" s="421"/>
      <c r="Y6" s="421"/>
      <c r="AA6" s="945"/>
      <c r="AB6" s="421"/>
      <c r="AC6" s="421"/>
      <c r="AD6" s="421" t="s">
        <v>623</v>
      </c>
      <c r="AE6" s="421" t="s">
        <v>623</v>
      </c>
      <c r="AF6" s="421" t="s">
        <v>623</v>
      </c>
      <c r="AG6" s="421" t="s">
        <v>623</v>
      </c>
      <c r="AH6" s="421"/>
      <c r="AI6" s="421"/>
      <c r="AJ6" s="421"/>
      <c r="AK6" s="421"/>
      <c r="AL6" s="421"/>
    </row>
    <row r="7" spans="1:38" x14ac:dyDescent="0.25">
      <c r="A7" s="404">
        <v>2010</v>
      </c>
      <c r="B7" s="404">
        <v>34</v>
      </c>
      <c r="C7" s="404">
        <v>89</v>
      </c>
      <c r="D7" s="404">
        <v>55</v>
      </c>
      <c r="E7" s="404">
        <v>46</v>
      </c>
      <c r="F7" s="404">
        <v>43.9</v>
      </c>
      <c r="G7" s="404">
        <v>75.5</v>
      </c>
      <c r="H7" s="404">
        <v>59.7</v>
      </c>
      <c r="I7" s="404">
        <v>1.85</v>
      </c>
      <c r="J7" s="404">
        <v>0</v>
      </c>
      <c r="K7" s="404">
        <v>0.86</v>
      </c>
      <c r="L7" s="404">
        <v>0</v>
      </c>
      <c r="N7" s="404">
        <v>2011</v>
      </c>
      <c r="O7" s="404">
        <v>45</v>
      </c>
      <c r="P7" s="404">
        <v>90</v>
      </c>
      <c r="Q7" s="404">
        <v>55</v>
      </c>
      <c r="R7" s="404">
        <v>76</v>
      </c>
      <c r="S7" s="404">
        <v>51</v>
      </c>
      <c r="T7" s="404">
        <v>81.8</v>
      </c>
      <c r="U7" s="404">
        <v>66.400000000000006</v>
      </c>
      <c r="V7" s="404">
        <v>4.87</v>
      </c>
      <c r="W7" s="404">
        <v>0</v>
      </c>
      <c r="X7" s="404">
        <v>1.04</v>
      </c>
      <c r="Y7" s="404">
        <v>0</v>
      </c>
      <c r="AA7" s="404">
        <v>2011</v>
      </c>
      <c r="AB7" s="404">
        <v>43</v>
      </c>
      <c r="AC7" s="404">
        <v>90</v>
      </c>
      <c r="AD7" s="404">
        <v>53</v>
      </c>
      <c r="AE7" s="404">
        <v>76</v>
      </c>
      <c r="AF7" s="404">
        <v>48.4</v>
      </c>
      <c r="AG7" s="404">
        <v>83.2</v>
      </c>
      <c r="AH7" s="404">
        <v>65.8</v>
      </c>
      <c r="AI7" s="404">
        <v>1.19</v>
      </c>
      <c r="AJ7" s="404">
        <v>0</v>
      </c>
      <c r="AK7" s="404">
        <v>0.5</v>
      </c>
      <c r="AL7" s="404">
        <v>0</v>
      </c>
    </row>
    <row r="8" spans="1:38" x14ac:dyDescent="0.25">
      <c r="A8" s="404">
        <v>2009</v>
      </c>
      <c r="B8" s="404">
        <v>35</v>
      </c>
      <c r="C8" s="404">
        <v>81</v>
      </c>
      <c r="D8" s="404">
        <v>53</v>
      </c>
      <c r="E8" s="404">
        <v>46</v>
      </c>
      <c r="F8" s="404">
        <v>42.8</v>
      </c>
      <c r="G8" s="404">
        <v>70.3</v>
      </c>
      <c r="H8" s="404">
        <v>56.5</v>
      </c>
      <c r="I8" s="404">
        <v>3.98</v>
      </c>
      <c r="J8" s="404">
        <v>0</v>
      </c>
      <c r="K8" s="404">
        <v>1.01</v>
      </c>
      <c r="L8" s="404">
        <v>0</v>
      </c>
      <c r="N8" s="404">
        <v>2010</v>
      </c>
      <c r="O8" s="404">
        <v>41</v>
      </c>
      <c r="P8" s="404">
        <v>92</v>
      </c>
      <c r="Q8" s="404">
        <v>57</v>
      </c>
      <c r="R8" s="404">
        <v>56</v>
      </c>
      <c r="S8" s="404">
        <v>49.5</v>
      </c>
      <c r="T8" s="404">
        <v>81.2</v>
      </c>
      <c r="U8" s="404">
        <v>65.400000000000006</v>
      </c>
      <c r="V8" s="404">
        <v>1.9</v>
      </c>
      <c r="W8" s="404">
        <v>0</v>
      </c>
      <c r="X8" s="404">
        <v>0.38</v>
      </c>
      <c r="Y8" s="404">
        <v>0</v>
      </c>
      <c r="AA8" s="404">
        <v>2010</v>
      </c>
      <c r="AB8" s="404">
        <v>42</v>
      </c>
      <c r="AC8" s="404">
        <v>88</v>
      </c>
      <c r="AD8" s="404">
        <v>60</v>
      </c>
      <c r="AE8" s="404">
        <v>70</v>
      </c>
      <c r="AF8" s="404">
        <v>48.1</v>
      </c>
      <c r="AG8" s="404">
        <v>80.400000000000006</v>
      </c>
      <c r="AH8" s="404">
        <v>64.2</v>
      </c>
      <c r="AI8" s="404">
        <v>2.4700000000000002</v>
      </c>
      <c r="AJ8" s="404">
        <v>0</v>
      </c>
      <c r="AK8" s="404">
        <v>0.77</v>
      </c>
      <c r="AL8" s="404">
        <v>0</v>
      </c>
    </row>
    <row r="9" spans="1:38" x14ac:dyDescent="0.25">
      <c r="A9" s="404">
        <v>2008</v>
      </c>
      <c r="B9" s="404">
        <v>31</v>
      </c>
      <c r="C9" s="404">
        <v>84</v>
      </c>
      <c r="D9" s="404">
        <v>47</v>
      </c>
      <c r="E9" s="404">
        <v>59</v>
      </c>
      <c r="F9" s="404">
        <v>40.6</v>
      </c>
      <c r="G9" s="404">
        <v>76.3</v>
      </c>
      <c r="H9" s="404">
        <v>58.5</v>
      </c>
      <c r="I9" s="404">
        <v>0.56000000000000005</v>
      </c>
      <c r="J9" s="404">
        <v>0</v>
      </c>
      <c r="K9" s="404">
        <v>0.42</v>
      </c>
      <c r="L9" s="404">
        <v>0</v>
      </c>
      <c r="N9" s="404">
        <v>2009</v>
      </c>
      <c r="O9" s="404">
        <v>43</v>
      </c>
      <c r="P9" s="404">
        <v>87</v>
      </c>
      <c r="Q9" s="404">
        <v>54</v>
      </c>
      <c r="R9" s="404">
        <v>58</v>
      </c>
      <c r="S9" s="404">
        <v>47.3</v>
      </c>
      <c r="T9" s="404">
        <v>77.599999999999994</v>
      </c>
      <c r="U9" s="404">
        <v>62.5</v>
      </c>
      <c r="V9" s="404">
        <v>2.56</v>
      </c>
      <c r="W9" s="404">
        <v>0</v>
      </c>
      <c r="X9" s="404">
        <v>0.49</v>
      </c>
      <c r="Y9" s="404">
        <v>0</v>
      </c>
      <c r="AA9" s="404">
        <v>2009</v>
      </c>
      <c r="AB9" s="404">
        <v>39</v>
      </c>
      <c r="AC9" s="404">
        <v>89</v>
      </c>
      <c r="AD9" s="404">
        <v>53</v>
      </c>
      <c r="AE9" s="404">
        <v>66</v>
      </c>
      <c r="AF9" s="404">
        <v>44.9</v>
      </c>
      <c r="AG9" s="404">
        <v>77.8</v>
      </c>
      <c r="AH9" s="404">
        <v>61.4</v>
      </c>
      <c r="AI9" s="404">
        <v>0.71</v>
      </c>
      <c r="AJ9" s="404">
        <v>0</v>
      </c>
      <c r="AK9" s="404">
        <v>0.15</v>
      </c>
      <c r="AL9" s="404">
        <v>0</v>
      </c>
    </row>
    <row r="10" spans="1:38" x14ac:dyDescent="0.25">
      <c r="A10" s="404">
        <v>2007</v>
      </c>
      <c r="B10" s="404">
        <v>30</v>
      </c>
      <c r="C10" s="404">
        <v>90</v>
      </c>
      <c r="D10" s="404">
        <v>49</v>
      </c>
      <c r="E10" s="404">
        <v>60</v>
      </c>
      <c r="F10" s="404">
        <v>42.2</v>
      </c>
      <c r="G10" s="404">
        <v>75.8</v>
      </c>
      <c r="H10" s="404">
        <v>59</v>
      </c>
      <c r="I10" s="404">
        <v>0.73</v>
      </c>
      <c r="J10" s="404">
        <v>0</v>
      </c>
      <c r="K10" s="404">
        <v>0.57999999999999996</v>
      </c>
      <c r="L10" s="404">
        <v>0</v>
      </c>
      <c r="N10" s="404">
        <v>2008</v>
      </c>
      <c r="O10" s="404">
        <v>43</v>
      </c>
      <c r="P10" s="404">
        <v>91</v>
      </c>
      <c r="Q10" s="404">
        <v>55</v>
      </c>
      <c r="R10" s="404">
        <v>74</v>
      </c>
      <c r="S10" s="404">
        <v>48.7</v>
      </c>
      <c r="T10" s="404">
        <v>84.3</v>
      </c>
      <c r="U10" s="404">
        <v>66.5</v>
      </c>
      <c r="V10" s="404">
        <v>0.35</v>
      </c>
      <c r="W10" s="404">
        <v>0</v>
      </c>
      <c r="X10" s="404">
        <v>0.15</v>
      </c>
      <c r="Y10" s="404">
        <v>0</v>
      </c>
      <c r="AA10" s="404">
        <v>2008</v>
      </c>
      <c r="AB10" s="404">
        <v>42</v>
      </c>
      <c r="AC10" s="404">
        <v>93</v>
      </c>
      <c r="AD10" s="404">
        <v>54</v>
      </c>
      <c r="AE10" s="404">
        <v>49</v>
      </c>
      <c r="AF10" s="404">
        <v>46.9</v>
      </c>
      <c r="AG10" s="404">
        <v>78.5</v>
      </c>
      <c r="AH10" s="404">
        <v>62.7</v>
      </c>
      <c r="AI10" s="404">
        <v>2.79</v>
      </c>
      <c r="AJ10" s="404">
        <v>0</v>
      </c>
      <c r="AK10" s="404">
        <v>0.95</v>
      </c>
      <c r="AL10" s="404">
        <v>0</v>
      </c>
    </row>
    <row r="11" spans="1:38" x14ac:dyDescent="0.25">
      <c r="A11" s="404">
        <v>2006</v>
      </c>
      <c r="B11" s="404">
        <v>38</v>
      </c>
      <c r="C11" s="404">
        <v>91</v>
      </c>
      <c r="D11" s="404">
        <v>52</v>
      </c>
      <c r="E11" s="404">
        <v>65</v>
      </c>
      <c r="F11" s="404">
        <v>44.5</v>
      </c>
      <c r="G11" s="404">
        <v>79.3</v>
      </c>
      <c r="H11" s="404">
        <v>61.9</v>
      </c>
      <c r="I11" s="404">
        <v>1.08</v>
      </c>
      <c r="J11" s="404">
        <v>0</v>
      </c>
      <c r="K11" s="404">
        <v>0.45</v>
      </c>
      <c r="L11" s="404">
        <v>0</v>
      </c>
      <c r="N11" s="404">
        <v>2007</v>
      </c>
      <c r="O11" s="404">
        <v>44</v>
      </c>
      <c r="P11" s="404">
        <v>90</v>
      </c>
      <c r="Q11" s="404">
        <v>57</v>
      </c>
      <c r="R11" s="404">
        <v>73</v>
      </c>
      <c r="S11" s="404">
        <v>50.3</v>
      </c>
      <c r="T11" s="404">
        <v>82.9</v>
      </c>
      <c r="U11" s="404">
        <v>66.599999999999994</v>
      </c>
      <c r="V11" s="404">
        <v>1.28</v>
      </c>
      <c r="W11" s="404">
        <v>0</v>
      </c>
      <c r="X11" s="404">
        <v>0.62</v>
      </c>
      <c r="Y11" s="404">
        <v>0</v>
      </c>
      <c r="AA11" s="404">
        <v>2007</v>
      </c>
      <c r="AB11" s="404" t="s">
        <v>633</v>
      </c>
      <c r="AC11" s="404" t="s">
        <v>633</v>
      </c>
      <c r="AD11" s="404" t="s">
        <v>633</v>
      </c>
      <c r="AE11" s="404" t="s">
        <v>633</v>
      </c>
      <c r="AF11" s="404" t="s">
        <v>633</v>
      </c>
      <c r="AG11" s="404" t="s">
        <v>633</v>
      </c>
      <c r="AH11" s="404" t="s">
        <v>633</v>
      </c>
      <c r="AI11" s="404">
        <v>2.12</v>
      </c>
      <c r="AJ11" s="404">
        <v>0</v>
      </c>
      <c r="AK11" s="404">
        <v>0.48</v>
      </c>
      <c r="AL11" s="404">
        <v>0</v>
      </c>
    </row>
    <row r="12" spans="1:38" x14ac:dyDescent="0.25">
      <c r="A12" s="404">
        <v>2005</v>
      </c>
      <c r="B12" s="404">
        <v>32</v>
      </c>
      <c r="C12" s="404">
        <v>85</v>
      </c>
      <c r="D12" s="404">
        <v>51</v>
      </c>
      <c r="E12" s="404">
        <v>51</v>
      </c>
      <c r="F12" s="404">
        <v>42.7</v>
      </c>
      <c r="G12" s="404">
        <v>74.2</v>
      </c>
      <c r="H12" s="404">
        <v>58.4</v>
      </c>
      <c r="I12" s="404">
        <v>2.23</v>
      </c>
      <c r="J12" s="404">
        <v>0</v>
      </c>
      <c r="K12" s="404">
        <v>0.63</v>
      </c>
      <c r="L12" s="404">
        <v>0</v>
      </c>
      <c r="N12" s="404">
        <v>2006</v>
      </c>
      <c r="O12" s="404">
        <v>46</v>
      </c>
      <c r="P12" s="404">
        <v>93</v>
      </c>
      <c r="Q12" s="404">
        <v>59</v>
      </c>
      <c r="R12" s="404">
        <v>58</v>
      </c>
      <c r="S12" s="404">
        <v>50.5</v>
      </c>
      <c r="T12" s="404">
        <v>81.7</v>
      </c>
      <c r="U12" s="404">
        <v>66.099999999999994</v>
      </c>
      <c r="V12" s="404">
        <v>4.0199999999999996</v>
      </c>
      <c r="W12" s="404">
        <v>0</v>
      </c>
      <c r="X12" s="404">
        <v>1.36</v>
      </c>
      <c r="Y12" s="404">
        <v>0</v>
      </c>
      <c r="AA12" s="404">
        <v>2006</v>
      </c>
      <c r="AB12" s="404">
        <v>39</v>
      </c>
      <c r="AC12" s="404">
        <v>85</v>
      </c>
      <c r="AD12" s="404">
        <v>60</v>
      </c>
      <c r="AE12" s="404">
        <v>66</v>
      </c>
      <c r="AF12" s="404">
        <v>49.3</v>
      </c>
      <c r="AG12" s="404">
        <v>78.099999999999994</v>
      </c>
      <c r="AH12" s="404">
        <v>63.7</v>
      </c>
      <c r="AI12" s="404">
        <v>1.4</v>
      </c>
      <c r="AJ12" s="404">
        <v>0</v>
      </c>
      <c r="AK12" s="404">
        <v>0.28000000000000003</v>
      </c>
      <c r="AL12" s="404">
        <v>0</v>
      </c>
    </row>
    <row r="13" spans="1:38" x14ac:dyDescent="0.25">
      <c r="A13" s="404">
        <v>2004</v>
      </c>
      <c r="B13" s="404">
        <v>32</v>
      </c>
      <c r="C13" s="404">
        <v>91</v>
      </c>
      <c r="D13" s="404">
        <v>55</v>
      </c>
      <c r="E13" s="404">
        <v>52</v>
      </c>
      <c r="F13" s="404">
        <v>41.9</v>
      </c>
      <c r="G13" s="404">
        <v>71.900000000000006</v>
      </c>
      <c r="H13" s="404">
        <v>56.9</v>
      </c>
      <c r="I13" s="404">
        <v>3.08</v>
      </c>
      <c r="J13" s="404">
        <v>0</v>
      </c>
      <c r="K13" s="404">
        <v>0.79</v>
      </c>
      <c r="L13" s="404">
        <v>0</v>
      </c>
      <c r="N13" s="404">
        <v>2005</v>
      </c>
      <c r="O13" s="404">
        <v>41</v>
      </c>
      <c r="P13" s="404">
        <v>94</v>
      </c>
      <c r="Q13" s="404">
        <v>58</v>
      </c>
      <c r="R13" s="404">
        <v>64</v>
      </c>
      <c r="S13" s="404">
        <v>48.6</v>
      </c>
      <c r="T13" s="404">
        <v>85.5</v>
      </c>
      <c r="U13" s="404">
        <v>67</v>
      </c>
      <c r="V13" s="404">
        <v>0.82</v>
      </c>
      <c r="W13" s="404">
        <v>0</v>
      </c>
      <c r="X13" s="404">
        <v>0.46</v>
      </c>
      <c r="Y13" s="404">
        <v>0</v>
      </c>
      <c r="AA13" s="404">
        <v>2005</v>
      </c>
      <c r="AB13" s="404">
        <v>39</v>
      </c>
      <c r="AC13" s="404">
        <v>87</v>
      </c>
      <c r="AD13" s="404">
        <v>56</v>
      </c>
      <c r="AE13" s="404">
        <v>58</v>
      </c>
      <c r="AF13" s="404">
        <v>45.6</v>
      </c>
      <c r="AG13" s="404">
        <v>77.7</v>
      </c>
      <c r="AH13" s="404">
        <v>61.7</v>
      </c>
      <c r="AI13" s="404">
        <v>3.6</v>
      </c>
      <c r="AJ13" s="404">
        <v>0</v>
      </c>
      <c r="AK13" s="404">
        <v>1.1100000000000001</v>
      </c>
      <c r="AL13" s="404">
        <v>0</v>
      </c>
    </row>
    <row r="14" spans="1:38" x14ac:dyDescent="0.25">
      <c r="A14" s="404">
        <v>2003</v>
      </c>
      <c r="B14" s="404">
        <v>31</v>
      </c>
      <c r="C14" s="404">
        <v>82</v>
      </c>
      <c r="D14" s="404">
        <v>52</v>
      </c>
      <c r="E14" s="404">
        <v>57</v>
      </c>
      <c r="F14" s="404">
        <v>41.7</v>
      </c>
      <c r="G14" s="404">
        <v>71.3</v>
      </c>
      <c r="H14" s="404">
        <v>56.5</v>
      </c>
      <c r="I14" s="404">
        <v>1.93</v>
      </c>
      <c r="J14" s="404">
        <v>0</v>
      </c>
      <c r="K14" s="404">
        <v>0.36</v>
      </c>
      <c r="L14" s="404">
        <v>0</v>
      </c>
      <c r="N14" s="404">
        <v>2004</v>
      </c>
      <c r="O14" s="404">
        <v>42</v>
      </c>
      <c r="P14" s="404">
        <v>91</v>
      </c>
      <c r="Q14" s="404">
        <v>56</v>
      </c>
      <c r="R14" s="404">
        <v>54</v>
      </c>
      <c r="S14" s="404">
        <v>46.4</v>
      </c>
      <c r="T14" s="404">
        <v>77.900000000000006</v>
      </c>
      <c r="U14" s="404">
        <v>62.1</v>
      </c>
      <c r="V14" s="404">
        <v>2.79</v>
      </c>
      <c r="W14" s="404">
        <v>0</v>
      </c>
      <c r="X14" s="404">
        <v>0.66</v>
      </c>
      <c r="Y14" s="404">
        <v>0</v>
      </c>
      <c r="AA14" s="404">
        <v>2004</v>
      </c>
      <c r="AB14" s="404">
        <v>34</v>
      </c>
      <c r="AC14" s="404">
        <v>88</v>
      </c>
      <c r="AD14" s="404">
        <v>52</v>
      </c>
      <c r="AE14" s="404">
        <v>59</v>
      </c>
      <c r="AF14" s="404">
        <v>43.4</v>
      </c>
      <c r="AG14" s="404">
        <v>76.3</v>
      </c>
      <c r="AH14" s="404">
        <v>59.8</v>
      </c>
      <c r="AI14" s="404">
        <v>2.64</v>
      </c>
      <c r="AJ14" s="404">
        <v>0</v>
      </c>
      <c r="AK14" s="404">
        <v>0.89</v>
      </c>
      <c r="AL14" s="404">
        <v>0</v>
      </c>
    </row>
    <row r="15" spans="1:38" x14ac:dyDescent="0.25">
      <c r="A15" s="404">
        <v>2002</v>
      </c>
      <c r="B15" s="404">
        <v>33</v>
      </c>
      <c r="C15" s="404">
        <v>94</v>
      </c>
      <c r="D15" s="404">
        <v>49</v>
      </c>
      <c r="E15" s="404">
        <v>53</v>
      </c>
      <c r="F15" s="404">
        <v>42.2</v>
      </c>
      <c r="G15" s="404">
        <v>82.2</v>
      </c>
      <c r="H15" s="404">
        <v>62.2</v>
      </c>
      <c r="I15" s="404">
        <v>0.66</v>
      </c>
      <c r="J15" s="404">
        <v>0</v>
      </c>
      <c r="K15" s="404">
        <v>0.28999999999999998</v>
      </c>
      <c r="L15" s="404">
        <v>0</v>
      </c>
      <c r="N15" s="404">
        <v>2003</v>
      </c>
      <c r="O15" s="404">
        <v>42</v>
      </c>
      <c r="P15" s="404">
        <v>96</v>
      </c>
      <c r="Q15" s="404">
        <v>55</v>
      </c>
      <c r="R15" s="404">
        <v>77</v>
      </c>
      <c r="S15" s="404">
        <v>47.5</v>
      </c>
      <c r="T15" s="404">
        <v>88.3</v>
      </c>
      <c r="U15" s="404">
        <v>67.900000000000006</v>
      </c>
      <c r="V15" s="404">
        <v>0.48</v>
      </c>
      <c r="W15" s="404">
        <v>0</v>
      </c>
      <c r="X15" s="404">
        <v>0.24</v>
      </c>
      <c r="Y15" s="404">
        <v>0</v>
      </c>
      <c r="AA15" s="404">
        <v>2003</v>
      </c>
      <c r="AB15" s="404">
        <v>40</v>
      </c>
      <c r="AC15" s="404">
        <v>90</v>
      </c>
      <c r="AD15" s="404">
        <v>54</v>
      </c>
      <c r="AE15" s="404">
        <v>63</v>
      </c>
      <c r="AF15" s="404">
        <v>47.7</v>
      </c>
      <c r="AG15" s="404">
        <v>83.9</v>
      </c>
      <c r="AH15" s="404">
        <v>65.8</v>
      </c>
      <c r="AI15" s="404">
        <v>2.7</v>
      </c>
      <c r="AJ15" s="404">
        <v>0</v>
      </c>
      <c r="AK15" s="404">
        <v>0.71</v>
      </c>
      <c r="AL15" s="404">
        <v>0</v>
      </c>
    </row>
    <row r="16" spans="1:38" x14ac:dyDescent="0.25">
      <c r="A16" s="404">
        <v>2001</v>
      </c>
      <c r="B16" s="404">
        <v>28</v>
      </c>
      <c r="C16" s="404">
        <v>89</v>
      </c>
      <c r="D16" s="404">
        <v>51</v>
      </c>
      <c r="E16" s="404">
        <v>58</v>
      </c>
      <c r="F16" s="404">
        <v>42.4</v>
      </c>
      <c r="G16" s="404">
        <v>79.3</v>
      </c>
      <c r="H16" s="404">
        <v>60.9</v>
      </c>
      <c r="I16" s="404">
        <v>0.85</v>
      </c>
      <c r="J16" s="404">
        <v>0</v>
      </c>
      <c r="K16" s="404">
        <v>0.52</v>
      </c>
      <c r="L16" s="404">
        <v>0</v>
      </c>
      <c r="N16" s="404">
        <v>2002</v>
      </c>
      <c r="O16" s="404">
        <v>42</v>
      </c>
      <c r="P16" s="404">
        <v>94</v>
      </c>
      <c r="Q16" s="404">
        <v>59</v>
      </c>
      <c r="R16" s="404">
        <v>75</v>
      </c>
      <c r="S16" s="404">
        <v>48.2</v>
      </c>
      <c r="T16" s="404">
        <v>87.5</v>
      </c>
      <c r="U16" s="404">
        <v>67.900000000000006</v>
      </c>
      <c r="V16" s="404">
        <v>0.39</v>
      </c>
      <c r="W16" s="404">
        <v>0</v>
      </c>
      <c r="X16" s="404">
        <v>0.24</v>
      </c>
      <c r="Y16" s="404">
        <v>0</v>
      </c>
      <c r="AA16" s="404">
        <v>2002</v>
      </c>
      <c r="AB16" s="404">
        <v>36</v>
      </c>
      <c r="AC16" s="404">
        <v>94</v>
      </c>
      <c r="AD16" s="404">
        <v>53</v>
      </c>
      <c r="AE16" s="404">
        <v>70</v>
      </c>
      <c r="AF16" s="404">
        <v>44.6</v>
      </c>
      <c r="AG16" s="404">
        <v>82.4</v>
      </c>
      <c r="AH16" s="404">
        <v>63.5</v>
      </c>
      <c r="AI16" s="404">
        <v>1.97</v>
      </c>
      <c r="AJ16" s="404">
        <v>0</v>
      </c>
      <c r="AK16" s="404">
        <v>0.51</v>
      </c>
      <c r="AL16" s="404">
        <v>0</v>
      </c>
    </row>
    <row r="17" spans="1:38" x14ac:dyDescent="0.25">
      <c r="A17" s="404">
        <v>2000</v>
      </c>
      <c r="B17" s="404">
        <v>30</v>
      </c>
      <c r="C17" s="404">
        <v>91</v>
      </c>
      <c r="D17" s="404">
        <v>50</v>
      </c>
      <c r="E17" s="404">
        <v>49</v>
      </c>
      <c r="F17" s="404">
        <v>41</v>
      </c>
      <c r="G17" s="404">
        <v>78.5</v>
      </c>
      <c r="H17" s="404">
        <v>59.8</v>
      </c>
      <c r="I17" s="404">
        <v>0.65</v>
      </c>
      <c r="J17" s="404">
        <v>0</v>
      </c>
      <c r="K17" s="404">
        <v>0.24</v>
      </c>
      <c r="L17" s="404">
        <v>0</v>
      </c>
      <c r="N17" s="404">
        <v>2001</v>
      </c>
      <c r="O17" s="404">
        <v>43</v>
      </c>
      <c r="P17" s="404">
        <v>93</v>
      </c>
      <c r="Q17" s="404">
        <v>58</v>
      </c>
      <c r="R17" s="404">
        <v>72</v>
      </c>
      <c r="S17" s="404">
        <v>49.9</v>
      </c>
      <c r="T17" s="404">
        <v>85.7</v>
      </c>
      <c r="U17" s="404">
        <v>67.8</v>
      </c>
      <c r="V17" s="404">
        <v>3.06</v>
      </c>
      <c r="W17" s="404">
        <v>0</v>
      </c>
      <c r="X17" s="404">
        <v>1.1399999999999999</v>
      </c>
      <c r="Y17" s="404">
        <v>0</v>
      </c>
      <c r="AA17" s="404">
        <v>2001</v>
      </c>
      <c r="AB17" s="404">
        <v>43</v>
      </c>
      <c r="AC17" s="404">
        <v>96</v>
      </c>
      <c r="AD17" s="404">
        <v>57</v>
      </c>
      <c r="AE17" s="404">
        <v>67</v>
      </c>
      <c r="AF17" s="404">
        <v>49.3</v>
      </c>
      <c r="AG17" s="404">
        <v>85.8</v>
      </c>
      <c r="AH17" s="404">
        <v>67.599999999999994</v>
      </c>
      <c r="AI17" s="404">
        <v>3.06</v>
      </c>
      <c r="AJ17" s="404">
        <v>0</v>
      </c>
      <c r="AK17" s="404">
        <v>1.1399999999999999</v>
      </c>
      <c r="AL17" s="404">
        <v>0</v>
      </c>
    </row>
    <row r="18" spans="1:38" x14ac:dyDescent="0.25">
      <c r="A18" s="404">
        <v>1999</v>
      </c>
      <c r="B18" s="404">
        <v>27</v>
      </c>
      <c r="C18" s="404">
        <v>88</v>
      </c>
      <c r="D18" s="404">
        <v>47</v>
      </c>
      <c r="E18" s="404">
        <v>58</v>
      </c>
      <c r="F18" s="404">
        <v>40.299999999999997</v>
      </c>
      <c r="G18" s="404">
        <v>74.900000000000006</v>
      </c>
      <c r="H18" s="404">
        <v>57.6</v>
      </c>
      <c r="I18" s="404">
        <v>1.82</v>
      </c>
      <c r="J18" s="404">
        <v>0</v>
      </c>
      <c r="K18" s="404">
        <v>0.65</v>
      </c>
      <c r="L18" s="404">
        <v>0</v>
      </c>
      <c r="N18" s="404">
        <v>2000</v>
      </c>
      <c r="O18" s="404">
        <v>42</v>
      </c>
      <c r="P18" s="404">
        <v>95</v>
      </c>
      <c r="Q18" s="404">
        <v>56</v>
      </c>
      <c r="R18" s="404">
        <v>74</v>
      </c>
      <c r="S18" s="404">
        <v>48.4</v>
      </c>
      <c r="T18" s="404">
        <v>86.1</v>
      </c>
      <c r="U18" s="404">
        <v>67.2</v>
      </c>
      <c r="V18" s="404">
        <v>1.64</v>
      </c>
      <c r="W18" s="404">
        <v>0</v>
      </c>
      <c r="X18" s="404">
        <v>0.91</v>
      </c>
      <c r="Y18" s="404">
        <v>0</v>
      </c>
      <c r="AA18" s="404">
        <v>2000</v>
      </c>
      <c r="AB18" s="404">
        <v>42</v>
      </c>
      <c r="AC18" s="404">
        <v>91</v>
      </c>
      <c r="AD18" s="404">
        <v>58</v>
      </c>
      <c r="AE18" s="404">
        <v>73</v>
      </c>
      <c r="AF18" s="404">
        <v>49.1</v>
      </c>
      <c r="AG18" s="404">
        <v>84</v>
      </c>
      <c r="AH18" s="404">
        <v>66.599999999999994</v>
      </c>
      <c r="AI18" s="404">
        <v>3.25</v>
      </c>
      <c r="AJ18" s="404">
        <v>0</v>
      </c>
      <c r="AK18" s="404">
        <v>0.78</v>
      </c>
      <c r="AL18" s="404">
        <v>0</v>
      </c>
    </row>
    <row r="19" spans="1:38" x14ac:dyDescent="0.25">
      <c r="A19" s="404">
        <v>1998</v>
      </c>
      <c r="B19" s="404">
        <v>30</v>
      </c>
      <c r="C19" s="404">
        <v>91</v>
      </c>
      <c r="D19" s="404">
        <v>51</v>
      </c>
      <c r="E19" s="404">
        <v>47</v>
      </c>
      <c r="F19" s="404">
        <v>38.9</v>
      </c>
      <c r="G19" s="404">
        <v>73.400000000000006</v>
      </c>
      <c r="H19" s="404">
        <v>56.2</v>
      </c>
      <c r="I19" s="404">
        <v>1.06</v>
      </c>
      <c r="J19" s="404">
        <v>0</v>
      </c>
      <c r="K19" s="404">
        <v>0.24</v>
      </c>
      <c r="L19" s="404">
        <v>0</v>
      </c>
      <c r="N19" s="404">
        <v>1999</v>
      </c>
      <c r="O19" s="404">
        <v>40</v>
      </c>
      <c r="P19" s="404">
        <v>90</v>
      </c>
      <c r="Q19" s="404">
        <v>57</v>
      </c>
      <c r="R19" s="404">
        <v>70</v>
      </c>
      <c r="S19" s="404">
        <v>49.5</v>
      </c>
      <c r="T19" s="404">
        <v>83.4</v>
      </c>
      <c r="U19" s="404">
        <v>66.5</v>
      </c>
      <c r="V19" s="404">
        <v>2.71</v>
      </c>
      <c r="W19" s="404">
        <v>0</v>
      </c>
      <c r="X19" s="404">
        <v>1.2</v>
      </c>
      <c r="Y19" s="404">
        <v>0</v>
      </c>
      <c r="AA19" s="404">
        <v>1999</v>
      </c>
      <c r="AB19" s="404">
        <v>42</v>
      </c>
      <c r="AC19" s="404">
        <v>85</v>
      </c>
      <c r="AD19" s="404">
        <v>54</v>
      </c>
      <c r="AE19" s="404">
        <v>65</v>
      </c>
      <c r="AF19" s="404">
        <v>47.4</v>
      </c>
      <c r="AG19" s="404">
        <v>78.099999999999994</v>
      </c>
      <c r="AH19" s="404">
        <v>62.7</v>
      </c>
      <c r="AI19" s="404">
        <v>4.38</v>
      </c>
      <c r="AJ19" s="404">
        <v>0</v>
      </c>
      <c r="AK19" s="404">
        <v>1.21</v>
      </c>
      <c r="AL19" s="404">
        <v>0</v>
      </c>
    </row>
    <row r="20" spans="1:38" x14ac:dyDescent="0.25">
      <c r="A20" s="404">
        <v>1997</v>
      </c>
      <c r="B20" s="404">
        <v>35</v>
      </c>
      <c r="C20" s="404">
        <v>88</v>
      </c>
      <c r="D20" s="404">
        <v>50</v>
      </c>
      <c r="E20" s="404">
        <v>58</v>
      </c>
      <c r="F20" s="404">
        <v>42.4</v>
      </c>
      <c r="G20" s="404">
        <v>76.2</v>
      </c>
      <c r="H20" s="404">
        <v>59.3</v>
      </c>
      <c r="I20" s="404">
        <v>4.9400000000000004</v>
      </c>
      <c r="J20" s="404">
        <v>0</v>
      </c>
      <c r="K20" s="404">
        <v>2.73</v>
      </c>
      <c r="L20" s="404">
        <v>0</v>
      </c>
      <c r="N20" s="404">
        <v>1998</v>
      </c>
      <c r="O20" s="404">
        <v>40</v>
      </c>
      <c r="P20" s="404">
        <v>95</v>
      </c>
      <c r="Q20" s="404">
        <v>56</v>
      </c>
      <c r="R20" s="404">
        <v>70</v>
      </c>
      <c r="S20" s="404">
        <v>49.5</v>
      </c>
      <c r="T20" s="404">
        <v>82.1</v>
      </c>
      <c r="U20" s="404">
        <v>65.8</v>
      </c>
      <c r="V20" s="404">
        <v>2.0699999999999998</v>
      </c>
      <c r="W20" s="404">
        <v>0</v>
      </c>
      <c r="X20" s="404">
        <v>0.45</v>
      </c>
      <c r="Y20" s="404">
        <v>0</v>
      </c>
      <c r="AA20" s="404">
        <v>1998</v>
      </c>
      <c r="AB20" s="404">
        <v>40</v>
      </c>
      <c r="AC20" s="404">
        <v>89</v>
      </c>
      <c r="AD20" s="404">
        <v>52</v>
      </c>
      <c r="AE20" s="404">
        <v>67</v>
      </c>
      <c r="AF20" s="404">
        <v>46.7</v>
      </c>
      <c r="AG20" s="404">
        <v>80.7</v>
      </c>
      <c r="AH20" s="404">
        <v>63.7</v>
      </c>
      <c r="AI20" s="404">
        <v>2.79</v>
      </c>
      <c r="AJ20" s="404">
        <v>0</v>
      </c>
      <c r="AK20" s="404">
        <v>0.85</v>
      </c>
      <c r="AL20" s="404">
        <v>0</v>
      </c>
    </row>
    <row r="21" spans="1:38" x14ac:dyDescent="0.25">
      <c r="A21" s="404">
        <v>1996</v>
      </c>
      <c r="B21" s="404">
        <v>34</v>
      </c>
      <c r="C21" s="404">
        <v>87</v>
      </c>
      <c r="D21" s="404">
        <v>52</v>
      </c>
      <c r="E21" s="404">
        <v>60</v>
      </c>
      <c r="F21" s="404">
        <v>42.2</v>
      </c>
      <c r="G21" s="404">
        <v>78.599999999999994</v>
      </c>
      <c r="H21" s="404">
        <v>60.4</v>
      </c>
      <c r="I21" s="404">
        <v>1.04</v>
      </c>
      <c r="J21" s="404">
        <v>0</v>
      </c>
      <c r="K21" s="404">
        <v>0.46</v>
      </c>
      <c r="L21" s="404">
        <v>0</v>
      </c>
      <c r="N21" s="404">
        <v>1997</v>
      </c>
      <c r="O21" s="404">
        <v>33</v>
      </c>
      <c r="P21" s="404">
        <v>92</v>
      </c>
      <c r="Q21" s="404">
        <v>55</v>
      </c>
      <c r="R21" s="404">
        <v>67</v>
      </c>
      <c r="S21" s="404">
        <v>44.4</v>
      </c>
      <c r="T21" s="404">
        <v>81.5</v>
      </c>
      <c r="U21" s="404">
        <v>62.9</v>
      </c>
      <c r="V21" s="404">
        <v>1.94</v>
      </c>
      <c r="W21" s="404">
        <v>0</v>
      </c>
      <c r="X21" s="404">
        <v>0.73</v>
      </c>
      <c r="Y21" s="404">
        <v>0</v>
      </c>
      <c r="AA21" s="404">
        <v>1997</v>
      </c>
      <c r="AB21" s="404">
        <v>37</v>
      </c>
      <c r="AC21" s="404">
        <v>87</v>
      </c>
      <c r="AD21" s="404">
        <v>56</v>
      </c>
      <c r="AE21" s="404">
        <v>59</v>
      </c>
      <c r="AF21" s="404">
        <v>46.8</v>
      </c>
      <c r="AG21" s="404">
        <v>77.7</v>
      </c>
      <c r="AH21" s="404">
        <v>62.3</v>
      </c>
      <c r="AI21" s="404">
        <v>3.06</v>
      </c>
      <c r="AJ21" s="404">
        <v>0</v>
      </c>
      <c r="AK21" s="404">
        <v>0.59</v>
      </c>
      <c r="AL21" s="404">
        <v>0</v>
      </c>
    </row>
    <row r="22" spans="1:38" x14ac:dyDescent="0.25">
      <c r="A22" s="404">
        <v>1995</v>
      </c>
      <c r="B22" s="404">
        <v>32</v>
      </c>
      <c r="C22" s="404">
        <v>89</v>
      </c>
      <c r="D22" s="404">
        <v>51</v>
      </c>
      <c r="E22" s="404">
        <v>46</v>
      </c>
      <c r="F22" s="404">
        <v>39.799999999999997</v>
      </c>
      <c r="G22" s="404">
        <v>71.3</v>
      </c>
      <c r="H22" s="404">
        <v>55.6</v>
      </c>
      <c r="I22" s="404">
        <v>4.5599999999999996</v>
      </c>
      <c r="J22" s="404">
        <v>0</v>
      </c>
      <c r="K22" s="404">
        <v>1.22</v>
      </c>
      <c r="L22" s="404">
        <v>0</v>
      </c>
      <c r="N22" s="404">
        <v>1996</v>
      </c>
      <c r="O22" s="404">
        <v>43</v>
      </c>
      <c r="P22" s="404">
        <v>91</v>
      </c>
      <c r="Q22" s="404">
        <v>55</v>
      </c>
      <c r="R22" s="404">
        <v>67</v>
      </c>
      <c r="S22" s="404">
        <v>48</v>
      </c>
      <c r="T22" s="404">
        <v>82</v>
      </c>
      <c r="U22" s="404">
        <v>65</v>
      </c>
      <c r="V22" s="404">
        <v>1.87</v>
      </c>
      <c r="W22" s="404">
        <v>0</v>
      </c>
      <c r="X22" s="404">
        <v>0.54</v>
      </c>
      <c r="Y22" s="404">
        <v>0</v>
      </c>
      <c r="AA22" s="404">
        <v>1996</v>
      </c>
      <c r="AB22" s="404">
        <v>38</v>
      </c>
      <c r="AC22" s="404">
        <v>93</v>
      </c>
      <c r="AD22" s="404">
        <v>51</v>
      </c>
      <c r="AE22" s="404">
        <v>71</v>
      </c>
      <c r="AF22" s="404">
        <v>43.9</v>
      </c>
      <c r="AG22" s="404">
        <v>81.7</v>
      </c>
      <c r="AH22" s="404">
        <v>62.8</v>
      </c>
      <c r="AI22" s="404">
        <v>1.02</v>
      </c>
      <c r="AJ22" s="404">
        <v>0</v>
      </c>
      <c r="AK22" s="404">
        <v>0.16</v>
      </c>
      <c r="AL22" s="404">
        <v>0</v>
      </c>
    </row>
    <row r="23" spans="1:38" x14ac:dyDescent="0.25">
      <c r="A23" s="404">
        <v>1994</v>
      </c>
      <c r="B23" s="404">
        <v>36</v>
      </c>
      <c r="C23" s="404">
        <v>96</v>
      </c>
      <c r="D23" s="404">
        <v>51</v>
      </c>
      <c r="E23" s="404">
        <v>65</v>
      </c>
      <c r="F23" s="404">
        <v>44.6</v>
      </c>
      <c r="G23" s="404">
        <v>80.400000000000006</v>
      </c>
      <c r="H23" s="404">
        <v>62.5</v>
      </c>
      <c r="I23" s="404">
        <v>1.42</v>
      </c>
      <c r="J23" s="404">
        <v>0</v>
      </c>
      <c r="K23" s="404">
        <v>0.62</v>
      </c>
      <c r="L23" s="404">
        <v>0</v>
      </c>
      <c r="N23" s="404">
        <v>1995</v>
      </c>
      <c r="O23" s="404">
        <v>36</v>
      </c>
      <c r="P23" s="404">
        <v>96</v>
      </c>
      <c r="Q23" s="404">
        <v>52</v>
      </c>
      <c r="R23" s="404">
        <v>54</v>
      </c>
      <c r="S23" s="404">
        <v>43.5</v>
      </c>
      <c r="T23" s="404">
        <v>81.2</v>
      </c>
      <c r="U23" s="404">
        <v>62.4</v>
      </c>
      <c r="V23" s="404">
        <v>0.61</v>
      </c>
      <c r="W23" s="404">
        <v>0</v>
      </c>
      <c r="X23" s="404">
        <v>0.17</v>
      </c>
      <c r="Y23" s="404">
        <v>0</v>
      </c>
      <c r="AA23" s="404">
        <v>1995</v>
      </c>
      <c r="AB23" s="404">
        <v>38</v>
      </c>
      <c r="AC23" s="404">
        <v>94</v>
      </c>
      <c r="AD23" s="404">
        <v>57</v>
      </c>
      <c r="AE23" s="404">
        <v>55</v>
      </c>
      <c r="AF23" s="404">
        <v>47.9</v>
      </c>
      <c r="AG23" s="404">
        <v>83.8</v>
      </c>
      <c r="AH23" s="404">
        <v>65.8</v>
      </c>
      <c r="AI23" s="404">
        <v>1.51</v>
      </c>
      <c r="AJ23" s="404">
        <v>0</v>
      </c>
      <c r="AK23" s="404">
        <v>0.4</v>
      </c>
      <c r="AL23" s="404">
        <v>0</v>
      </c>
    </row>
    <row r="24" spans="1:38" x14ac:dyDescent="0.25">
      <c r="A24" s="404">
        <v>1993</v>
      </c>
      <c r="B24" s="404">
        <v>34</v>
      </c>
      <c r="C24" s="404">
        <v>91</v>
      </c>
      <c r="D24" s="404">
        <v>50</v>
      </c>
      <c r="E24" s="404">
        <v>53</v>
      </c>
      <c r="F24" s="404">
        <v>41.3</v>
      </c>
      <c r="G24" s="404">
        <v>73.2</v>
      </c>
      <c r="H24" s="404">
        <v>57.3</v>
      </c>
      <c r="I24" s="404">
        <v>2.17</v>
      </c>
      <c r="J24" s="404">
        <v>0</v>
      </c>
      <c r="K24" s="404">
        <v>1.33</v>
      </c>
      <c r="L24" s="404">
        <v>0</v>
      </c>
      <c r="N24" s="404">
        <v>1994</v>
      </c>
      <c r="O24" s="404">
        <v>38</v>
      </c>
      <c r="P24" s="404">
        <v>88</v>
      </c>
      <c r="Q24" s="404">
        <v>55</v>
      </c>
      <c r="R24" s="404">
        <v>62</v>
      </c>
      <c r="S24" s="404">
        <v>47.1</v>
      </c>
      <c r="T24" s="404">
        <v>81</v>
      </c>
      <c r="U24" s="404">
        <v>64</v>
      </c>
      <c r="V24" s="404">
        <v>1.64</v>
      </c>
      <c r="W24" s="404">
        <v>0</v>
      </c>
      <c r="X24" s="404">
        <v>0.65</v>
      </c>
      <c r="Y24" s="404">
        <v>0</v>
      </c>
      <c r="AA24" s="404">
        <v>1994</v>
      </c>
      <c r="AB24" s="404">
        <v>42</v>
      </c>
      <c r="AC24" s="404">
        <v>90</v>
      </c>
      <c r="AD24" s="404">
        <v>54</v>
      </c>
      <c r="AE24" s="404">
        <v>72</v>
      </c>
      <c r="AF24" s="404">
        <v>47.3</v>
      </c>
      <c r="AG24" s="404">
        <v>81.7</v>
      </c>
      <c r="AH24" s="404">
        <v>64.5</v>
      </c>
      <c r="AI24" s="404">
        <v>2.25</v>
      </c>
      <c r="AJ24" s="404">
        <v>0</v>
      </c>
      <c r="AK24" s="404">
        <v>0.6</v>
      </c>
      <c r="AL24" s="404">
        <v>0</v>
      </c>
    </row>
    <row r="25" spans="1:38" x14ac:dyDescent="0.25">
      <c r="A25" s="404">
        <v>1992</v>
      </c>
      <c r="B25" s="404">
        <v>32</v>
      </c>
      <c r="C25" s="404">
        <v>81</v>
      </c>
      <c r="D25" s="404">
        <v>50</v>
      </c>
      <c r="E25" s="404">
        <v>56</v>
      </c>
      <c r="F25" s="404">
        <v>41.5</v>
      </c>
      <c r="G25" s="404">
        <v>70.8</v>
      </c>
      <c r="H25" s="404">
        <v>56.1</v>
      </c>
      <c r="I25" s="404">
        <v>2.1800000000000002</v>
      </c>
      <c r="J25" s="404">
        <v>0</v>
      </c>
      <c r="K25" s="404">
        <v>0.59</v>
      </c>
      <c r="L25" s="404">
        <v>0</v>
      </c>
      <c r="N25" s="404">
        <v>1993</v>
      </c>
      <c r="O25" s="404">
        <v>37</v>
      </c>
      <c r="P25" s="404">
        <v>90</v>
      </c>
      <c r="Q25" s="404">
        <v>55</v>
      </c>
      <c r="R25" s="404">
        <v>65</v>
      </c>
      <c r="S25" s="404">
        <v>45.3</v>
      </c>
      <c r="T25" s="404">
        <v>79.400000000000006</v>
      </c>
      <c r="U25" s="404">
        <v>62.3</v>
      </c>
      <c r="V25" s="404">
        <v>1.51</v>
      </c>
      <c r="W25" s="404">
        <v>0</v>
      </c>
      <c r="X25" s="404">
        <v>0.51</v>
      </c>
      <c r="Y25" s="404">
        <v>0</v>
      </c>
      <c r="AA25" s="404">
        <v>1993</v>
      </c>
      <c r="AB25" s="404">
        <v>39</v>
      </c>
      <c r="AC25" s="404">
        <v>89</v>
      </c>
      <c r="AD25" s="404">
        <v>52</v>
      </c>
      <c r="AE25" s="404">
        <v>52</v>
      </c>
      <c r="AF25" s="404">
        <v>45.4</v>
      </c>
      <c r="AG25" s="404">
        <v>75.7</v>
      </c>
      <c r="AH25" s="404">
        <v>60.6</v>
      </c>
      <c r="AI25" s="404">
        <v>1.32</v>
      </c>
      <c r="AJ25" s="404">
        <v>0</v>
      </c>
      <c r="AK25" s="404">
        <v>0.39</v>
      </c>
      <c r="AL25" s="404">
        <v>0</v>
      </c>
    </row>
    <row r="26" spans="1:38" x14ac:dyDescent="0.25">
      <c r="A26" s="404">
        <v>1991</v>
      </c>
      <c r="B26" s="404">
        <v>37</v>
      </c>
      <c r="C26" s="404">
        <v>92</v>
      </c>
      <c r="D26" s="404">
        <v>53</v>
      </c>
      <c r="E26" s="404">
        <v>58</v>
      </c>
      <c r="F26" s="404">
        <v>43.1</v>
      </c>
      <c r="G26" s="404">
        <v>76.099999999999994</v>
      </c>
      <c r="H26" s="404">
        <v>59.6</v>
      </c>
      <c r="I26" s="404">
        <v>3.45</v>
      </c>
      <c r="J26" s="404">
        <v>0</v>
      </c>
      <c r="K26" s="404">
        <v>1.79</v>
      </c>
      <c r="L26" s="404">
        <v>0</v>
      </c>
      <c r="N26" s="404">
        <v>1992</v>
      </c>
      <c r="O26" s="404">
        <v>40</v>
      </c>
      <c r="P26" s="404">
        <v>92</v>
      </c>
      <c r="Q26" s="404">
        <v>55</v>
      </c>
      <c r="R26" s="404">
        <v>58</v>
      </c>
      <c r="S26" s="404">
        <v>45.9</v>
      </c>
      <c r="T26" s="404">
        <v>77</v>
      </c>
      <c r="U26" s="404">
        <v>61.5</v>
      </c>
      <c r="V26" s="404">
        <v>2.35</v>
      </c>
      <c r="W26" s="404">
        <v>0</v>
      </c>
      <c r="X26" s="404">
        <v>0.66</v>
      </c>
      <c r="Y26" s="404">
        <v>0</v>
      </c>
      <c r="AA26" s="404">
        <v>1992</v>
      </c>
      <c r="AB26" s="404">
        <v>30</v>
      </c>
      <c r="AC26" s="404">
        <v>86</v>
      </c>
      <c r="AD26" s="404">
        <v>51</v>
      </c>
      <c r="AE26" s="404">
        <v>50</v>
      </c>
      <c r="AF26" s="404">
        <v>42.9</v>
      </c>
      <c r="AG26" s="404">
        <v>76.099999999999994</v>
      </c>
      <c r="AH26" s="404">
        <v>59.5</v>
      </c>
      <c r="AI26" s="404">
        <v>3.83</v>
      </c>
      <c r="AJ26" s="404">
        <v>0</v>
      </c>
      <c r="AK26" s="404">
        <v>1.56</v>
      </c>
      <c r="AL26" s="404">
        <v>0</v>
      </c>
    </row>
    <row r="27" spans="1:38" x14ac:dyDescent="0.25">
      <c r="A27" s="404">
        <v>1990</v>
      </c>
      <c r="B27" s="404">
        <v>34</v>
      </c>
      <c r="C27" s="404">
        <v>91</v>
      </c>
      <c r="D27" s="404">
        <v>51</v>
      </c>
      <c r="E27" s="404">
        <v>67</v>
      </c>
      <c r="F27" s="404">
        <v>41.9</v>
      </c>
      <c r="G27" s="404">
        <v>79.599999999999994</v>
      </c>
      <c r="H27" s="404">
        <v>60.7</v>
      </c>
      <c r="I27" s="404">
        <v>0.86</v>
      </c>
      <c r="J27" s="404">
        <v>0</v>
      </c>
      <c r="K27" s="404">
        <v>0.36</v>
      </c>
      <c r="L27" s="404">
        <v>0</v>
      </c>
      <c r="N27" s="404">
        <v>1991</v>
      </c>
      <c r="O27" s="404">
        <v>42</v>
      </c>
      <c r="P27" s="404">
        <v>90</v>
      </c>
      <c r="Q27" s="404">
        <v>52</v>
      </c>
      <c r="R27" s="404">
        <v>57</v>
      </c>
      <c r="S27" s="404">
        <v>46.4</v>
      </c>
      <c r="T27" s="404">
        <v>78.599999999999994</v>
      </c>
      <c r="U27" s="404">
        <v>62.5</v>
      </c>
      <c r="V27" s="404">
        <v>2.89</v>
      </c>
      <c r="W27" s="404">
        <v>0</v>
      </c>
      <c r="X27" s="404">
        <v>0.68</v>
      </c>
      <c r="Y27" s="404">
        <v>0</v>
      </c>
      <c r="AA27" s="404">
        <v>1991</v>
      </c>
      <c r="AB27" s="404">
        <v>42</v>
      </c>
      <c r="AC27" s="404">
        <v>89</v>
      </c>
      <c r="AD27" s="404">
        <v>52</v>
      </c>
      <c r="AE27" s="404">
        <v>63</v>
      </c>
      <c r="AF27" s="404">
        <v>45.5</v>
      </c>
      <c r="AG27" s="404">
        <v>78.099999999999994</v>
      </c>
      <c r="AH27" s="404">
        <v>61.8</v>
      </c>
      <c r="AI27" s="404">
        <v>2.68</v>
      </c>
      <c r="AJ27" s="404">
        <v>0</v>
      </c>
      <c r="AK27" s="404">
        <v>0.95</v>
      </c>
      <c r="AL27" s="404">
        <v>0</v>
      </c>
    </row>
    <row r="28" spans="1:38" x14ac:dyDescent="0.25">
      <c r="A28" s="404">
        <v>1989</v>
      </c>
      <c r="B28" s="404">
        <v>34</v>
      </c>
      <c r="C28" s="404">
        <v>89</v>
      </c>
      <c r="D28" s="404">
        <v>47</v>
      </c>
      <c r="E28" s="404">
        <v>49</v>
      </c>
      <c r="F28" s="404">
        <v>40.9</v>
      </c>
      <c r="G28" s="404">
        <v>71</v>
      </c>
      <c r="H28" s="404">
        <v>56</v>
      </c>
      <c r="I28" s="404">
        <v>3.93</v>
      </c>
      <c r="J28" s="404">
        <v>0</v>
      </c>
      <c r="K28" s="404">
        <v>1.1100000000000001</v>
      </c>
      <c r="L28" s="404">
        <v>0</v>
      </c>
      <c r="N28" s="404">
        <v>1990</v>
      </c>
      <c r="O28" s="404">
        <v>41</v>
      </c>
      <c r="P28" s="404">
        <v>92</v>
      </c>
      <c r="Q28" s="404">
        <v>57</v>
      </c>
      <c r="R28" s="404">
        <v>58</v>
      </c>
      <c r="S28" s="404">
        <v>47.1</v>
      </c>
      <c r="T28" s="404">
        <v>76.099999999999994</v>
      </c>
      <c r="U28" s="404">
        <v>61.6</v>
      </c>
      <c r="V28" s="404">
        <v>4.4000000000000004</v>
      </c>
      <c r="W28" s="404">
        <v>0</v>
      </c>
      <c r="X28" s="404">
        <v>1.74</v>
      </c>
      <c r="Y28" s="404">
        <v>0</v>
      </c>
      <c r="AA28" s="404">
        <v>1990</v>
      </c>
      <c r="AB28" s="404">
        <v>39</v>
      </c>
      <c r="AC28" s="404">
        <v>91</v>
      </c>
      <c r="AD28" s="404">
        <v>55</v>
      </c>
      <c r="AE28" s="404">
        <v>67</v>
      </c>
      <c r="AF28" s="404">
        <v>43.9</v>
      </c>
      <c r="AG28" s="404">
        <v>78</v>
      </c>
      <c r="AH28" s="404">
        <v>61</v>
      </c>
      <c r="AI28" s="404">
        <v>2.89</v>
      </c>
      <c r="AJ28" s="404">
        <v>0</v>
      </c>
      <c r="AK28" s="404">
        <v>0.57999999999999996</v>
      </c>
      <c r="AL28" s="404">
        <v>0</v>
      </c>
    </row>
    <row r="29" spans="1:38" x14ac:dyDescent="0.25">
      <c r="A29" s="404">
        <v>1988</v>
      </c>
      <c r="B29" s="404">
        <v>31</v>
      </c>
      <c r="C29" s="404">
        <v>89</v>
      </c>
      <c r="D29" s="404">
        <v>60</v>
      </c>
      <c r="E29" s="404">
        <v>66</v>
      </c>
      <c r="F29" s="404">
        <v>45.5</v>
      </c>
      <c r="G29" s="404">
        <v>77.5</v>
      </c>
      <c r="H29" s="404">
        <v>61.5</v>
      </c>
      <c r="I29" s="404">
        <v>2.5099999999999998</v>
      </c>
      <c r="J29" s="404">
        <v>0</v>
      </c>
      <c r="K29" s="404">
        <v>0.51</v>
      </c>
      <c r="L29" s="404">
        <v>0</v>
      </c>
      <c r="N29" s="404">
        <v>1989</v>
      </c>
      <c r="O29" s="404">
        <v>41</v>
      </c>
      <c r="P29" s="404">
        <v>93</v>
      </c>
      <c r="Q29" s="404">
        <v>56</v>
      </c>
      <c r="R29" s="404">
        <v>65</v>
      </c>
      <c r="S29" s="404">
        <v>46.8</v>
      </c>
      <c r="T29" s="404">
        <v>81.8</v>
      </c>
      <c r="U29" s="404">
        <v>64.3</v>
      </c>
      <c r="V29" s="404">
        <v>2.6</v>
      </c>
      <c r="W29" s="404">
        <v>0</v>
      </c>
      <c r="X29" s="404">
        <v>1.54</v>
      </c>
      <c r="Y29" s="404">
        <v>0</v>
      </c>
      <c r="AA29" s="404">
        <v>1989</v>
      </c>
      <c r="AB29" s="404">
        <v>37</v>
      </c>
      <c r="AC29" s="404">
        <v>85</v>
      </c>
      <c r="AD29" s="404">
        <v>55</v>
      </c>
      <c r="AE29" s="404">
        <v>67</v>
      </c>
      <c r="AF29" s="404">
        <v>44.4</v>
      </c>
      <c r="AG29" s="404">
        <v>77.7</v>
      </c>
      <c r="AH29" s="404">
        <v>61</v>
      </c>
      <c r="AI29" s="404">
        <v>1.91</v>
      </c>
      <c r="AJ29" s="404">
        <v>0</v>
      </c>
      <c r="AK29" s="404">
        <v>0.49</v>
      </c>
      <c r="AL29" s="404">
        <v>0</v>
      </c>
    </row>
    <row r="30" spans="1:38" x14ac:dyDescent="0.25">
      <c r="A30" s="404">
        <v>1987</v>
      </c>
      <c r="B30" s="404">
        <v>34</v>
      </c>
      <c r="C30" s="404">
        <v>85</v>
      </c>
      <c r="D30" s="404">
        <v>50</v>
      </c>
      <c r="E30" s="404">
        <v>55</v>
      </c>
      <c r="F30" s="404">
        <v>41.8</v>
      </c>
      <c r="G30" s="404">
        <v>76</v>
      </c>
      <c r="H30" s="404">
        <v>58.9</v>
      </c>
      <c r="I30" s="404">
        <v>2.83</v>
      </c>
      <c r="J30" s="404">
        <v>0</v>
      </c>
      <c r="K30" s="404">
        <v>1.26</v>
      </c>
      <c r="L30" s="404">
        <v>0</v>
      </c>
      <c r="N30" s="404">
        <v>1988</v>
      </c>
      <c r="O30" s="404">
        <v>39</v>
      </c>
      <c r="P30" s="404">
        <v>90</v>
      </c>
      <c r="Q30" s="404">
        <v>54</v>
      </c>
      <c r="R30" s="404">
        <v>68</v>
      </c>
      <c r="S30" s="404">
        <v>46.4</v>
      </c>
      <c r="T30" s="404">
        <v>81.2</v>
      </c>
      <c r="U30" s="404">
        <v>63.8</v>
      </c>
      <c r="V30" s="404">
        <v>2.44</v>
      </c>
      <c r="W30" s="404">
        <v>0</v>
      </c>
      <c r="X30" s="404">
        <v>0.78</v>
      </c>
      <c r="Y30" s="404">
        <v>0</v>
      </c>
      <c r="AA30" s="404">
        <v>1988</v>
      </c>
      <c r="AB30" s="404">
        <v>41</v>
      </c>
      <c r="AC30" s="404">
        <v>90</v>
      </c>
      <c r="AD30" s="404">
        <v>59</v>
      </c>
      <c r="AE30" s="404">
        <v>71</v>
      </c>
      <c r="AF30" s="404">
        <v>47.9</v>
      </c>
      <c r="AG30" s="404">
        <v>80.400000000000006</v>
      </c>
      <c r="AH30" s="404">
        <v>64.099999999999994</v>
      </c>
      <c r="AI30" s="404">
        <v>3.25</v>
      </c>
      <c r="AJ30" s="404">
        <v>0</v>
      </c>
      <c r="AK30" s="404">
        <v>1.3</v>
      </c>
      <c r="AL30" s="404">
        <v>0</v>
      </c>
    </row>
    <row r="31" spans="1:38" x14ac:dyDescent="0.25">
      <c r="A31" s="404">
        <v>1986</v>
      </c>
      <c r="B31" s="404">
        <v>31</v>
      </c>
      <c r="C31" s="404">
        <v>87</v>
      </c>
      <c r="D31" s="404">
        <v>56</v>
      </c>
      <c r="E31" s="404">
        <v>56</v>
      </c>
      <c r="F31" s="404">
        <v>43.8</v>
      </c>
      <c r="G31" s="404">
        <v>75.5</v>
      </c>
      <c r="H31" s="404">
        <v>59.7</v>
      </c>
      <c r="I31" s="404">
        <v>1.92</v>
      </c>
      <c r="J31" s="404">
        <v>0</v>
      </c>
      <c r="K31" s="404">
        <v>0.69</v>
      </c>
      <c r="L31" s="404">
        <v>0</v>
      </c>
      <c r="N31" s="404">
        <v>1987</v>
      </c>
      <c r="O31" s="404">
        <v>35</v>
      </c>
      <c r="P31" s="404">
        <v>89</v>
      </c>
      <c r="Q31" s="404">
        <v>52</v>
      </c>
      <c r="R31" s="404">
        <v>70</v>
      </c>
      <c r="S31" s="404">
        <v>46.1</v>
      </c>
      <c r="T31" s="404">
        <v>82.3</v>
      </c>
      <c r="U31" s="404">
        <v>64.2</v>
      </c>
      <c r="V31" s="404">
        <v>1.77</v>
      </c>
      <c r="W31" s="404">
        <v>0</v>
      </c>
      <c r="X31" s="404">
        <v>0.86</v>
      </c>
      <c r="Y31" s="404">
        <v>0</v>
      </c>
      <c r="AA31" s="404">
        <v>1987</v>
      </c>
      <c r="AB31" s="404">
        <v>36</v>
      </c>
      <c r="AC31" s="404">
        <v>89</v>
      </c>
      <c r="AD31" s="404">
        <v>56</v>
      </c>
      <c r="AE31" s="404">
        <v>54</v>
      </c>
      <c r="AF31" s="404">
        <v>46</v>
      </c>
      <c r="AG31" s="404">
        <v>76.5</v>
      </c>
      <c r="AH31" s="404">
        <v>61.2</v>
      </c>
      <c r="AI31" s="404">
        <v>3.01</v>
      </c>
      <c r="AJ31" s="404">
        <v>0</v>
      </c>
      <c r="AK31" s="404">
        <v>0.89</v>
      </c>
      <c r="AL31" s="404">
        <v>0</v>
      </c>
    </row>
    <row r="32" spans="1:38" x14ac:dyDescent="0.25">
      <c r="A32" s="404">
        <v>1985</v>
      </c>
      <c r="B32" s="404">
        <v>33</v>
      </c>
      <c r="C32" s="404">
        <v>90</v>
      </c>
      <c r="D32" s="404">
        <v>53</v>
      </c>
      <c r="E32" s="404">
        <v>58</v>
      </c>
      <c r="F32" s="404">
        <v>43.6</v>
      </c>
      <c r="G32" s="404">
        <v>77.599999999999994</v>
      </c>
      <c r="H32" s="404">
        <v>60.6</v>
      </c>
      <c r="I32" s="404">
        <v>1.82</v>
      </c>
      <c r="J32" s="404">
        <v>0</v>
      </c>
      <c r="K32" s="404">
        <v>1.32</v>
      </c>
      <c r="L32" s="404">
        <v>0</v>
      </c>
      <c r="N32" s="404">
        <v>1986</v>
      </c>
      <c r="O32" s="404">
        <v>38</v>
      </c>
      <c r="P32" s="404">
        <v>89</v>
      </c>
      <c r="Q32" s="404">
        <v>57</v>
      </c>
      <c r="R32" s="404">
        <v>67</v>
      </c>
      <c r="S32" s="404">
        <v>46.3</v>
      </c>
      <c r="T32" s="404">
        <v>79.7</v>
      </c>
      <c r="U32" s="404">
        <v>63</v>
      </c>
      <c r="V32" s="404">
        <v>2.61</v>
      </c>
      <c r="W32" s="404">
        <v>0</v>
      </c>
      <c r="X32" s="404">
        <v>0.8</v>
      </c>
      <c r="Y32" s="404">
        <v>0</v>
      </c>
      <c r="AA32" s="404">
        <v>1986</v>
      </c>
      <c r="AB32" s="404">
        <v>37</v>
      </c>
      <c r="AC32" s="404">
        <v>90</v>
      </c>
      <c r="AD32" s="404">
        <v>52</v>
      </c>
      <c r="AE32" s="404">
        <v>70</v>
      </c>
      <c r="AF32" s="404">
        <v>45.3</v>
      </c>
      <c r="AG32" s="404">
        <v>79.8</v>
      </c>
      <c r="AH32" s="404">
        <v>62.6</v>
      </c>
      <c r="AI32" s="404">
        <v>2.48</v>
      </c>
      <c r="AJ32" s="404">
        <v>0</v>
      </c>
      <c r="AK32" s="404">
        <v>0.92</v>
      </c>
      <c r="AL32" s="404">
        <v>0</v>
      </c>
    </row>
    <row r="33" spans="1:38" x14ac:dyDescent="0.25">
      <c r="A33" s="404">
        <v>1984</v>
      </c>
      <c r="B33" s="404" t="s">
        <v>633</v>
      </c>
      <c r="C33" s="404" t="s">
        <v>633</v>
      </c>
      <c r="D33" s="404" t="s">
        <v>633</v>
      </c>
      <c r="E33" s="404" t="s">
        <v>633</v>
      </c>
      <c r="F33" s="404" t="s">
        <v>633</v>
      </c>
      <c r="G33" s="404" t="s">
        <v>633</v>
      </c>
      <c r="H33" s="404" t="s">
        <v>633</v>
      </c>
      <c r="I33" s="404" t="s">
        <v>633</v>
      </c>
      <c r="J33" s="404" t="s">
        <v>633</v>
      </c>
      <c r="K33" s="404" t="s">
        <v>633</v>
      </c>
      <c r="L33" s="404" t="s">
        <v>633</v>
      </c>
      <c r="N33" s="404">
        <v>1985</v>
      </c>
      <c r="O33" s="404">
        <v>40</v>
      </c>
      <c r="P33" s="404">
        <v>89</v>
      </c>
      <c r="Q33" s="404">
        <v>58</v>
      </c>
      <c r="R33" s="404">
        <v>68</v>
      </c>
      <c r="S33" s="404">
        <v>48.6</v>
      </c>
      <c r="T33" s="404">
        <v>78.7</v>
      </c>
      <c r="U33" s="404">
        <v>63.7</v>
      </c>
      <c r="V33" s="404">
        <v>3.24</v>
      </c>
      <c r="W33" s="404">
        <v>0</v>
      </c>
      <c r="X33" s="404">
        <v>0.88</v>
      </c>
      <c r="Y33" s="404">
        <v>0</v>
      </c>
      <c r="AA33" s="404">
        <v>1985</v>
      </c>
      <c r="AB33" s="404">
        <v>38</v>
      </c>
      <c r="AC33" s="404">
        <v>90</v>
      </c>
      <c r="AD33" s="404">
        <v>51</v>
      </c>
      <c r="AE33" s="404">
        <v>73</v>
      </c>
      <c r="AF33" s="404">
        <v>43.9</v>
      </c>
      <c r="AG33" s="404">
        <v>81.900000000000006</v>
      </c>
      <c r="AH33" s="404">
        <v>62.9</v>
      </c>
      <c r="AI33" s="404">
        <v>1.56</v>
      </c>
      <c r="AJ33" s="404">
        <v>0</v>
      </c>
      <c r="AK33" s="404">
        <v>0.47</v>
      </c>
      <c r="AL33" s="404">
        <v>0</v>
      </c>
    </row>
    <row r="34" spans="1:38" x14ac:dyDescent="0.25">
      <c r="A34" s="404">
        <v>1983</v>
      </c>
      <c r="B34" s="404">
        <v>29</v>
      </c>
      <c r="C34" s="404">
        <v>85</v>
      </c>
      <c r="D34" s="404">
        <v>48</v>
      </c>
      <c r="E34" s="404">
        <v>53</v>
      </c>
      <c r="F34" s="404">
        <v>38.299999999999997</v>
      </c>
      <c r="G34" s="404">
        <v>70.900000000000006</v>
      </c>
      <c r="H34" s="404">
        <v>54.6</v>
      </c>
      <c r="I34" s="404">
        <v>3.1</v>
      </c>
      <c r="J34" s="404">
        <v>0</v>
      </c>
      <c r="K34" s="404">
        <v>0.57999999999999996</v>
      </c>
      <c r="L34" s="404">
        <v>0</v>
      </c>
      <c r="N34" s="404">
        <v>1984</v>
      </c>
      <c r="O34" s="404">
        <v>43</v>
      </c>
      <c r="P34" s="404">
        <v>89</v>
      </c>
      <c r="Q34" s="404">
        <v>58</v>
      </c>
      <c r="R34" s="404">
        <v>67</v>
      </c>
      <c r="S34" s="404">
        <v>49.4</v>
      </c>
      <c r="T34" s="404">
        <v>81.3</v>
      </c>
      <c r="U34" s="404">
        <v>65.400000000000006</v>
      </c>
      <c r="V34" s="404">
        <v>2.2999999999999998</v>
      </c>
      <c r="W34" s="404">
        <v>0</v>
      </c>
      <c r="X34" s="404">
        <v>0.76</v>
      </c>
      <c r="Y34" s="404">
        <v>0</v>
      </c>
      <c r="AA34" s="404">
        <v>1984</v>
      </c>
      <c r="AB34" s="404">
        <v>43</v>
      </c>
      <c r="AC34" s="404">
        <v>85</v>
      </c>
      <c r="AD34" s="404">
        <v>55</v>
      </c>
      <c r="AE34" s="404">
        <v>62</v>
      </c>
      <c r="AF34" s="404">
        <v>47.9</v>
      </c>
      <c r="AG34" s="404">
        <v>77.7</v>
      </c>
      <c r="AH34" s="404">
        <v>62.8</v>
      </c>
      <c r="AI34" s="404">
        <v>5.44</v>
      </c>
      <c r="AJ34" s="404">
        <v>0</v>
      </c>
      <c r="AK34" s="404">
        <v>1.97</v>
      </c>
      <c r="AL34" s="404">
        <v>0</v>
      </c>
    </row>
    <row r="35" spans="1:38" x14ac:dyDescent="0.25">
      <c r="A35" s="404">
        <v>1982</v>
      </c>
      <c r="B35" s="404">
        <v>32</v>
      </c>
      <c r="C35" s="404">
        <v>85</v>
      </c>
      <c r="D35" s="404">
        <v>49</v>
      </c>
      <c r="E35" s="404">
        <v>56</v>
      </c>
      <c r="F35" s="404">
        <v>38.9</v>
      </c>
      <c r="G35" s="404">
        <v>70</v>
      </c>
      <c r="H35" s="404">
        <v>54.5</v>
      </c>
      <c r="I35" s="404">
        <v>2.72</v>
      </c>
      <c r="J35" s="404">
        <v>0</v>
      </c>
      <c r="K35" s="404">
        <v>0.79</v>
      </c>
      <c r="L35" s="404">
        <v>0</v>
      </c>
      <c r="N35" s="404">
        <v>1983</v>
      </c>
      <c r="O35" s="404">
        <v>37</v>
      </c>
      <c r="P35" s="404">
        <v>89</v>
      </c>
      <c r="Q35" s="404">
        <v>52</v>
      </c>
      <c r="R35" s="404">
        <v>70</v>
      </c>
      <c r="S35" s="404">
        <v>46.7</v>
      </c>
      <c r="T35" s="404">
        <v>81</v>
      </c>
      <c r="U35" s="404">
        <v>63.8</v>
      </c>
      <c r="V35" s="404">
        <v>4.3899999999999997</v>
      </c>
      <c r="W35" s="404">
        <v>0</v>
      </c>
      <c r="X35" s="404">
        <v>2.1</v>
      </c>
      <c r="Y35" s="404">
        <v>0</v>
      </c>
      <c r="AA35" s="404">
        <v>1983</v>
      </c>
      <c r="AB35" s="404">
        <v>44</v>
      </c>
      <c r="AC35" s="404">
        <v>87</v>
      </c>
      <c r="AD35" s="404">
        <v>55</v>
      </c>
      <c r="AE35" s="404">
        <v>77</v>
      </c>
      <c r="AF35" s="404">
        <v>48.6</v>
      </c>
      <c r="AG35" s="404">
        <v>81.599999999999994</v>
      </c>
      <c r="AH35" s="404">
        <v>65.099999999999994</v>
      </c>
      <c r="AI35" s="404">
        <v>2</v>
      </c>
      <c r="AJ35" s="404">
        <v>0</v>
      </c>
      <c r="AK35" s="404">
        <v>0.35</v>
      </c>
      <c r="AL35" s="404">
        <v>0</v>
      </c>
    </row>
    <row r="36" spans="1:38" x14ac:dyDescent="0.25">
      <c r="A36" s="404">
        <v>1981</v>
      </c>
      <c r="B36" s="404">
        <v>31</v>
      </c>
      <c r="C36" s="404">
        <v>88</v>
      </c>
      <c r="D36" s="404">
        <v>50</v>
      </c>
      <c r="E36" s="404">
        <v>59</v>
      </c>
      <c r="F36" s="404">
        <v>43.3</v>
      </c>
      <c r="G36" s="404">
        <v>78.3</v>
      </c>
      <c r="H36" s="404">
        <v>60.8</v>
      </c>
      <c r="I36" s="404">
        <v>2.4900000000000002</v>
      </c>
      <c r="J36" s="404">
        <v>0</v>
      </c>
      <c r="K36" s="404">
        <v>1.48</v>
      </c>
      <c r="L36" s="404">
        <v>0</v>
      </c>
      <c r="N36" s="404">
        <v>1982</v>
      </c>
      <c r="O36" s="404">
        <v>34</v>
      </c>
      <c r="P36" s="404">
        <v>90</v>
      </c>
      <c r="Q36" s="404">
        <v>55</v>
      </c>
      <c r="R36" s="404">
        <v>60</v>
      </c>
      <c r="S36" s="404">
        <v>44</v>
      </c>
      <c r="T36" s="404">
        <v>79.3</v>
      </c>
      <c r="U36" s="404">
        <v>61.7</v>
      </c>
      <c r="V36" s="404">
        <v>2.12</v>
      </c>
      <c r="W36" s="404">
        <v>0</v>
      </c>
      <c r="X36" s="404">
        <v>0.66</v>
      </c>
      <c r="Y36" s="404">
        <v>0</v>
      </c>
      <c r="AA36" s="404">
        <v>1982</v>
      </c>
      <c r="AB36" s="404">
        <v>41</v>
      </c>
      <c r="AC36" s="404">
        <v>85</v>
      </c>
      <c r="AD36" s="404">
        <v>56</v>
      </c>
      <c r="AE36" s="404">
        <v>67</v>
      </c>
      <c r="AF36" s="404">
        <v>48.5</v>
      </c>
      <c r="AG36" s="404">
        <v>79.2</v>
      </c>
      <c r="AH36" s="404">
        <v>63.8</v>
      </c>
      <c r="AI36" s="404">
        <v>2.9</v>
      </c>
      <c r="AJ36" s="404">
        <v>0</v>
      </c>
      <c r="AK36" s="404">
        <v>0.83</v>
      </c>
      <c r="AL36" s="404">
        <v>0</v>
      </c>
    </row>
    <row r="37" spans="1:38" x14ac:dyDescent="0.25">
      <c r="A37" s="404">
        <v>1980</v>
      </c>
      <c r="B37" s="404">
        <v>34</v>
      </c>
      <c r="C37" s="404">
        <v>92</v>
      </c>
      <c r="D37" s="404">
        <v>49</v>
      </c>
      <c r="E37" s="404">
        <v>67</v>
      </c>
      <c r="F37" s="404">
        <v>40.6</v>
      </c>
      <c r="G37" s="404">
        <v>80.599999999999994</v>
      </c>
      <c r="H37" s="404">
        <v>60.6</v>
      </c>
      <c r="I37" s="404">
        <v>0.24</v>
      </c>
      <c r="J37" s="404">
        <v>0</v>
      </c>
      <c r="K37" s="404">
        <v>0.11</v>
      </c>
      <c r="L37" s="404">
        <v>0</v>
      </c>
      <c r="N37" s="404">
        <v>1981</v>
      </c>
      <c r="O37" s="404">
        <v>42</v>
      </c>
      <c r="P37" s="404">
        <v>90</v>
      </c>
      <c r="Q37" s="404">
        <v>57</v>
      </c>
      <c r="R37" s="404">
        <v>62</v>
      </c>
      <c r="S37" s="404">
        <v>49</v>
      </c>
      <c r="T37" s="404">
        <v>79.7</v>
      </c>
      <c r="U37" s="404">
        <v>64.400000000000006</v>
      </c>
      <c r="V37" s="404">
        <v>3.21</v>
      </c>
      <c r="W37" s="404">
        <v>0</v>
      </c>
      <c r="X37" s="404">
        <v>0.81</v>
      </c>
      <c r="Y37" s="404">
        <v>0</v>
      </c>
      <c r="AA37" s="404">
        <v>1981</v>
      </c>
      <c r="AB37" s="404">
        <v>41</v>
      </c>
      <c r="AC37" s="404">
        <v>86</v>
      </c>
      <c r="AD37" s="404">
        <v>58</v>
      </c>
      <c r="AE37" s="404">
        <v>55</v>
      </c>
      <c r="AF37" s="404">
        <v>46.7</v>
      </c>
      <c r="AG37" s="404">
        <v>75.599999999999994</v>
      </c>
      <c r="AH37" s="404">
        <v>61.2</v>
      </c>
      <c r="AI37" s="404">
        <v>2.31</v>
      </c>
      <c r="AJ37" s="404">
        <v>0</v>
      </c>
      <c r="AK37" s="404">
        <v>0.5</v>
      </c>
      <c r="AL37" s="404">
        <v>0</v>
      </c>
    </row>
    <row r="38" spans="1:38" x14ac:dyDescent="0.25">
      <c r="A38" s="404">
        <v>1979</v>
      </c>
      <c r="B38" s="404">
        <v>29</v>
      </c>
      <c r="C38" s="404">
        <v>88</v>
      </c>
      <c r="D38" s="404">
        <v>49</v>
      </c>
      <c r="E38" s="404">
        <v>42</v>
      </c>
      <c r="F38" s="404">
        <v>39.6</v>
      </c>
      <c r="G38" s="404">
        <v>71.7</v>
      </c>
      <c r="H38" s="404">
        <v>55.7</v>
      </c>
      <c r="I38" s="404">
        <v>3.45</v>
      </c>
      <c r="J38" s="404">
        <v>0</v>
      </c>
      <c r="K38" s="404">
        <v>2.31</v>
      </c>
      <c r="L38" s="404">
        <v>0</v>
      </c>
      <c r="N38" s="404">
        <v>1980</v>
      </c>
      <c r="O38" s="404">
        <v>41</v>
      </c>
      <c r="P38" s="404">
        <v>93</v>
      </c>
      <c r="Q38" s="404">
        <v>57</v>
      </c>
      <c r="R38" s="404">
        <v>74</v>
      </c>
      <c r="S38" s="404">
        <v>48.3</v>
      </c>
      <c r="T38" s="404">
        <v>82.6</v>
      </c>
      <c r="U38" s="404">
        <v>65.400000000000006</v>
      </c>
      <c r="V38" s="404">
        <v>2.2400000000000002</v>
      </c>
      <c r="W38" s="404">
        <v>0</v>
      </c>
      <c r="X38" s="404">
        <v>0.54</v>
      </c>
      <c r="Y38" s="404">
        <v>0</v>
      </c>
      <c r="AA38" s="404">
        <v>1980</v>
      </c>
      <c r="AB38" s="404">
        <v>35</v>
      </c>
      <c r="AC38" s="404">
        <v>90</v>
      </c>
      <c r="AD38" s="404">
        <v>55</v>
      </c>
      <c r="AE38" s="404">
        <v>60</v>
      </c>
      <c r="AF38" s="404">
        <v>45.3</v>
      </c>
      <c r="AG38" s="404">
        <v>79.7</v>
      </c>
      <c r="AH38" s="404">
        <v>62.5</v>
      </c>
      <c r="AI38" s="404">
        <v>1.89</v>
      </c>
      <c r="AJ38" s="404">
        <v>0</v>
      </c>
      <c r="AK38" s="404">
        <v>0.8</v>
      </c>
      <c r="AL38" s="404">
        <v>0</v>
      </c>
    </row>
    <row r="39" spans="1:38" x14ac:dyDescent="0.25">
      <c r="A39" s="404">
        <v>1978</v>
      </c>
      <c r="B39" s="404">
        <v>33</v>
      </c>
      <c r="C39" s="404">
        <v>87</v>
      </c>
      <c r="D39" s="404">
        <v>53</v>
      </c>
      <c r="E39" s="404">
        <v>42</v>
      </c>
      <c r="F39" s="404">
        <v>42.2</v>
      </c>
      <c r="G39" s="404">
        <v>73.5</v>
      </c>
      <c r="H39" s="404">
        <v>57.9</v>
      </c>
      <c r="I39" s="404">
        <v>1.42</v>
      </c>
      <c r="J39" s="404">
        <v>0</v>
      </c>
      <c r="K39" s="404">
        <v>0.36</v>
      </c>
      <c r="L39" s="404">
        <v>0</v>
      </c>
      <c r="N39" s="404">
        <v>1979</v>
      </c>
      <c r="O39" s="404">
        <v>39</v>
      </c>
      <c r="P39" s="404">
        <v>88</v>
      </c>
      <c r="Q39" s="404">
        <v>59</v>
      </c>
      <c r="R39" s="404">
        <v>69</v>
      </c>
      <c r="S39" s="404">
        <v>45.5</v>
      </c>
      <c r="T39" s="404">
        <v>81.5</v>
      </c>
      <c r="U39" s="404">
        <v>63.5</v>
      </c>
      <c r="V39" s="404">
        <v>1.04</v>
      </c>
      <c r="W39" s="404">
        <v>0</v>
      </c>
      <c r="X39" s="404">
        <v>0.25</v>
      </c>
      <c r="Y39" s="404">
        <v>0</v>
      </c>
      <c r="AA39" s="404">
        <v>1979</v>
      </c>
      <c r="AB39" s="404" t="s">
        <v>633</v>
      </c>
      <c r="AC39" s="404" t="s">
        <v>633</v>
      </c>
      <c r="AD39" s="404" t="s">
        <v>633</v>
      </c>
      <c r="AE39" s="404" t="s">
        <v>633</v>
      </c>
      <c r="AF39" s="404" t="s">
        <v>633</v>
      </c>
      <c r="AG39" s="404" t="s">
        <v>633</v>
      </c>
      <c r="AH39" s="404" t="s">
        <v>633</v>
      </c>
      <c r="AI39" s="404" t="s">
        <v>633</v>
      </c>
      <c r="AJ39" s="404" t="s">
        <v>633</v>
      </c>
      <c r="AK39" s="404" t="s">
        <v>633</v>
      </c>
      <c r="AL39" s="404" t="s">
        <v>633</v>
      </c>
    </row>
    <row r="40" spans="1:38" x14ac:dyDescent="0.25">
      <c r="A40" s="404">
        <v>1977</v>
      </c>
      <c r="B40" s="404">
        <v>38</v>
      </c>
      <c r="C40" s="404">
        <v>87</v>
      </c>
      <c r="D40" s="404">
        <v>55</v>
      </c>
      <c r="E40" s="404">
        <v>69</v>
      </c>
      <c r="F40" s="404">
        <v>45.2</v>
      </c>
      <c r="G40" s="404">
        <v>78.7</v>
      </c>
      <c r="H40" s="404">
        <v>62</v>
      </c>
      <c r="I40" s="404">
        <v>1.22</v>
      </c>
      <c r="J40" s="404">
        <v>0</v>
      </c>
      <c r="K40" s="404">
        <v>0.6</v>
      </c>
      <c r="L40" s="404">
        <v>0</v>
      </c>
      <c r="N40" s="404">
        <v>1978</v>
      </c>
      <c r="O40" s="404">
        <v>41</v>
      </c>
      <c r="P40" s="404">
        <v>91</v>
      </c>
      <c r="Q40" s="404">
        <v>53</v>
      </c>
      <c r="R40" s="404">
        <v>66</v>
      </c>
      <c r="S40" s="404">
        <v>46.4</v>
      </c>
      <c r="T40" s="404">
        <v>82.3</v>
      </c>
      <c r="U40" s="404">
        <v>64.3</v>
      </c>
      <c r="V40" s="404">
        <v>0.31</v>
      </c>
      <c r="W40" s="404">
        <v>0</v>
      </c>
      <c r="X40" s="404">
        <v>0.1</v>
      </c>
      <c r="Y40" s="404">
        <v>0</v>
      </c>
      <c r="AA40" s="404">
        <v>1978</v>
      </c>
      <c r="AB40" s="404">
        <v>33</v>
      </c>
      <c r="AC40" s="404">
        <v>86</v>
      </c>
      <c r="AD40" s="404">
        <v>52</v>
      </c>
      <c r="AE40" s="404">
        <v>52</v>
      </c>
      <c r="AF40" s="404">
        <v>43.7</v>
      </c>
      <c r="AG40" s="404">
        <v>77.3</v>
      </c>
      <c r="AH40" s="404">
        <v>60.5</v>
      </c>
      <c r="AI40" s="404">
        <v>0.38</v>
      </c>
      <c r="AJ40" s="404">
        <v>0</v>
      </c>
      <c r="AK40" s="404">
        <v>7.0000000000000007E-2</v>
      </c>
      <c r="AL40" s="404">
        <v>0</v>
      </c>
    </row>
    <row r="41" spans="1:38" x14ac:dyDescent="0.25">
      <c r="A41" s="404">
        <v>1976</v>
      </c>
      <c r="B41" s="404">
        <v>32</v>
      </c>
      <c r="C41" s="404">
        <v>88</v>
      </c>
      <c r="D41" s="404">
        <v>55</v>
      </c>
      <c r="E41" s="404">
        <v>49</v>
      </c>
      <c r="F41" s="404">
        <v>39.700000000000003</v>
      </c>
      <c r="G41" s="404">
        <v>74.7</v>
      </c>
      <c r="H41" s="404">
        <v>57.2</v>
      </c>
      <c r="I41" s="404">
        <v>1.26</v>
      </c>
      <c r="J41" s="404">
        <v>0</v>
      </c>
      <c r="K41" s="404">
        <v>0.79</v>
      </c>
      <c r="L41" s="404">
        <v>0</v>
      </c>
      <c r="N41" s="404">
        <v>1977</v>
      </c>
      <c r="O41" s="404">
        <v>39</v>
      </c>
      <c r="P41" s="404">
        <v>90</v>
      </c>
      <c r="Q41" s="404">
        <v>56</v>
      </c>
      <c r="R41" s="404">
        <v>59</v>
      </c>
      <c r="S41" s="404">
        <v>47.9</v>
      </c>
      <c r="T41" s="404">
        <v>81</v>
      </c>
      <c r="U41" s="404">
        <v>64.400000000000006</v>
      </c>
      <c r="V41" s="404">
        <v>2.92</v>
      </c>
      <c r="W41" s="404">
        <v>0</v>
      </c>
      <c r="X41" s="404">
        <v>0.9</v>
      </c>
      <c r="Y41" s="404">
        <v>0</v>
      </c>
      <c r="AA41" s="404">
        <v>1977</v>
      </c>
      <c r="AB41" s="404">
        <v>38</v>
      </c>
      <c r="AC41" s="404">
        <v>89</v>
      </c>
      <c r="AD41" s="404">
        <v>55</v>
      </c>
      <c r="AE41" s="404">
        <v>61</v>
      </c>
      <c r="AF41" s="404">
        <v>46.3</v>
      </c>
      <c r="AG41" s="404">
        <v>76.5</v>
      </c>
      <c r="AH41" s="404">
        <v>61.4</v>
      </c>
      <c r="AI41" s="404">
        <v>2.6</v>
      </c>
      <c r="AJ41" s="404">
        <v>0</v>
      </c>
      <c r="AK41" s="404">
        <v>0.65</v>
      </c>
      <c r="AL41" s="404">
        <v>0</v>
      </c>
    </row>
    <row r="42" spans="1:38" x14ac:dyDescent="0.25">
      <c r="A42" s="404">
        <v>1975</v>
      </c>
      <c r="B42" s="404">
        <v>27</v>
      </c>
      <c r="C42" s="404">
        <v>86</v>
      </c>
      <c r="D42" s="404">
        <v>48</v>
      </c>
      <c r="E42" s="404">
        <v>45</v>
      </c>
      <c r="F42" s="404">
        <v>39</v>
      </c>
      <c r="G42" s="404">
        <v>72.8</v>
      </c>
      <c r="H42" s="404">
        <v>55.9</v>
      </c>
      <c r="I42" s="404">
        <v>1.68</v>
      </c>
      <c r="J42" s="404">
        <v>5</v>
      </c>
      <c r="K42" s="404">
        <v>1.43</v>
      </c>
      <c r="L42" s="404">
        <v>5</v>
      </c>
      <c r="N42" s="404">
        <v>1976</v>
      </c>
      <c r="O42" s="404">
        <v>41</v>
      </c>
      <c r="P42" s="404">
        <v>91</v>
      </c>
      <c r="Q42" s="404">
        <v>57</v>
      </c>
      <c r="R42" s="404">
        <v>64</v>
      </c>
      <c r="S42" s="404">
        <v>46.9</v>
      </c>
      <c r="T42" s="404">
        <v>81.099999999999994</v>
      </c>
      <c r="U42" s="404">
        <v>64</v>
      </c>
      <c r="V42" s="404">
        <v>2.81</v>
      </c>
      <c r="W42" s="404">
        <v>0</v>
      </c>
      <c r="X42" s="404">
        <v>0.6</v>
      </c>
      <c r="Y42" s="404">
        <v>0</v>
      </c>
      <c r="AA42" s="404">
        <v>1976</v>
      </c>
      <c r="AB42" s="404">
        <v>37</v>
      </c>
      <c r="AC42" s="404">
        <v>86</v>
      </c>
      <c r="AD42" s="404">
        <v>58</v>
      </c>
      <c r="AE42" s="404">
        <v>59</v>
      </c>
      <c r="AF42" s="404">
        <v>43</v>
      </c>
      <c r="AG42" s="404">
        <v>77.900000000000006</v>
      </c>
      <c r="AH42" s="404">
        <v>60.4</v>
      </c>
      <c r="AI42" s="404">
        <v>1.04</v>
      </c>
      <c r="AJ42" s="404">
        <v>0</v>
      </c>
      <c r="AK42" s="404">
        <v>0.5</v>
      </c>
      <c r="AL42" s="404">
        <v>0</v>
      </c>
    </row>
    <row r="43" spans="1:38" x14ac:dyDescent="0.25">
      <c r="A43" s="404">
        <v>1974</v>
      </c>
      <c r="B43" s="404">
        <v>29</v>
      </c>
      <c r="C43" s="404">
        <v>91</v>
      </c>
      <c r="D43" s="404">
        <v>52</v>
      </c>
      <c r="E43" s="404">
        <v>48</v>
      </c>
      <c r="F43" s="404">
        <v>41.6</v>
      </c>
      <c r="G43" s="404">
        <v>78.400000000000006</v>
      </c>
      <c r="H43" s="404">
        <v>60</v>
      </c>
      <c r="I43" s="404">
        <v>1.85</v>
      </c>
      <c r="J43" s="404">
        <v>0</v>
      </c>
      <c r="K43" s="404">
        <v>1.62</v>
      </c>
      <c r="L43" s="404">
        <v>0</v>
      </c>
      <c r="N43" s="404">
        <v>1975</v>
      </c>
      <c r="O43" s="404">
        <v>42</v>
      </c>
      <c r="P43" s="404">
        <v>88</v>
      </c>
      <c r="Q43" s="404">
        <v>56</v>
      </c>
      <c r="R43" s="404">
        <v>72</v>
      </c>
      <c r="S43" s="404">
        <v>46.8</v>
      </c>
      <c r="T43" s="404">
        <v>80.400000000000006</v>
      </c>
      <c r="U43" s="404">
        <v>63.6</v>
      </c>
      <c r="V43" s="404">
        <v>3.31</v>
      </c>
      <c r="W43" s="404">
        <v>0</v>
      </c>
      <c r="X43" s="404">
        <v>0.92</v>
      </c>
      <c r="Y43" s="404">
        <v>0</v>
      </c>
      <c r="AA43" s="404">
        <v>1975</v>
      </c>
      <c r="AB43" s="404">
        <v>35</v>
      </c>
      <c r="AC43" s="404">
        <v>89</v>
      </c>
      <c r="AD43" s="404">
        <v>56</v>
      </c>
      <c r="AE43" s="404">
        <v>65</v>
      </c>
      <c r="AF43" s="404">
        <v>42.7</v>
      </c>
      <c r="AG43" s="404">
        <v>80</v>
      </c>
      <c r="AH43" s="404">
        <v>61.4</v>
      </c>
      <c r="AI43" s="404">
        <v>1.26</v>
      </c>
      <c r="AJ43" s="404">
        <v>0</v>
      </c>
      <c r="AK43" s="404">
        <v>0.55000000000000004</v>
      </c>
      <c r="AL43" s="404">
        <v>0</v>
      </c>
    </row>
    <row r="44" spans="1:38" x14ac:dyDescent="0.25">
      <c r="A44" s="404">
        <v>1973</v>
      </c>
      <c r="B44" s="404">
        <v>28</v>
      </c>
      <c r="C44" s="404">
        <v>89</v>
      </c>
      <c r="D44" s="404">
        <v>47</v>
      </c>
      <c r="E44" s="404">
        <v>51</v>
      </c>
      <c r="F44" s="404">
        <v>39.299999999999997</v>
      </c>
      <c r="G44" s="404">
        <v>76</v>
      </c>
      <c r="H44" s="404">
        <v>57.6</v>
      </c>
      <c r="I44" s="404">
        <v>0.68</v>
      </c>
      <c r="J44" s="404">
        <v>0</v>
      </c>
      <c r="K44" s="404">
        <v>0.47</v>
      </c>
      <c r="L44" s="404">
        <v>0</v>
      </c>
      <c r="N44" s="404">
        <v>1974</v>
      </c>
      <c r="O44" s="404">
        <v>38</v>
      </c>
      <c r="P44" s="404">
        <v>89</v>
      </c>
      <c r="Q44" s="404">
        <v>57</v>
      </c>
      <c r="R44" s="404">
        <v>71</v>
      </c>
      <c r="S44" s="404">
        <v>45.1</v>
      </c>
      <c r="T44" s="404">
        <v>82.4</v>
      </c>
      <c r="U44" s="404">
        <v>63.7</v>
      </c>
      <c r="V44" s="404">
        <v>2.1800000000000002</v>
      </c>
      <c r="W44" s="404">
        <v>0</v>
      </c>
      <c r="X44" s="404">
        <v>0.4</v>
      </c>
      <c r="Y44" s="404">
        <v>0</v>
      </c>
      <c r="AA44" s="404">
        <v>1974</v>
      </c>
      <c r="AB44" s="404">
        <v>34</v>
      </c>
      <c r="AC44" s="404">
        <v>86</v>
      </c>
      <c r="AD44" s="404">
        <v>49</v>
      </c>
      <c r="AE44" s="404">
        <v>68</v>
      </c>
      <c r="AF44" s="404">
        <v>40</v>
      </c>
      <c r="AG44" s="404">
        <v>78.3</v>
      </c>
      <c r="AH44" s="404">
        <v>59.1</v>
      </c>
      <c r="AI44" s="404">
        <v>0.51</v>
      </c>
      <c r="AJ44" s="404">
        <v>0</v>
      </c>
      <c r="AK44" s="404">
        <v>0.18</v>
      </c>
      <c r="AL44" s="404">
        <v>0</v>
      </c>
    </row>
    <row r="45" spans="1:38" x14ac:dyDescent="0.25">
      <c r="A45" s="404">
        <v>1972</v>
      </c>
      <c r="B45" s="404">
        <v>31</v>
      </c>
      <c r="C45" s="404">
        <v>84</v>
      </c>
      <c r="D45" s="404">
        <v>48</v>
      </c>
      <c r="E45" s="404">
        <v>71</v>
      </c>
      <c r="F45" s="404">
        <v>39.200000000000003</v>
      </c>
      <c r="G45" s="404">
        <v>78.5</v>
      </c>
      <c r="H45" s="404">
        <v>58.9</v>
      </c>
      <c r="I45" s="404">
        <v>1.91</v>
      </c>
      <c r="J45" s="404">
        <v>0</v>
      </c>
      <c r="K45" s="404">
        <v>0.55000000000000004</v>
      </c>
      <c r="L45" s="404">
        <v>0</v>
      </c>
      <c r="N45" s="404">
        <v>1973</v>
      </c>
      <c r="O45" s="404">
        <v>39</v>
      </c>
      <c r="P45" s="404">
        <v>95</v>
      </c>
      <c r="Q45" s="404">
        <v>54</v>
      </c>
      <c r="R45" s="404">
        <v>56</v>
      </c>
      <c r="S45" s="404">
        <v>44.2</v>
      </c>
      <c r="T45" s="404">
        <v>78</v>
      </c>
      <c r="U45" s="404">
        <v>61.1</v>
      </c>
      <c r="V45" s="404">
        <v>3.08</v>
      </c>
      <c r="W45" s="404">
        <v>0</v>
      </c>
      <c r="X45" s="404">
        <v>1.1599999999999999</v>
      </c>
      <c r="Y45" s="404">
        <v>0</v>
      </c>
      <c r="AA45" s="404">
        <v>1973</v>
      </c>
      <c r="AB45" s="404">
        <v>38</v>
      </c>
      <c r="AC45" s="404">
        <v>90</v>
      </c>
      <c r="AD45" s="404">
        <v>51</v>
      </c>
      <c r="AE45" s="404">
        <v>74</v>
      </c>
      <c r="AF45" s="404">
        <v>44</v>
      </c>
      <c r="AG45" s="404">
        <v>82</v>
      </c>
      <c r="AH45" s="404">
        <v>63</v>
      </c>
      <c r="AI45" s="404">
        <v>0.72</v>
      </c>
      <c r="AJ45" s="404">
        <v>0</v>
      </c>
      <c r="AK45" s="404">
        <v>0.2</v>
      </c>
      <c r="AL45" s="404">
        <v>0</v>
      </c>
    </row>
    <row r="46" spans="1:38" x14ac:dyDescent="0.25">
      <c r="A46" s="404">
        <v>1971</v>
      </c>
      <c r="B46" s="404">
        <v>28</v>
      </c>
      <c r="C46" s="404">
        <v>91</v>
      </c>
      <c r="D46" s="404">
        <v>45</v>
      </c>
      <c r="E46" s="404">
        <v>69</v>
      </c>
      <c r="F46" s="404">
        <v>38.299999999999997</v>
      </c>
      <c r="G46" s="404">
        <v>78.8</v>
      </c>
      <c r="H46" s="404">
        <v>58.5</v>
      </c>
      <c r="I46" s="404">
        <v>0.23</v>
      </c>
      <c r="J46" s="404">
        <v>0</v>
      </c>
      <c r="K46" s="404">
        <v>0.15</v>
      </c>
      <c r="L46" s="404">
        <v>0</v>
      </c>
      <c r="N46" s="404">
        <v>1972</v>
      </c>
      <c r="O46" s="404">
        <v>34</v>
      </c>
      <c r="P46" s="404">
        <v>94</v>
      </c>
      <c r="Q46" s="404">
        <v>49</v>
      </c>
      <c r="R46" s="404">
        <v>53</v>
      </c>
      <c r="S46" s="404">
        <v>41.6</v>
      </c>
      <c r="T46" s="404">
        <v>82.5</v>
      </c>
      <c r="U46" s="404">
        <v>62</v>
      </c>
      <c r="V46" s="404">
        <v>0.86</v>
      </c>
      <c r="W46" s="404">
        <v>0</v>
      </c>
      <c r="X46" s="404">
        <v>0.2</v>
      </c>
      <c r="Y46" s="404">
        <v>0</v>
      </c>
      <c r="AA46" s="404">
        <v>1972</v>
      </c>
      <c r="AB46" s="404">
        <v>34</v>
      </c>
      <c r="AC46" s="404">
        <v>90</v>
      </c>
      <c r="AD46" s="404">
        <v>51</v>
      </c>
      <c r="AE46" s="404">
        <v>65</v>
      </c>
      <c r="AF46" s="404">
        <v>43.7</v>
      </c>
      <c r="AG46" s="404">
        <v>80.3</v>
      </c>
      <c r="AH46" s="404">
        <v>62</v>
      </c>
      <c r="AI46" s="404">
        <v>4.37</v>
      </c>
      <c r="AJ46" s="404">
        <v>0</v>
      </c>
      <c r="AK46" s="404">
        <v>0.9</v>
      </c>
      <c r="AL46" s="404">
        <v>0</v>
      </c>
    </row>
    <row r="47" spans="1:38" x14ac:dyDescent="0.25">
      <c r="A47" s="404">
        <v>1970</v>
      </c>
      <c r="B47" s="404">
        <v>29</v>
      </c>
      <c r="C47" s="404">
        <v>93</v>
      </c>
      <c r="D47" s="404">
        <v>50</v>
      </c>
      <c r="E47" s="404">
        <v>53</v>
      </c>
      <c r="F47" s="404">
        <v>38.700000000000003</v>
      </c>
      <c r="G47" s="404">
        <v>74.7</v>
      </c>
      <c r="H47" s="404">
        <v>56.7</v>
      </c>
      <c r="I47" s="404">
        <v>2.62</v>
      </c>
      <c r="J47" s="404">
        <v>0</v>
      </c>
      <c r="K47" s="404">
        <v>2</v>
      </c>
      <c r="L47" s="404">
        <v>0</v>
      </c>
      <c r="N47" s="404">
        <v>1971</v>
      </c>
      <c r="O47" s="404">
        <v>36</v>
      </c>
      <c r="P47" s="404">
        <v>93</v>
      </c>
      <c r="Q47" s="404">
        <v>53</v>
      </c>
      <c r="R47" s="404">
        <v>60</v>
      </c>
      <c r="S47" s="404">
        <v>43.8</v>
      </c>
      <c r="T47" s="404">
        <v>79.5</v>
      </c>
      <c r="U47" s="404">
        <v>61.7</v>
      </c>
      <c r="V47" s="404">
        <v>1.65</v>
      </c>
      <c r="W47" s="404">
        <v>0</v>
      </c>
      <c r="X47" s="404">
        <v>0.6</v>
      </c>
      <c r="Y47" s="404">
        <v>0</v>
      </c>
      <c r="AA47" s="404">
        <v>1971</v>
      </c>
      <c r="AB47" s="404">
        <v>34</v>
      </c>
      <c r="AC47" s="404">
        <v>86</v>
      </c>
      <c r="AD47" s="404">
        <v>52</v>
      </c>
      <c r="AE47" s="404">
        <v>77</v>
      </c>
      <c r="AF47" s="404">
        <v>43.4</v>
      </c>
      <c r="AG47" s="404">
        <v>81.2</v>
      </c>
      <c r="AH47" s="404">
        <v>62.3</v>
      </c>
      <c r="AI47" s="404">
        <v>0.54</v>
      </c>
      <c r="AJ47" s="404">
        <v>0</v>
      </c>
      <c r="AK47" s="404">
        <v>0.17</v>
      </c>
      <c r="AL47" s="404">
        <v>0</v>
      </c>
    </row>
    <row r="48" spans="1:38" x14ac:dyDescent="0.25">
      <c r="A48" s="404">
        <v>1969</v>
      </c>
      <c r="B48" s="404">
        <v>30</v>
      </c>
      <c r="C48" s="404">
        <v>85</v>
      </c>
      <c r="D48" s="404">
        <v>52</v>
      </c>
      <c r="E48" s="404">
        <v>46</v>
      </c>
      <c r="F48" s="404">
        <v>38.700000000000003</v>
      </c>
      <c r="G48" s="404">
        <v>67.400000000000006</v>
      </c>
      <c r="H48" s="404">
        <v>53</v>
      </c>
      <c r="I48" s="404">
        <v>3.02</v>
      </c>
      <c r="J48" s="404">
        <v>0</v>
      </c>
      <c r="K48" s="404">
        <v>0.68</v>
      </c>
      <c r="L48" s="404">
        <v>0</v>
      </c>
      <c r="N48" s="404">
        <v>1970</v>
      </c>
      <c r="O48" s="404">
        <v>35</v>
      </c>
      <c r="P48" s="404">
        <v>87</v>
      </c>
      <c r="Q48" s="404">
        <v>53</v>
      </c>
      <c r="R48" s="404">
        <v>76</v>
      </c>
      <c r="S48" s="404">
        <v>45.4</v>
      </c>
      <c r="T48" s="404">
        <v>81.2</v>
      </c>
      <c r="U48" s="404">
        <v>63.3</v>
      </c>
      <c r="V48" s="404">
        <v>4.2</v>
      </c>
      <c r="W48" s="404">
        <v>0</v>
      </c>
      <c r="X48" s="404">
        <v>1.85</v>
      </c>
      <c r="Y48" s="404">
        <v>0</v>
      </c>
      <c r="AA48" s="404">
        <v>1970</v>
      </c>
      <c r="AB48" s="404">
        <v>39</v>
      </c>
      <c r="AC48" s="404">
        <v>90</v>
      </c>
      <c r="AD48" s="404">
        <v>58</v>
      </c>
      <c r="AE48" s="404">
        <v>70</v>
      </c>
      <c r="AF48" s="404">
        <v>45.5</v>
      </c>
      <c r="AG48" s="404">
        <v>82.2</v>
      </c>
      <c r="AH48" s="404">
        <v>63.9</v>
      </c>
      <c r="AI48" s="404">
        <v>2.41</v>
      </c>
      <c r="AJ48" s="404">
        <v>0</v>
      </c>
      <c r="AK48" s="404">
        <v>1.47</v>
      </c>
      <c r="AL48" s="404">
        <v>0</v>
      </c>
    </row>
    <row r="49" spans="1:38" x14ac:dyDescent="0.25">
      <c r="A49" s="404">
        <v>1968</v>
      </c>
      <c r="B49" s="404">
        <v>29</v>
      </c>
      <c r="C49" s="404">
        <v>90</v>
      </c>
      <c r="D49" s="404">
        <v>44</v>
      </c>
      <c r="E49" s="404">
        <v>62</v>
      </c>
      <c r="F49" s="404">
        <v>38.6</v>
      </c>
      <c r="G49" s="404">
        <v>77</v>
      </c>
      <c r="H49" s="404">
        <v>57.8</v>
      </c>
      <c r="I49" s="404">
        <v>0.9</v>
      </c>
      <c r="J49" s="404">
        <v>0</v>
      </c>
      <c r="K49" s="404">
        <v>0.64</v>
      </c>
      <c r="L49" s="404">
        <v>0</v>
      </c>
      <c r="N49" s="404">
        <v>1969</v>
      </c>
      <c r="O49" s="404">
        <v>39</v>
      </c>
      <c r="P49" s="404">
        <v>89</v>
      </c>
      <c r="Q49" s="404">
        <v>54</v>
      </c>
      <c r="R49" s="404">
        <v>71</v>
      </c>
      <c r="S49" s="404">
        <v>46.3</v>
      </c>
      <c r="T49" s="404">
        <v>81.900000000000006</v>
      </c>
      <c r="U49" s="404">
        <v>64.099999999999994</v>
      </c>
      <c r="V49" s="404">
        <v>1.43</v>
      </c>
      <c r="W49" s="404">
        <v>0</v>
      </c>
      <c r="X49" s="404">
        <v>0.28999999999999998</v>
      </c>
      <c r="Y49" s="404">
        <v>0</v>
      </c>
      <c r="AA49" s="404">
        <v>1969</v>
      </c>
      <c r="AB49" s="404">
        <v>39</v>
      </c>
      <c r="AC49" s="404">
        <v>93</v>
      </c>
      <c r="AD49" s="404">
        <v>51</v>
      </c>
      <c r="AE49" s="404">
        <v>74</v>
      </c>
      <c r="AF49" s="404">
        <v>45.1</v>
      </c>
      <c r="AG49" s="404">
        <v>82.8</v>
      </c>
      <c r="AH49" s="404">
        <v>64</v>
      </c>
      <c r="AI49" s="404">
        <v>1.81</v>
      </c>
      <c r="AJ49" s="404">
        <v>0</v>
      </c>
      <c r="AK49" s="404">
        <v>0.79</v>
      </c>
      <c r="AL49" s="404">
        <v>0</v>
      </c>
    </row>
    <row r="50" spans="1:38" x14ac:dyDescent="0.25">
      <c r="A50" s="404">
        <v>1967</v>
      </c>
      <c r="B50" s="404">
        <v>34</v>
      </c>
      <c r="C50" s="404">
        <v>81</v>
      </c>
      <c r="D50" s="404">
        <v>46</v>
      </c>
      <c r="E50" s="404">
        <v>54</v>
      </c>
      <c r="F50" s="404">
        <v>39.6</v>
      </c>
      <c r="G50" s="404">
        <v>69.099999999999994</v>
      </c>
      <c r="H50" s="404">
        <v>54.3</v>
      </c>
      <c r="I50" s="404">
        <v>4.2300000000000004</v>
      </c>
      <c r="J50" s="404">
        <v>0</v>
      </c>
      <c r="K50" s="404">
        <v>0.64</v>
      </c>
      <c r="L50" s="404">
        <v>0</v>
      </c>
      <c r="N50" s="404">
        <v>1968</v>
      </c>
      <c r="O50" s="404">
        <v>26</v>
      </c>
      <c r="P50" s="404">
        <v>88</v>
      </c>
      <c r="Q50" s="404">
        <v>54</v>
      </c>
      <c r="R50" s="404">
        <v>63</v>
      </c>
      <c r="S50" s="404">
        <v>42.8</v>
      </c>
      <c r="T50" s="404">
        <v>79.599999999999994</v>
      </c>
      <c r="U50" s="404">
        <v>61.2</v>
      </c>
      <c r="V50" s="404">
        <v>1.6</v>
      </c>
      <c r="W50" s="404">
        <v>0</v>
      </c>
      <c r="X50" s="404">
        <v>0.49</v>
      </c>
      <c r="Y50" s="404">
        <v>0</v>
      </c>
      <c r="AA50" s="404">
        <v>1968</v>
      </c>
      <c r="AB50" s="404">
        <v>29</v>
      </c>
      <c r="AC50" s="404">
        <v>85</v>
      </c>
      <c r="AD50" s="404">
        <v>54</v>
      </c>
      <c r="AE50" s="404">
        <v>60</v>
      </c>
      <c r="AF50" s="404">
        <v>42.7</v>
      </c>
      <c r="AG50" s="404">
        <v>77</v>
      </c>
      <c r="AH50" s="404">
        <v>59.9</v>
      </c>
      <c r="AI50" s="404">
        <v>1.04</v>
      </c>
      <c r="AJ50" s="404">
        <v>0</v>
      </c>
      <c r="AK50" s="404">
        <v>0.28999999999999998</v>
      </c>
      <c r="AL50" s="404">
        <v>0</v>
      </c>
    </row>
    <row r="51" spans="1:38" x14ac:dyDescent="0.25">
      <c r="A51" s="404">
        <v>1966</v>
      </c>
      <c r="B51" s="404">
        <v>31</v>
      </c>
      <c r="C51" s="404">
        <v>86</v>
      </c>
      <c r="D51" s="404">
        <v>50</v>
      </c>
      <c r="E51" s="404">
        <v>53</v>
      </c>
      <c r="F51" s="404">
        <v>40.700000000000003</v>
      </c>
      <c r="G51" s="404">
        <v>75.599999999999994</v>
      </c>
      <c r="H51" s="404">
        <v>58.2</v>
      </c>
      <c r="I51" s="404">
        <v>1.65</v>
      </c>
      <c r="J51" s="404">
        <v>0</v>
      </c>
      <c r="K51" s="404">
        <v>0.65</v>
      </c>
      <c r="L51" s="404">
        <v>0</v>
      </c>
      <c r="N51" s="404">
        <v>1967</v>
      </c>
      <c r="O51" s="404">
        <v>40</v>
      </c>
      <c r="P51" s="404">
        <v>87</v>
      </c>
      <c r="Q51" s="404">
        <v>57</v>
      </c>
      <c r="R51" s="404">
        <v>71</v>
      </c>
      <c r="S51" s="404">
        <v>46.5</v>
      </c>
      <c r="T51" s="404">
        <v>79.099999999999994</v>
      </c>
      <c r="U51" s="404">
        <v>62.8</v>
      </c>
      <c r="V51" s="404">
        <v>3.09</v>
      </c>
      <c r="W51" s="404">
        <v>0</v>
      </c>
      <c r="X51" s="404">
        <v>0.73</v>
      </c>
      <c r="Y51" s="404">
        <v>0</v>
      </c>
      <c r="AA51" s="404">
        <v>1967</v>
      </c>
      <c r="AB51" s="404">
        <v>34</v>
      </c>
      <c r="AC51" s="404">
        <v>86</v>
      </c>
      <c r="AD51" s="404">
        <v>51</v>
      </c>
      <c r="AE51" s="404">
        <v>55</v>
      </c>
      <c r="AF51" s="404">
        <v>42</v>
      </c>
      <c r="AG51" s="404">
        <v>77</v>
      </c>
      <c r="AH51" s="404">
        <v>59.5</v>
      </c>
      <c r="AI51" s="404">
        <v>1.67</v>
      </c>
      <c r="AJ51" s="404">
        <v>0</v>
      </c>
      <c r="AK51" s="404">
        <v>0.39</v>
      </c>
      <c r="AL51" s="404">
        <v>0</v>
      </c>
    </row>
    <row r="52" spans="1:38" x14ac:dyDescent="0.25">
      <c r="A52" s="404">
        <v>1965</v>
      </c>
      <c r="B52" s="404">
        <v>32</v>
      </c>
      <c r="C52" s="404">
        <v>81</v>
      </c>
      <c r="D52" s="404">
        <v>49</v>
      </c>
      <c r="E52" s="404">
        <v>48</v>
      </c>
      <c r="F52" s="404">
        <v>40.700000000000003</v>
      </c>
      <c r="G52" s="404">
        <v>72</v>
      </c>
      <c r="H52" s="404">
        <v>56.4</v>
      </c>
      <c r="I52" s="404">
        <v>4.75</v>
      </c>
      <c r="J52" s="404">
        <v>0</v>
      </c>
      <c r="K52" s="404">
        <v>2.06</v>
      </c>
      <c r="L52" s="404">
        <v>0</v>
      </c>
      <c r="N52" s="404">
        <v>1966</v>
      </c>
      <c r="O52" s="404">
        <v>41</v>
      </c>
      <c r="P52" s="404">
        <v>93</v>
      </c>
      <c r="Q52" s="404">
        <v>58</v>
      </c>
      <c r="R52" s="404">
        <v>77</v>
      </c>
      <c r="S52" s="404">
        <v>49.7</v>
      </c>
      <c r="T52" s="404">
        <v>85.2</v>
      </c>
      <c r="U52" s="404">
        <v>67.5</v>
      </c>
      <c r="V52" s="404">
        <v>0.64</v>
      </c>
      <c r="W52" s="404">
        <v>0</v>
      </c>
      <c r="X52" s="404">
        <v>0.22</v>
      </c>
      <c r="Y52" s="404">
        <v>0</v>
      </c>
      <c r="AA52" s="404">
        <v>1966</v>
      </c>
      <c r="AB52" s="404">
        <v>34</v>
      </c>
      <c r="AC52" s="404">
        <v>88</v>
      </c>
      <c r="AD52" s="404">
        <v>55</v>
      </c>
      <c r="AE52" s="404">
        <v>60</v>
      </c>
      <c r="AF52" s="404">
        <v>44.8</v>
      </c>
      <c r="AG52" s="404">
        <v>78.7</v>
      </c>
      <c r="AH52" s="404">
        <v>61.8</v>
      </c>
      <c r="AI52" s="404">
        <v>1.88</v>
      </c>
      <c r="AJ52" s="404">
        <v>0</v>
      </c>
      <c r="AK52" s="404">
        <v>0.44</v>
      </c>
      <c r="AL52" s="404">
        <v>0</v>
      </c>
    </row>
    <row r="53" spans="1:38" x14ac:dyDescent="0.25">
      <c r="A53" s="404">
        <v>1964</v>
      </c>
      <c r="B53" s="404">
        <v>30</v>
      </c>
      <c r="C53" s="404">
        <v>84</v>
      </c>
      <c r="D53" s="404">
        <v>49</v>
      </c>
      <c r="E53" s="404">
        <v>51</v>
      </c>
      <c r="F53" s="404">
        <v>39.5</v>
      </c>
      <c r="G53" s="404">
        <v>73.099999999999994</v>
      </c>
      <c r="H53" s="404">
        <v>56.3</v>
      </c>
      <c r="I53" s="404">
        <v>2.0099999999999998</v>
      </c>
      <c r="J53" s="404">
        <v>0</v>
      </c>
      <c r="K53" s="404">
        <v>0.48</v>
      </c>
      <c r="L53" s="404">
        <v>0</v>
      </c>
      <c r="N53" s="404">
        <v>1965</v>
      </c>
      <c r="O53" s="404">
        <v>41</v>
      </c>
      <c r="P53" s="404">
        <v>84</v>
      </c>
      <c r="Q53" s="404">
        <v>54</v>
      </c>
      <c r="R53" s="404">
        <v>62</v>
      </c>
      <c r="S53" s="404">
        <v>46.8</v>
      </c>
      <c r="T53" s="404">
        <v>79.5</v>
      </c>
      <c r="U53" s="404">
        <v>63.2</v>
      </c>
      <c r="V53" s="404">
        <v>6.92</v>
      </c>
      <c r="W53" s="404">
        <v>0</v>
      </c>
      <c r="X53" s="404">
        <v>1.32</v>
      </c>
      <c r="Y53" s="404">
        <v>0</v>
      </c>
      <c r="AA53" s="404">
        <v>1965</v>
      </c>
      <c r="AB53" s="404">
        <v>37</v>
      </c>
      <c r="AC53" s="404">
        <v>87</v>
      </c>
      <c r="AD53" s="404">
        <v>51</v>
      </c>
      <c r="AE53" s="404">
        <v>65</v>
      </c>
      <c r="AF53" s="404">
        <v>43.3</v>
      </c>
      <c r="AG53" s="404">
        <v>77.3</v>
      </c>
      <c r="AH53" s="404">
        <v>60.3</v>
      </c>
      <c r="AI53" s="404">
        <v>2.38</v>
      </c>
      <c r="AJ53" s="404">
        <v>0</v>
      </c>
      <c r="AK53" s="404">
        <v>0.43</v>
      </c>
      <c r="AL53" s="404">
        <v>0</v>
      </c>
    </row>
    <row r="54" spans="1:38" x14ac:dyDescent="0.25">
      <c r="A54" s="404">
        <v>1963</v>
      </c>
      <c r="B54" s="404">
        <v>34</v>
      </c>
      <c r="C54" s="404">
        <v>90</v>
      </c>
      <c r="D54" s="404">
        <v>45</v>
      </c>
      <c r="E54" s="404">
        <v>57</v>
      </c>
      <c r="F54" s="404">
        <v>40</v>
      </c>
      <c r="G54" s="404">
        <v>78.8</v>
      </c>
      <c r="H54" s="404">
        <v>59.4</v>
      </c>
      <c r="I54" s="404">
        <v>4.17</v>
      </c>
      <c r="J54" s="404">
        <v>0</v>
      </c>
      <c r="K54" s="404">
        <v>2.57</v>
      </c>
      <c r="L54" s="404">
        <v>0</v>
      </c>
      <c r="N54" s="404">
        <v>1964</v>
      </c>
      <c r="O54" s="404">
        <v>40</v>
      </c>
      <c r="P54" s="404">
        <v>88</v>
      </c>
      <c r="Q54" s="404">
        <v>58</v>
      </c>
      <c r="R54" s="404">
        <v>76</v>
      </c>
      <c r="S54" s="404">
        <v>47.6</v>
      </c>
      <c r="T54" s="404">
        <v>84</v>
      </c>
      <c r="U54" s="404">
        <v>65.8</v>
      </c>
      <c r="V54" s="404">
        <v>2.4</v>
      </c>
      <c r="W54" s="404">
        <v>0</v>
      </c>
      <c r="X54" s="404">
        <v>0.77</v>
      </c>
      <c r="Y54" s="404">
        <v>0</v>
      </c>
      <c r="AA54" s="404">
        <v>1964</v>
      </c>
      <c r="AB54" s="404">
        <v>30</v>
      </c>
      <c r="AC54" s="404">
        <v>88</v>
      </c>
      <c r="AD54" s="404">
        <v>51</v>
      </c>
      <c r="AE54" s="404">
        <v>67</v>
      </c>
      <c r="AF54" s="404">
        <v>42.8</v>
      </c>
      <c r="AG54" s="404">
        <v>78.5</v>
      </c>
      <c r="AH54" s="404">
        <v>60.7</v>
      </c>
      <c r="AI54" s="404">
        <v>2.81</v>
      </c>
      <c r="AJ54" s="404">
        <v>0</v>
      </c>
      <c r="AK54" s="404">
        <v>1.03</v>
      </c>
      <c r="AL54" s="404">
        <v>0</v>
      </c>
    </row>
    <row r="55" spans="1:38" x14ac:dyDescent="0.25">
      <c r="A55" s="404">
        <v>1962</v>
      </c>
      <c r="B55" s="404">
        <v>29</v>
      </c>
      <c r="C55" s="404">
        <v>92</v>
      </c>
      <c r="D55" s="404">
        <v>52</v>
      </c>
      <c r="E55" s="404">
        <v>60</v>
      </c>
      <c r="F55" s="404">
        <v>39</v>
      </c>
      <c r="G55" s="404">
        <v>77.099999999999994</v>
      </c>
      <c r="H55" s="404">
        <v>58.1</v>
      </c>
      <c r="I55" s="404">
        <v>2.8</v>
      </c>
      <c r="J55" s="404">
        <v>0</v>
      </c>
      <c r="K55" s="404">
        <v>0.92</v>
      </c>
      <c r="L55" s="404">
        <v>0</v>
      </c>
      <c r="N55" s="404">
        <v>1963</v>
      </c>
      <c r="O55" s="404">
        <v>39</v>
      </c>
      <c r="P55" s="404">
        <v>91</v>
      </c>
      <c r="Q55" s="404">
        <v>55</v>
      </c>
      <c r="R55" s="404">
        <v>79</v>
      </c>
      <c r="S55" s="404">
        <v>46.4</v>
      </c>
      <c r="T55" s="404">
        <v>85.1</v>
      </c>
      <c r="U55" s="404">
        <v>65.7</v>
      </c>
      <c r="V55" s="404">
        <v>0.37</v>
      </c>
      <c r="W55" s="404">
        <v>0</v>
      </c>
      <c r="X55" s="404">
        <v>0.2</v>
      </c>
      <c r="Y55" s="404">
        <v>0</v>
      </c>
      <c r="AA55" s="404">
        <v>1963</v>
      </c>
      <c r="AB55" s="404">
        <v>40</v>
      </c>
      <c r="AC55" s="404">
        <v>90</v>
      </c>
      <c r="AD55" s="404">
        <v>53</v>
      </c>
      <c r="AE55" s="404">
        <v>69</v>
      </c>
      <c r="AF55" s="404">
        <v>47.1</v>
      </c>
      <c r="AG55" s="404">
        <v>78.400000000000006</v>
      </c>
      <c r="AH55" s="404">
        <v>62.7</v>
      </c>
      <c r="AI55" s="404">
        <v>4.09</v>
      </c>
      <c r="AJ55" s="404">
        <v>0</v>
      </c>
      <c r="AK55" s="404">
        <v>0.78</v>
      </c>
      <c r="AL55" s="404">
        <v>0</v>
      </c>
    </row>
    <row r="56" spans="1:38" x14ac:dyDescent="0.25">
      <c r="A56" s="404">
        <v>1961</v>
      </c>
      <c r="B56" s="404">
        <v>33</v>
      </c>
      <c r="C56" s="404">
        <v>89</v>
      </c>
      <c r="D56" s="404">
        <v>47</v>
      </c>
      <c r="E56" s="404">
        <v>55</v>
      </c>
      <c r="F56" s="404">
        <v>39.9</v>
      </c>
      <c r="G56" s="404">
        <v>76.900000000000006</v>
      </c>
      <c r="H56" s="404">
        <v>58.4</v>
      </c>
      <c r="I56" s="404">
        <v>2.0499999999999998</v>
      </c>
      <c r="J56" s="404">
        <v>0</v>
      </c>
      <c r="K56" s="404">
        <v>0.69</v>
      </c>
      <c r="L56" s="404">
        <v>0</v>
      </c>
      <c r="N56" s="404">
        <v>1962</v>
      </c>
      <c r="O56" s="404">
        <v>36</v>
      </c>
      <c r="P56" s="404">
        <v>95</v>
      </c>
      <c r="Q56" s="404">
        <v>53</v>
      </c>
      <c r="R56" s="404">
        <v>76</v>
      </c>
      <c r="S56" s="404">
        <v>43.2</v>
      </c>
      <c r="T56" s="404">
        <v>86.8</v>
      </c>
      <c r="U56" s="404">
        <v>65</v>
      </c>
      <c r="V56" s="404">
        <v>1.34</v>
      </c>
      <c r="W56" s="404">
        <v>0</v>
      </c>
      <c r="X56" s="404">
        <v>0.59</v>
      </c>
      <c r="Y56" s="404">
        <v>0</v>
      </c>
      <c r="AA56" s="404">
        <v>1962</v>
      </c>
      <c r="AB56" s="404">
        <v>33</v>
      </c>
      <c r="AC56" s="404" t="s">
        <v>633</v>
      </c>
      <c r="AD56" s="404">
        <v>50</v>
      </c>
      <c r="AE56" s="404" t="s">
        <v>633</v>
      </c>
      <c r="AF56" s="404">
        <v>42.3</v>
      </c>
      <c r="AG56" s="404" t="s">
        <v>633</v>
      </c>
      <c r="AH56" s="404" t="s">
        <v>633</v>
      </c>
      <c r="AI56" s="404">
        <v>0.65</v>
      </c>
      <c r="AJ56" s="404">
        <v>0</v>
      </c>
      <c r="AK56" s="404">
        <v>0.23</v>
      </c>
      <c r="AL56" s="404">
        <v>0</v>
      </c>
    </row>
    <row r="57" spans="1:38" x14ac:dyDescent="0.25">
      <c r="G57">
        <f>PERCENTILE(G6:G56,0.9)</f>
        <v>79.3</v>
      </c>
      <c r="H57">
        <f t="shared" ref="H57" si="0">PERCENTILE(H6:H56,0.9)</f>
        <v>60.96</v>
      </c>
      <c r="I57">
        <f>PERCENTILE(I6:I56,0.45)</f>
        <v>1.85</v>
      </c>
      <c r="N57" s="404">
        <v>1961</v>
      </c>
      <c r="O57" s="404">
        <v>35</v>
      </c>
      <c r="P57" s="404">
        <v>89</v>
      </c>
      <c r="Q57" s="404">
        <v>52</v>
      </c>
      <c r="R57" s="404">
        <v>67</v>
      </c>
      <c r="S57" s="404">
        <v>44.6</v>
      </c>
      <c r="T57" s="404">
        <v>80.900000000000006</v>
      </c>
      <c r="U57" s="404">
        <v>62.7</v>
      </c>
      <c r="V57" s="404">
        <v>2.59</v>
      </c>
      <c r="W57" s="404">
        <v>0</v>
      </c>
      <c r="X57" s="404">
        <v>0.42</v>
      </c>
      <c r="Y57" s="404">
        <v>0</v>
      </c>
      <c r="AA57" s="404">
        <v>1961</v>
      </c>
      <c r="AB57" s="404">
        <v>40</v>
      </c>
      <c r="AC57" s="404">
        <v>86</v>
      </c>
      <c r="AD57" s="404">
        <v>52</v>
      </c>
      <c r="AE57" s="404">
        <v>72</v>
      </c>
      <c r="AF57" s="404">
        <v>44.8</v>
      </c>
      <c r="AG57" s="404">
        <v>78.400000000000006</v>
      </c>
      <c r="AH57" s="404">
        <v>61.6</v>
      </c>
      <c r="AI57" s="404">
        <v>3.71</v>
      </c>
      <c r="AJ57" s="404">
        <v>0</v>
      </c>
      <c r="AK57" s="404">
        <v>0.89</v>
      </c>
      <c r="AL57" s="404">
        <v>0</v>
      </c>
    </row>
    <row r="58" spans="1:38" x14ac:dyDescent="0.25">
      <c r="I58">
        <f>AVERAGE(I6:I56)</f>
        <v>2.1262000000000008</v>
      </c>
      <c r="T58">
        <f>PERCENTILE(T7:T57,0.9)</f>
        <v>85.5</v>
      </c>
      <c r="U58">
        <f>PERCENTILE(U7:U57,0.9)</f>
        <v>67</v>
      </c>
      <c r="V58">
        <f>PERCENTILE(V7:V57,0.4)</f>
        <v>1.9</v>
      </c>
      <c r="X58">
        <f>PERCENTILE(X7:X57,0.1)</f>
        <v>0.22</v>
      </c>
      <c r="AG58">
        <f>PERCENTILE(AG7:AG57,0.9)</f>
        <v>82.92</v>
      </c>
      <c r="AH58">
        <f>PERCENTILE(AH7:AH57,0.9)</f>
        <v>65.31</v>
      </c>
      <c r="AI58">
        <f>PERCENTILE(AI7:AI57,0.55)</f>
        <v>2.4670000000000005</v>
      </c>
      <c r="AK58">
        <f>PERCENTILE(AK7:AK57,0.1)</f>
        <v>0.19800000000000001</v>
      </c>
    </row>
    <row r="59" spans="1:38" x14ac:dyDescent="0.25">
      <c r="V59">
        <f>AVERAGE(V7:V57)</f>
        <v>2.2707843137254913</v>
      </c>
      <c r="AI59">
        <f>AVERAGE(AI7:AI57)</f>
        <v>2.2850000000000006</v>
      </c>
    </row>
  </sheetData>
  <mergeCells count="6">
    <mergeCell ref="A2:A5"/>
    <mergeCell ref="N3:N6"/>
    <mergeCell ref="AA3:AA6"/>
    <mergeCell ref="A1:L1"/>
    <mergeCell ref="N1:Y1"/>
    <mergeCell ref="AA1:AL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U20"/>
  <sheetViews>
    <sheetView topLeftCell="L1" workbookViewId="0">
      <selection activeCell="P1" sqref="P1:U6"/>
    </sheetView>
  </sheetViews>
  <sheetFormatPr defaultRowHeight="12.5" x14ac:dyDescent="0.25"/>
  <cols>
    <col min="1" max="1" width="38.54296875" bestFit="1" customWidth="1"/>
    <col min="2" max="4" width="5.08984375" bestFit="1" customWidth="1"/>
    <col min="5" max="9" width="6.08984375" bestFit="1" customWidth="1"/>
    <col min="10" max="10" width="4.54296875" bestFit="1" customWidth="1"/>
    <col min="11" max="12" width="4.08984375" bestFit="1" customWidth="1"/>
    <col min="13" max="13" width="4.453125" bestFit="1" customWidth="1"/>
    <col min="14" max="14" width="7.36328125" bestFit="1" customWidth="1"/>
    <col min="16" max="16" width="39.36328125" bestFit="1" customWidth="1"/>
    <col min="17" max="17" width="11.90625" bestFit="1" customWidth="1"/>
    <col min="18" max="19" width="9.36328125" bestFit="1" customWidth="1"/>
    <col min="20" max="20" width="11" bestFit="1" customWidth="1"/>
    <col min="21" max="21" width="9.36328125" bestFit="1" customWidth="1"/>
  </cols>
  <sheetData>
    <row r="1" spans="1:21" x14ac:dyDescent="0.25">
      <c r="A1" s="907" t="s">
        <v>297</v>
      </c>
      <c r="B1" s="804" t="s">
        <v>881</v>
      </c>
      <c r="C1" s="804"/>
      <c r="D1" s="804"/>
      <c r="E1" s="804"/>
      <c r="F1" s="804"/>
      <c r="G1" s="804"/>
      <c r="H1" s="804"/>
      <c r="I1" s="804"/>
      <c r="J1" s="804"/>
      <c r="K1" s="804"/>
      <c r="L1" s="804"/>
      <c r="M1" s="804"/>
      <c r="P1" s="56" t="s">
        <v>657</v>
      </c>
      <c r="Q1" s="56">
        <v>8.1999999999999993</v>
      </c>
      <c r="R1" s="56">
        <v>12</v>
      </c>
      <c r="S1" s="56">
        <v>2</v>
      </c>
      <c r="T1" s="56">
        <v>2.8</v>
      </c>
      <c r="U1" s="56">
        <v>7.5</v>
      </c>
    </row>
    <row r="2" spans="1:21" x14ac:dyDescent="0.25">
      <c r="A2" s="908"/>
      <c r="B2" s="164" t="s">
        <v>69</v>
      </c>
      <c r="C2" s="164" t="s">
        <v>70</v>
      </c>
      <c r="D2" s="164" t="s">
        <v>71</v>
      </c>
      <c r="E2" s="164" t="s">
        <v>72</v>
      </c>
      <c r="F2" s="164" t="s">
        <v>73</v>
      </c>
      <c r="G2" s="164" t="s">
        <v>74</v>
      </c>
      <c r="H2" s="164" t="s">
        <v>75</v>
      </c>
      <c r="I2" s="164" t="s">
        <v>76</v>
      </c>
      <c r="J2" s="164" t="s">
        <v>77</v>
      </c>
      <c r="K2" s="164" t="s">
        <v>78</v>
      </c>
      <c r="L2" s="164" t="s">
        <v>79</v>
      </c>
      <c r="M2" s="164" t="s">
        <v>80</v>
      </c>
      <c r="N2" s="164" t="s">
        <v>721</v>
      </c>
      <c r="P2" s="56"/>
      <c r="Q2" s="164" t="s">
        <v>658</v>
      </c>
      <c r="R2" s="164" t="s">
        <v>728</v>
      </c>
      <c r="S2" s="164" t="s">
        <v>728</v>
      </c>
      <c r="T2" s="164" t="s">
        <v>728</v>
      </c>
      <c r="U2" s="164" t="s">
        <v>728</v>
      </c>
    </row>
    <row r="3" spans="1:21" x14ac:dyDescent="0.25">
      <c r="A3" s="56" t="s">
        <v>229</v>
      </c>
      <c r="B3" s="713">
        <v>0</v>
      </c>
      <c r="C3" s="713">
        <v>0</v>
      </c>
      <c r="D3" s="713">
        <v>1.5</v>
      </c>
      <c r="E3" s="713">
        <v>13.5</v>
      </c>
      <c r="F3" s="713">
        <v>4.5</v>
      </c>
      <c r="G3" s="713">
        <v>19.5</v>
      </c>
      <c r="H3" s="713">
        <v>20.25</v>
      </c>
      <c r="I3" s="713">
        <v>6</v>
      </c>
      <c r="J3" s="713">
        <v>3.75</v>
      </c>
      <c r="K3" s="713">
        <v>1.5</v>
      </c>
      <c r="L3" s="713">
        <v>0</v>
      </c>
      <c r="M3" s="713">
        <v>0</v>
      </c>
      <c r="N3" s="498">
        <f>AVERAGE(B3:M3)</f>
        <v>5.875</v>
      </c>
      <c r="P3" s="164" t="s">
        <v>653</v>
      </c>
      <c r="Q3" s="164" t="s">
        <v>654</v>
      </c>
      <c r="R3" s="164" t="s">
        <v>30</v>
      </c>
      <c r="S3" s="164" t="s">
        <v>655</v>
      </c>
      <c r="T3" s="164" t="s">
        <v>128</v>
      </c>
      <c r="U3" s="164" t="s">
        <v>656</v>
      </c>
    </row>
    <row r="4" spans="1:21" x14ac:dyDescent="0.25">
      <c r="A4" s="56" t="s">
        <v>444</v>
      </c>
      <c r="B4" s="713">
        <v>0</v>
      </c>
      <c r="C4" s="713">
        <v>0</v>
      </c>
      <c r="D4" s="713">
        <v>0</v>
      </c>
      <c r="E4" s="713">
        <v>16</v>
      </c>
      <c r="F4" s="713">
        <v>10</v>
      </c>
      <c r="G4" s="713">
        <v>20</v>
      </c>
      <c r="H4" s="713">
        <v>22.5</v>
      </c>
      <c r="I4" s="713">
        <v>24</v>
      </c>
      <c r="J4" s="713">
        <v>17.5</v>
      </c>
      <c r="K4" s="713">
        <v>0</v>
      </c>
      <c r="L4" s="713">
        <v>0</v>
      </c>
      <c r="M4" s="713">
        <v>0</v>
      </c>
      <c r="N4" s="498">
        <f t="shared" ref="N4:N5" si="0">AVERAGE(B4:M4)</f>
        <v>9.1666666666666661</v>
      </c>
      <c r="P4" s="56" t="s">
        <v>229</v>
      </c>
      <c r="Q4" s="465">
        <f>Q1*N3</f>
        <v>48.174999999999997</v>
      </c>
      <c r="R4" s="465">
        <f>Q4*R1</f>
        <v>578.09999999999991</v>
      </c>
      <c r="S4" s="465">
        <f>Q4*S1</f>
        <v>96.35</v>
      </c>
      <c r="T4" s="465">
        <f>Q4*T1</f>
        <v>134.88999999999999</v>
      </c>
      <c r="U4" s="465">
        <f>Q4*U1</f>
        <v>361.3125</v>
      </c>
    </row>
    <row r="5" spans="1:21" x14ac:dyDescent="0.25">
      <c r="A5" s="319" t="s">
        <v>652</v>
      </c>
      <c r="B5" s="713">
        <v>0</v>
      </c>
      <c r="C5" s="713">
        <v>0</v>
      </c>
      <c r="D5" s="713">
        <v>1.5</v>
      </c>
      <c r="E5" s="713">
        <v>37.5</v>
      </c>
      <c r="F5" s="713">
        <v>19.5</v>
      </c>
      <c r="G5" s="713">
        <v>49.5</v>
      </c>
      <c r="H5" s="713">
        <v>54</v>
      </c>
      <c r="I5" s="713">
        <v>42</v>
      </c>
      <c r="J5" s="713">
        <v>30</v>
      </c>
      <c r="K5" s="713">
        <v>1.5</v>
      </c>
      <c r="L5" s="713">
        <v>0</v>
      </c>
      <c r="M5" s="713">
        <v>0</v>
      </c>
      <c r="N5" s="498">
        <f t="shared" si="0"/>
        <v>19.625</v>
      </c>
      <c r="P5" s="56" t="s">
        <v>444</v>
      </c>
      <c r="Q5" s="465">
        <f>Q1*N4</f>
        <v>75.166666666666657</v>
      </c>
      <c r="R5" s="465">
        <f>Q5*R1</f>
        <v>901.99999999999989</v>
      </c>
      <c r="S5" s="465">
        <f>Q5*S1</f>
        <v>150.33333333333331</v>
      </c>
      <c r="T5" s="465">
        <f>Q5*T1</f>
        <v>210.46666666666664</v>
      </c>
      <c r="U5" s="465">
        <f>Q5*U1</f>
        <v>563.74999999999989</v>
      </c>
    </row>
    <row r="6" spans="1:21" x14ac:dyDescent="0.25">
      <c r="A6" s="489"/>
      <c r="B6" s="164" t="s">
        <v>69</v>
      </c>
      <c r="C6" s="164" t="s">
        <v>70</v>
      </c>
      <c r="D6" s="164" t="s">
        <v>71</v>
      </c>
      <c r="E6" s="164" t="s">
        <v>72</v>
      </c>
      <c r="F6" s="164" t="s">
        <v>73</v>
      </c>
      <c r="G6" s="164" t="s">
        <v>74</v>
      </c>
      <c r="H6" s="164" t="s">
        <v>75</v>
      </c>
      <c r="I6" s="164" t="s">
        <v>76</v>
      </c>
      <c r="J6" s="164" t="s">
        <v>77</v>
      </c>
      <c r="K6" s="164" t="s">
        <v>78</v>
      </c>
      <c r="L6" s="164" t="s">
        <v>79</v>
      </c>
      <c r="M6" s="164" t="s">
        <v>80</v>
      </c>
      <c r="N6" s="164" t="s">
        <v>721</v>
      </c>
      <c r="P6" s="319" t="s">
        <v>652</v>
      </c>
      <c r="Q6" s="465">
        <f>Q1*N5</f>
        <v>160.92499999999998</v>
      </c>
      <c r="R6" s="465">
        <f>Q6*R1</f>
        <v>1931.1</v>
      </c>
      <c r="S6" s="465">
        <f>Q6*S1</f>
        <v>321.84999999999997</v>
      </c>
      <c r="T6" s="465">
        <f>Q6*T1</f>
        <v>450.58999999999992</v>
      </c>
      <c r="U6" s="465">
        <f>Q6*U1</f>
        <v>1206.9374999999998</v>
      </c>
    </row>
    <row r="7" spans="1:21" x14ac:dyDescent="0.25">
      <c r="A7" s="489" t="s">
        <v>722</v>
      </c>
      <c r="B7" s="62"/>
      <c r="C7" s="62"/>
      <c r="D7" s="62"/>
      <c r="E7" s="62"/>
      <c r="F7" s="62"/>
      <c r="G7" s="62"/>
      <c r="H7" s="62"/>
      <c r="I7" s="62"/>
      <c r="J7" s="62"/>
      <c r="K7" s="62"/>
      <c r="L7" s="62"/>
      <c r="M7" s="62"/>
      <c r="N7" s="499"/>
    </row>
    <row r="8" spans="1:21" x14ac:dyDescent="0.25">
      <c r="A8" s="56" t="s">
        <v>229</v>
      </c>
      <c r="B8" s="62">
        <v>2</v>
      </c>
      <c r="C8" s="62">
        <v>2</v>
      </c>
      <c r="D8" s="62">
        <v>2</v>
      </c>
      <c r="E8" s="62"/>
      <c r="F8" s="62"/>
      <c r="G8" s="62"/>
      <c r="H8" s="62"/>
      <c r="I8" s="62"/>
      <c r="J8" s="62"/>
      <c r="K8" s="62">
        <v>2</v>
      </c>
      <c r="L8" s="62">
        <v>2</v>
      </c>
      <c r="M8" s="62">
        <v>2</v>
      </c>
      <c r="N8" s="499"/>
    </row>
    <row r="9" spans="1:21" x14ac:dyDescent="0.25">
      <c r="A9" s="56" t="s">
        <v>444</v>
      </c>
      <c r="B9" s="62"/>
      <c r="C9" s="62"/>
      <c r="D9" s="62"/>
      <c r="E9" s="62">
        <v>18</v>
      </c>
      <c r="F9" s="62">
        <v>33</v>
      </c>
      <c r="G9" s="62">
        <v>68</v>
      </c>
      <c r="H9" s="59">
        <v>57</v>
      </c>
      <c r="I9" s="59">
        <v>48</v>
      </c>
      <c r="J9" s="59">
        <v>14</v>
      </c>
      <c r="K9" s="62"/>
      <c r="L9" s="62"/>
      <c r="M9" s="62"/>
      <c r="N9" s="499"/>
    </row>
    <row r="10" spans="1:21" x14ac:dyDescent="0.25">
      <c r="A10" s="500" t="s">
        <v>723</v>
      </c>
      <c r="B10" s="292">
        <f>B8*0.68</f>
        <v>1.36</v>
      </c>
      <c r="C10" s="292">
        <f t="shared" ref="C10:D10" si="1">C8*0.68</f>
        <v>1.36</v>
      </c>
      <c r="D10" s="292">
        <f t="shared" si="1"/>
        <v>1.36</v>
      </c>
      <c r="E10" s="292">
        <f>E9*0.81</f>
        <v>14.580000000000002</v>
      </c>
      <c r="F10" s="292">
        <f t="shared" ref="F10:J10" si="2">F9*0.81</f>
        <v>26.73</v>
      </c>
      <c r="G10" s="292">
        <f t="shared" si="2"/>
        <v>55.080000000000005</v>
      </c>
      <c r="H10" s="292">
        <f t="shared" si="2"/>
        <v>46.17</v>
      </c>
      <c r="I10" s="292">
        <f t="shared" si="2"/>
        <v>38.880000000000003</v>
      </c>
      <c r="J10" s="292">
        <f t="shared" si="2"/>
        <v>11.34</v>
      </c>
      <c r="K10" s="292">
        <f t="shared" ref="K10:M10" si="3">K8*0.68</f>
        <v>1.36</v>
      </c>
      <c r="L10" s="292">
        <f t="shared" si="3"/>
        <v>1.36</v>
      </c>
      <c r="M10" s="292">
        <f t="shared" si="3"/>
        <v>1.36</v>
      </c>
      <c r="N10" s="502">
        <f>SUM(B10:M10)</f>
        <v>200.94000000000003</v>
      </c>
    </row>
    <row r="11" spans="1:21" x14ac:dyDescent="0.25">
      <c r="A11" s="501" t="s">
        <v>725</v>
      </c>
      <c r="B11">
        <f>B10*12</f>
        <v>16.32</v>
      </c>
      <c r="C11">
        <f t="shared" ref="C11:M11" si="4">C10*12</f>
        <v>16.32</v>
      </c>
      <c r="D11">
        <f t="shared" si="4"/>
        <v>16.32</v>
      </c>
      <c r="E11">
        <f t="shared" si="4"/>
        <v>174.96000000000004</v>
      </c>
      <c r="F11">
        <f t="shared" si="4"/>
        <v>320.76</v>
      </c>
      <c r="G11">
        <f t="shared" si="4"/>
        <v>660.96</v>
      </c>
      <c r="H11">
        <f t="shared" si="4"/>
        <v>554.04</v>
      </c>
      <c r="I11">
        <f t="shared" si="4"/>
        <v>466.56000000000006</v>
      </c>
      <c r="J11">
        <f t="shared" si="4"/>
        <v>136.07999999999998</v>
      </c>
      <c r="K11">
        <f t="shared" si="4"/>
        <v>16.32</v>
      </c>
      <c r="L11">
        <f t="shared" si="4"/>
        <v>16.32</v>
      </c>
      <c r="M11">
        <f t="shared" si="4"/>
        <v>16.32</v>
      </c>
      <c r="N11" s="502">
        <f t="shared" ref="N11:N14" si="5">SUM(B11:M11)</f>
        <v>2411.2800000000007</v>
      </c>
    </row>
    <row r="12" spans="1:21" x14ac:dyDescent="0.25">
      <c r="A12" s="501" t="s">
        <v>724</v>
      </c>
      <c r="B12">
        <f>B10*2</f>
        <v>2.72</v>
      </c>
      <c r="C12">
        <f t="shared" ref="C12:M12" si="6">C10*2</f>
        <v>2.72</v>
      </c>
      <c r="D12">
        <f t="shared" si="6"/>
        <v>2.72</v>
      </c>
      <c r="E12">
        <f t="shared" si="6"/>
        <v>29.160000000000004</v>
      </c>
      <c r="F12">
        <f t="shared" si="6"/>
        <v>53.46</v>
      </c>
      <c r="G12">
        <f t="shared" si="6"/>
        <v>110.16000000000001</v>
      </c>
      <c r="H12">
        <f t="shared" si="6"/>
        <v>92.34</v>
      </c>
      <c r="I12">
        <f t="shared" si="6"/>
        <v>77.760000000000005</v>
      </c>
      <c r="J12">
        <f t="shared" si="6"/>
        <v>22.68</v>
      </c>
      <c r="K12">
        <f t="shared" si="6"/>
        <v>2.72</v>
      </c>
      <c r="L12">
        <f t="shared" si="6"/>
        <v>2.72</v>
      </c>
      <c r="M12">
        <f t="shared" si="6"/>
        <v>2.72</v>
      </c>
      <c r="N12" s="502">
        <f t="shared" si="5"/>
        <v>401.88000000000005</v>
      </c>
    </row>
    <row r="13" spans="1:21" x14ac:dyDescent="0.25">
      <c r="A13" s="501" t="s">
        <v>726</v>
      </c>
      <c r="B13">
        <f>B10*2.8</f>
        <v>3.8079999999999998</v>
      </c>
      <c r="C13">
        <f t="shared" ref="C13:M13" si="7">C10*2.8</f>
        <v>3.8079999999999998</v>
      </c>
      <c r="D13">
        <f t="shared" si="7"/>
        <v>3.8079999999999998</v>
      </c>
      <c r="E13">
        <f t="shared" si="7"/>
        <v>40.824000000000005</v>
      </c>
      <c r="F13">
        <f t="shared" si="7"/>
        <v>74.843999999999994</v>
      </c>
      <c r="G13">
        <f t="shared" si="7"/>
        <v>154.22400000000002</v>
      </c>
      <c r="H13">
        <f t="shared" si="7"/>
        <v>129.27600000000001</v>
      </c>
      <c r="I13">
        <f t="shared" si="7"/>
        <v>108.864</v>
      </c>
      <c r="J13">
        <f t="shared" si="7"/>
        <v>31.751999999999999</v>
      </c>
      <c r="K13">
        <f t="shared" si="7"/>
        <v>3.8079999999999998</v>
      </c>
      <c r="L13">
        <f t="shared" si="7"/>
        <v>3.8079999999999998</v>
      </c>
      <c r="M13">
        <f t="shared" si="7"/>
        <v>3.8079999999999998</v>
      </c>
      <c r="N13" s="502">
        <f t="shared" si="5"/>
        <v>562.63199999999995</v>
      </c>
    </row>
    <row r="14" spans="1:21" x14ac:dyDescent="0.25">
      <c r="A14" s="501" t="s">
        <v>727</v>
      </c>
      <c r="B14">
        <f>B10*7.5</f>
        <v>10.200000000000001</v>
      </c>
      <c r="C14">
        <f t="shared" ref="C14:M14" si="8">C10*7.5</f>
        <v>10.200000000000001</v>
      </c>
      <c r="D14">
        <f t="shared" si="8"/>
        <v>10.200000000000001</v>
      </c>
      <c r="E14">
        <f t="shared" si="8"/>
        <v>109.35000000000001</v>
      </c>
      <c r="F14">
        <f t="shared" si="8"/>
        <v>200.47499999999999</v>
      </c>
      <c r="G14">
        <f t="shared" si="8"/>
        <v>413.1</v>
      </c>
      <c r="H14">
        <f t="shared" si="8"/>
        <v>346.27500000000003</v>
      </c>
      <c r="I14">
        <f t="shared" si="8"/>
        <v>291.60000000000002</v>
      </c>
      <c r="J14">
        <f t="shared" si="8"/>
        <v>85.05</v>
      </c>
      <c r="K14">
        <f t="shared" si="8"/>
        <v>10.200000000000001</v>
      </c>
      <c r="L14">
        <f t="shared" si="8"/>
        <v>10.200000000000001</v>
      </c>
      <c r="M14">
        <f t="shared" si="8"/>
        <v>10.200000000000001</v>
      </c>
      <c r="N14" s="502">
        <f t="shared" si="5"/>
        <v>1507.0500000000002</v>
      </c>
    </row>
    <row r="17" spans="1:14" x14ac:dyDescent="0.25">
      <c r="A17" s="19" t="s">
        <v>723</v>
      </c>
      <c r="B17" s="712" t="s">
        <v>69</v>
      </c>
      <c r="C17" s="712" t="s">
        <v>70</v>
      </c>
      <c r="D17" s="712" t="s">
        <v>71</v>
      </c>
      <c r="E17" s="712" t="s">
        <v>72</v>
      </c>
      <c r="F17" s="712" t="s">
        <v>73</v>
      </c>
      <c r="G17" s="712" t="s">
        <v>74</v>
      </c>
      <c r="H17" s="712" t="s">
        <v>75</v>
      </c>
      <c r="I17" s="712" t="s">
        <v>76</v>
      </c>
      <c r="J17" s="712" t="s">
        <v>77</v>
      </c>
      <c r="K17" s="712" t="s">
        <v>78</v>
      </c>
      <c r="L17" s="712" t="s">
        <v>79</v>
      </c>
      <c r="M17" s="712" t="s">
        <v>80</v>
      </c>
    </row>
    <row r="18" spans="1:14" x14ac:dyDescent="0.25">
      <c r="A18" s="56" t="s">
        <v>229</v>
      </c>
      <c r="B18" s="56">
        <f>B3*0.67</f>
        <v>0</v>
      </c>
      <c r="C18" s="56">
        <f t="shared" ref="C18:M18" si="9">C3*0.67</f>
        <v>0</v>
      </c>
      <c r="D18" s="56">
        <f t="shared" si="9"/>
        <v>1.0050000000000001</v>
      </c>
      <c r="E18" s="56">
        <f t="shared" si="9"/>
        <v>9.0449999999999999</v>
      </c>
      <c r="F18" s="56">
        <f t="shared" si="9"/>
        <v>3.0150000000000001</v>
      </c>
      <c r="G18" s="56">
        <f t="shared" si="9"/>
        <v>13.065000000000001</v>
      </c>
      <c r="H18" s="56">
        <f t="shared" si="9"/>
        <v>13.567500000000001</v>
      </c>
      <c r="I18" s="56">
        <f t="shared" si="9"/>
        <v>4.0200000000000005</v>
      </c>
      <c r="J18" s="56">
        <f t="shared" si="9"/>
        <v>2.5125000000000002</v>
      </c>
      <c r="K18" s="56">
        <f t="shared" si="9"/>
        <v>1.0050000000000001</v>
      </c>
      <c r="L18" s="56">
        <f t="shared" si="9"/>
        <v>0</v>
      </c>
      <c r="M18" s="56">
        <f t="shared" si="9"/>
        <v>0</v>
      </c>
      <c r="N18" s="56">
        <f>SUM(B18:M18)</f>
        <v>47.235000000000014</v>
      </c>
    </row>
    <row r="19" spans="1:14" x14ac:dyDescent="0.25">
      <c r="A19" s="56" t="s">
        <v>444</v>
      </c>
      <c r="B19" s="56">
        <f>B4*0.67</f>
        <v>0</v>
      </c>
      <c r="C19" s="56">
        <f>C4*0.67</f>
        <v>0</v>
      </c>
      <c r="D19" s="56">
        <f>D4*0.67</f>
        <v>0</v>
      </c>
      <c r="E19" s="56">
        <f>E4*0.81</f>
        <v>12.96</v>
      </c>
      <c r="F19" s="56">
        <f t="shared" ref="F19:J19" si="10">F4*0.81</f>
        <v>8.1000000000000014</v>
      </c>
      <c r="G19" s="56">
        <f t="shared" si="10"/>
        <v>16.200000000000003</v>
      </c>
      <c r="H19" s="56">
        <f t="shared" si="10"/>
        <v>18.225000000000001</v>
      </c>
      <c r="I19" s="56">
        <f t="shared" si="10"/>
        <v>19.440000000000001</v>
      </c>
      <c r="J19" s="56">
        <f t="shared" si="10"/>
        <v>14.175000000000001</v>
      </c>
      <c r="K19" s="56">
        <f t="shared" ref="K19:M20" si="11">K4*0.67</f>
        <v>0</v>
      </c>
      <c r="L19" s="56">
        <f t="shared" si="11"/>
        <v>0</v>
      </c>
      <c r="M19" s="56">
        <f t="shared" si="11"/>
        <v>0</v>
      </c>
      <c r="N19" s="56">
        <f>SUM(B19:M19)</f>
        <v>89.100000000000009</v>
      </c>
    </row>
    <row r="20" spans="1:14" x14ac:dyDescent="0.25">
      <c r="A20" s="319" t="s">
        <v>652</v>
      </c>
      <c r="B20" s="56">
        <f>B5*0.67</f>
        <v>0</v>
      </c>
      <c r="C20" s="56">
        <f>C5*0.67</f>
        <v>0</v>
      </c>
      <c r="D20" s="56">
        <f>D5*0.67</f>
        <v>1.0050000000000001</v>
      </c>
      <c r="E20" s="56">
        <f>E5*0.81</f>
        <v>30.375000000000004</v>
      </c>
      <c r="F20" s="56">
        <f t="shared" ref="F20:J20" si="12">F5*0.81</f>
        <v>15.795000000000002</v>
      </c>
      <c r="G20" s="56">
        <f t="shared" si="12"/>
        <v>40.095000000000006</v>
      </c>
      <c r="H20" s="56">
        <f t="shared" si="12"/>
        <v>43.74</v>
      </c>
      <c r="I20" s="56">
        <f t="shared" si="12"/>
        <v>34.020000000000003</v>
      </c>
      <c r="J20" s="56">
        <f t="shared" si="12"/>
        <v>24.3</v>
      </c>
      <c r="K20" s="56">
        <f t="shared" si="11"/>
        <v>1.0050000000000001</v>
      </c>
      <c r="L20" s="56">
        <f t="shared" si="11"/>
        <v>0</v>
      </c>
      <c r="M20" s="56">
        <f t="shared" si="11"/>
        <v>0</v>
      </c>
      <c r="N20" s="56">
        <f>SUM(B20:M20)</f>
        <v>190.33500000000004</v>
      </c>
    </row>
  </sheetData>
  <mergeCells count="2">
    <mergeCell ref="A1:A2"/>
    <mergeCell ref="B1:M1"/>
  </mergeCells>
  <pageMargins left="0.7" right="0.7" top="0.75" bottom="0.75" header="0.3" footer="0.3"/>
  <pageSetup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G40"/>
  <sheetViews>
    <sheetView topLeftCell="S7" zoomScale="130" zoomScaleNormal="130" workbookViewId="0">
      <selection activeCell="V11" sqref="V11"/>
    </sheetView>
  </sheetViews>
  <sheetFormatPr defaultRowHeight="12.5" x14ac:dyDescent="0.25"/>
  <cols>
    <col min="1" max="1" width="9.90625" customWidth="1"/>
    <col min="2" max="2" width="7.36328125" customWidth="1"/>
    <col min="4" max="4" width="10" customWidth="1"/>
    <col min="5" max="5" width="7.6328125" customWidth="1"/>
    <col min="6" max="6" width="8" customWidth="1"/>
    <col min="7" max="7" width="10.08984375" customWidth="1"/>
    <col min="9" max="9" width="7.90625" customWidth="1"/>
    <col min="10" max="10" width="9.6328125" bestFit="1" customWidth="1"/>
    <col min="14" max="14" width="27.36328125" customWidth="1"/>
    <col min="15" max="15" width="10.36328125" customWidth="1"/>
    <col min="16" max="18" width="11.6328125" customWidth="1"/>
    <col min="22" max="22" width="26.6328125" bestFit="1" customWidth="1"/>
    <col min="23" max="23" width="25.54296875" bestFit="1" customWidth="1"/>
    <col min="24" max="24" width="9.36328125" bestFit="1" customWidth="1"/>
    <col min="25" max="25" width="10.54296875" bestFit="1" customWidth="1"/>
    <col min="26" max="26" width="9.36328125" bestFit="1" customWidth="1"/>
    <col min="27" max="27" width="9.453125" bestFit="1" customWidth="1"/>
    <col min="28" max="28" width="9.36328125" bestFit="1" customWidth="1"/>
    <col min="29" max="29" width="10.6328125" bestFit="1" customWidth="1"/>
  </cols>
  <sheetData>
    <row r="1" spans="1:33" x14ac:dyDescent="0.25">
      <c r="AD1">
        <v>8</v>
      </c>
    </row>
    <row r="2" spans="1:33" ht="13" x14ac:dyDescent="0.3">
      <c r="A2" s="791" t="s">
        <v>731</v>
      </c>
      <c r="B2" s="791"/>
      <c r="C2" s="791"/>
      <c r="D2" s="791"/>
      <c r="E2" s="791"/>
      <c r="F2" s="791"/>
      <c r="G2" s="791"/>
      <c r="H2" s="791"/>
      <c r="I2" s="791"/>
      <c r="J2" s="791"/>
      <c r="K2" s="791"/>
      <c r="L2" s="791"/>
    </row>
    <row r="3" spans="1:33" ht="14" x14ac:dyDescent="0.3">
      <c r="C3" s="19" t="s">
        <v>442</v>
      </c>
      <c r="D3" s="959">
        <v>41159</v>
      </c>
      <c r="E3" s="959"/>
      <c r="F3" s="959"/>
      <c r="V3" s="107" t="s">
        <v>11</v>
      </c>
      <c r="W3" s="107" t="s">
        <v>10</v>
      </c>
      <c r="X3" s="560">
        <v>41054</v>
      </c>
      <c r="Y3" s="560">
        <v>41085</v>
      </c>
      <c r="Z3" s="560">
        <v>41102</v>
      </c>
      <c r="AA3" s="560">
        <v>41130</v>
      </c>
      <c r="AB3" s="560">
        <v>41158</v>
      </c>
      <c r="AC3" s="545" t="s">
        <v>17</v>
      </c>
    </row>
    <row r="4" spans="1:33" ht="15" x14ac:dyDescent="0.3">
      <c r="A4" s="946" t="s">
        <v>729</v>
      </c>
      <c r="B4" s="946"/>
      <c r="C4" s="946"/>
      <c r="D4" s="947" t="s">
        <v>737</v>
      </c>
      <c r="E4" s="948"/>
      <c r="F4" s="949"/>
      <c r="G4" s="947" t="s">
        <v>730</v>
      </c>
      <c r="H4" s="948"/>
      <c r="I4" s="949"/>
      <c r="J4" s="947" t="s">
        <v>738</v>
      </c>
      <c r="K4" s="948"/>
      <c r="L4" s="949"/>
      <c r="N4" s="506"/>
      <c r="O4" s="546">
        <v>41054</v>
      </c>
      <c r="P4" s="547">
        <v>41085</v>
      </c>
      <c r="Q4" s="546">
        <v>41102</v>
      </c>
      <c r="R4" s="546">
        <v>41130</v>
      </c>
      <c r="S4" s="546">
        <v>41158</v>
      </c>
      <c r="T4" s="531"/>
      <c r="V4" s="448" t="s">
        <v>814</v>
      </c>
      <c r="W4" s="98" t="s">
        <v>186</v>
      </c>
      <c r="X4" s="569">
        <v>33</v>
      </c>
      <c r="Y4" s="465">
        <v>6</v>
      </c>
      <c r="Z4" s="569">
        <v>3</v>
      </c>
      <c r="AA4" s="465">
        <v>24</v>
      </c>
      <c r="AB4" s="465">
        <v>141</v>
      </c>
      <c r="AC4" s="570">
        <f>AVERAGE(X4:AB4)</f>
        <v>41.4</v>
      </c>
    </row>
    <row r="5" spans="1:33" ht="15.75" customHeight="1" x14ac:dyDescent="0.35">
      <c r="A5" s="195" t="s">
        <v>153</v>
      </c>
      <c r="B5" s="956"/>
      <c r="C5" s="957"/>
      <c r="D5" s="215" t="s">
        <v>153</v>
      </c>
      <c r="E5" s="958"/>
      <c r="F5" s="958"/>
      <c r="G5" s="215" t="s">
        <v>153</v>
      </c>
      <c r="H5" s="866"/>
      <c r="I5" s="867"/>
      <c r="J5" s="215" t="s">
        <v>153</v>
      </c>
      <c r="K5" s="866"/>
      <c r="L5" s="867"/>
      <c r="N5" s="56"/>
      <c r="O5" s="953" t="s">
        <v>736</v>
      </c>
      <c r="P5" s="954"/>
      <c r="Q5" s="954"/>
      <c r="R5" s="954"/>
      <c r="S5" s="955"/>
      <c r="T5" s="62"/>
      <c r="V5" s="448" t="s">
        <v>814</v>
      </c>
      <c r="W5" s="98" t="s">
        <v>180</v>
      </c>
      <c r="X5" s="569">
        <v>15</v>
      </c>
      <c r="Y5" s="465">
        <v>12</v>
      </c>
      <c r="Z5" s="569">
        <v>13</v>
      </c>
      <c r="AA5" s="465">
        <v>4</v>
      </c>
      <c r="AB5" s="465">
        <v>10</v>
      </c>
      <c r="AC5" s="570">
        <f t="shared" ref="AC5:AC9" si="0">AVERAGE(X5:AB5)</f>
        <v>10.8</v>
      </c>
    </row>
    <row r="6" spans="1:33" ht="15.5" x14ac:dyDescent="0.35">
      <c r="A6" s="306" t="s">
        <v>470</v>
      </c>
      <c r="B6" s="950"/>
      <c r="C6" s="951"/>
      <c r="D6" s="306" t="s">
        <v>470</v>
      </c>
      <c r="E6" s="861"/>
      <c r="F6" s="861"/>
      <c r="G6" s="306" t="s">
        <v>470</v>
      </c>
      <c r="H6" s="866"/>
      <c r="I6" s="867"/>
      <c r="J6" s="306" t="s">
        <v>470</v>
      </c>
      <c r="K6" s="866"/>
      <c r="L6" s="867"/>
      <c r="N6" s="507" t="s">
        <v>153</v>
      </c>
      <c r="O6" s="508">
        <v>0.4375</v>
      </c>
      <c r="P6" s="534">
        <v>0.40763888888888888</v>
      </c>
      <c r="Q6" s="508">
        <v>0.40138888888888885</v>
      </c>
      <c r="R6" s="508">
        <v>0.40208333333333335</v>
      </c>
      <c r="S6" s="80">
        <v>0.41666666666666669</v>
      </c>
      <c r="T6" s="532"/>
      <c r="V6" s="448" t="s">
        <v>814</v>
      </c>
      <c r="W6" s="509" t="s">
        <v>210</v>
      </c>
      <c r="X6" s="569">
        <v>461</v>
      </c>
      <c r="Y6" s="465">
        <v>209</v>
      </c>
      <c r="Z6" s="569">
        <v>254</v>
      </c>
      <c r="AA6" s="465">
        <v>178</v>
      </c>
      <c r="AB6" s="465">
        <v>190</v>
      </c>
      <c r="AC6" s="570">
        <f t="shared" si="0"/>
        <v>258.39999999999998</v>
      </c>
    </row>
    <row r="7" spans="1:33" ht="15.5" x14ac:dyDescent="0.25">
      <c r="A7" s="196" t="s">
        <v>169</v>
      </c>
      <c r="B7" s="952"/>
      <c r="C7" s="952"/>
      <c r="D7" s="216" t="s">
        <v>169</v>
      </c>
      <c r="E7" s="952"/>
      <c r="F7" s="952"/>
      <c r="G7" s="216" t="s">
        <v>169</v>
      </c>
      <c r="H7" s="866"/>
      <c r="I7" s="867"/>
      <c r="J7" s="216" t="s">
        <v>169</v>
      </c>
      <c r="K7" s="866"/>
      <c r="L7" s="867"/>
      <c r="N7" s="507" t="s">
        <v>732</v>
      </c>
      <c r="O7" s="507">
        <v>2.2999999999999998</v>
      </c>
      <c r="P7" s="535">
        <v>8.4</v>
      </c>
      <c r="Q7" s="507">
        <v>10.3</v>
      </c>
      <c r="R7" s="507">
        <v>10.8</v>
      </c>
      <c r="S7" s="537">
        <v>7.3</v>
      </c>
      <c r="T7" s="533"/>
      <c r="V7" s="448" t="s">
        <v>814</v>
      </c>
      <c r="W7" s="98" t="s">
        <v>251</v>
      </c>
      <c r="X7" s="569">
        <v>23</v>
      </c>
      <c r="Y7" s="465">
        <v>14</v>
      </c>
      <c r="Z7" s="569">
        <v>25</v>
      </c>
      <c r="AA7" s="465">
        <v>21</v>
      </c>
      <c r="AB7" s="465">
        <v>24</v>
      </c>
      <c r="AC7" s="570">
        <f t="shared" si="0"/>
        <v>21.4</v>
      </c>
    </row>
    <row r="8" spans="1:33" ht="23" x14ac:dyDescent="0.25">
      <c r="A8" s="193" t="s">
        <v>170</v>
      </c>
      <c r="B8" s="193" t="s">
        <v>171</v>
      </c>
      <c r="C8" s="194" t="s">
        <v>172</v>
      </c>
      <c r="D8" s="193" t="s">
        <v>170</v>
      </c>
      <c r="E8" s="193" t="s">
        <v>171</v>
      </c>
      <c r="F8" s="194" t="s">
        <v>172</v>
      </c>
      <c r="G8" s="193" t="s">
        <v>170</v>
      </c>
      <c r="H8" s="193" t="s">
        <v>171</v>
      </c>
      <c r="I8" s="194" t="s">
        <v>172</v>
      </c>
      <c r="J8" s="193" t="s">
        <v>170</v>
      </c>
      <c r="K8" s="193" t="s">
        <v>171</v>
      </c>
      <c r="L8" s="194" t="s">
        <v>172</v>
      </c>
      <c r="N8" s="507" t="s">
        <v>157</v>
      </c>
      <c r="O8" s="507">
        <v>7.24</v>
      </c>
      <c r="P8" s="535">
        <v>6.93</v>
      </c>
      <c r="Q8" s="507">
        <v>7.57</v>
      </c>
      <c r="R8" s="507">
        <v>9.42</v>
      </c>
      <c r="S8" s="537">
        <v>7.83</v>
      </c>
      <c r="T8" s="533"/>
      <c r="V8" s="568" t="s">
        <v>815</v>
      </c>
      <c r="W8" s="98" t="s">
        <v>186</v>
      </c>
      <c r="X8" s="571"/>
      <c r="Y8" s="571"/>
      <c r="Z8" s="465">
        <v>33</v>
      </c>
      <c r="AA8" s="465">
        <v>52</v>
      </c>
      <c r="AB8" s="465">
        <v>65</v>
      </c>
      <c r="AC8" s="570">
        <f t="shared" si="0"/>
        <v>50</v>
      </c>
    </row>
    <row r="9" spans="1:33" ht="15.5" x14ac:dyDescent="0.35">
      <c r="A9" s="89">
        <v>1</v>
      </c>
      <c r="B9" s="79"/>
      <c r="C9" s="56"/>
      <c r="D9" s="89">
        <v>1</v>
      </c>
      <c r="E9" s="79"/>
      <c r="F9" s="56"/>
      <c r="G9" s="89">
        <v>1</v>
      </c>
      <c r="H9" s="79"/>
      <c r="I9" s="56"/>
      <c r="J9" s="89">
        <v>1</v>
      </c>
      <c r="K9" s="79"/>
      <c r="L9" s="56"/>
      <c r="N9" s="507" t="s">
        <v>733</v>
      </c>
      <c r="O9" s="507">
        <v>2.1999999999999999E-2</v>
      </c>
      <c r="P9" s="535">
        <v>2.1000000000000001E-2</v>
      </c>
      <c r="Q9" s="507">
        <v>2.1000000000000001E-2</v>
      </c>
      <c r="R9" s="507">
        <v>2.3E-2</v>
      </c>
      <c r="S9" s="537">
        <v>0.02</v>
      </c>
      <c r="T9" s="533"/>
      <c r="V9" s="568" t="s">
        <v>815</v>
      </c>
      <c r="W9" s="98" t="s">
        <v>180</v>
      </c>
      <c r="X9" s="571"/>
      <c r="Y9" s="571"/>
      <c r="Z9" s="465">
        <v>9</v>
      </c>
      <c r="AA9" s="465">
        <v>8</v>
      </c>
      <c r="AB9" s="465">
        <v>7</v>
      </c>
      <c r="AC9" s="570">
        <f t="shared" si="0"/>
        <v>8</v>
      </c>
    </row>
    <row r="10" spans="1:33" ht="15.5" x14ac:dyDescent="0.35">
      <c r="A10" s="89">
        <v>2</v>
      </c>
      <c r="B10" s="79"/>
      <c r="C10" s="79"/>
      <c r="D10" s="89">
        <v>2</v>
      </c>
      <c r="E10" s="79"/>
      <c r="F10" s="79"/>
      <c r="G10" s="89">
        <v>2</v>
      </c>
      <c r="H10" s="79"/>
      <c r="I10" s="79"/>
      <c r="J10" s="89">
        <v>2</v>
      </c>
      <c r="K10" s="79"/>
      <c r="L10" s="79"/>
      <c r="N10" s="507" t="s">
        <v>734</v>
      </c>
      <c r="O10" s="507">
        <v>10.92</v>
      </c>
      <c r="P10" s="535">
        <v>7.77</v>
      </c>
      <c r="Q10" s="507">
        <v>11.34</v>
      </c>
      <c r="R10" s="507">
        <v>6.8</v>
      </c>
      <c r="S10" s="537">
        <v>7.21</v>
      </c>
      <c r="T10" s="533"/>
      <c r="V10" s="568" t="s">
        <v>815</v>
      </c>
      <c r="W10" s="98" t="s">
        <v>251</v>
      </c>
      <c r="X10" s="571"/>
      <c r="Y10" s="571"/>
      <c r="Z10" s="465">
        <v>25</v>
      </c>
      <c r="AA10" s="465">
        <v>14</v>
      </c>
      <c r="AB10" s="465">
        <v>30</v>
      </c>
      <c r="AC10" s="570">
        <f t="shared" ref="AC10:AC26" si="1">AVERAGE(X10:AB10)</f>
        <v>23</v>
      </c>
    </row>
    <row r="11" spans="1:33" ht="15.5" x14ac:dyDescent="0.35">
      <c r="A11" s="89" t="s">
        <v>156</v>
      </c>
      <c r="B11" s="79"/>
      <c r="C11" s="79"/>
      <c r="D11" s="89" t="s">
        <v>156</v>
      </c>
      <c r="E11" s="79"/>
      <c r="F11" s="79"/>
      <c r="G11" s="89" t="s">
        <v>156</v>
      </c>
      <c r="H11" s="79"/>
      <c r="I11" s="79"/>
      <c r="J11" s="89" t="s">
        <v>156</v>
      </c>
      <c r="K11" s="79"/>
      <c r="L11" s="79"/>
      <c r="O11" s="824" t="s">
        <v>801</v>
      </c>
      <c r="P11" s="825"/>
      <c r="Q11" s="825"/>
      <c r="R11" s="825"/>
      <c r="S11" s="826"/>
      <c r="T11" s="62"/>
      <c r="V11" s="568" t="s">
        <v>813</v>
      </c>
      <c r="W11" s="98" t="s">
        <v>186</v>
      </c>
      <c r="X11" s="571"/>
      <c r="Y11" s="465">
        <v>6</v>
      </c>
      <c r="Z11" s="569">
        <v>2</v>
      </c>
      <c r="AA11" s="465">
        <v>23</v>
      </c>
      <c r="AB11" s="465">
        <v>63</v>
      </c>
      <c r="AC11" s="570">
        <f t="shared" si="1"/>
        <v>23.5</v>
      </c>
      <c r="AD11" s="119"/>
      <c r="AE11" s="331"/>
      <c r="AF11" s="19"/>
      <c r="AG11" s="93"/>
    </row>
    <row r="12" spans="1:33" ht="15.5" x14ac:dyDescent="0.35">
      <c r="A12" s="89" t="s">
        <v>157</v>
      </c>
      <c r="B12" s="79"/>
      <c r="C12" s="79"/>
      <c r="D12" s="89" t="s">
        <v>157</v>
      </c>
      <c r="E12" s="79"/>
      <c r="F12" s="79"/>
      <c r="G12" s="89" t="s">
        <v>157</v>
      </c>
      <c r="H12" s="79"/>
      <c r="I12" s="79"/>
      <c r="J12" s="89" t="s">
        <v>157</v>
      </c>
      <c r="K12" s="79"/>
      <c r="L12" s="79"/>
      <c r="N12" s="535" t="s">
        <v>153</v>
      </c>
      <c r="O12" s="56"/>
      <c r="P12" s="56"/>
      <c r="Q12" s="80">
        <v>0.4152777777777778</v>
      </c>
      <c r="R12" s="80">
        <v>0.40763888888888888</v>
      </c>
      <c r="S12" s="80">
        <v>0.40625</v>
      </c>
      <c r="T12" s="532"/>
      <c r="V12" s="568" t="s">
        <v>813</v>
      </c>
      <c r="W12" s="98" t="s">
        <v>180</v>
      </c>
      <c r="X12" s="571"/>
      <c r="Y12" s="465">
        <v>11</v>
      </c>
      <c r="Z12" s="569">
        <v>13</v>
      </c>
      <c r="AA12" s="465">
        <v>11</v>
      </c>
      <c r="AB12" s="465">
        <v>6</v>
      </c>
      <c r="AC12" s="570">
        <f t="shared" si="1"/>
        <v>10.25</v>
      </c>
      <c r="AD12" s="119"/>
      <c r="AE12" s="331"/>
      <c r="AF12" s="19"/>
      <c r="AG12" s="92"/>
    </row>
    <row r="13" spans="1:33" ht="15.5" x14ac:dyDescent="0.35">
      <c r="A13" s="89" t="s">
        <v>154</v>
      </c>
      <c r="B13" s="56"/>
      <c r="C13" s="56"/>
      <c r="D13" s="89" t="s">
        <v>154</v>
      </c>
      <c r="E13" s="56"/>
      <c r="F13" s="56"/>
      <c r="G13" s="89" t="s">
        <v>154</v>
      </c>
      <c r="H13" s="56"/>
      <c r="I13" s="56"/>
      <c r="J13" s="89" t="s">
        <v>154</v>
      </c>
      <c r="K13" s="56"/>
      <c r="L13" s="56"/>
      <c r="N13" s="535" t="s">
        <v>732</v>
      </c>
      <c r="O13" s="56"/>
      <c r="P13" s="56"/>
      <c r="Q13" s="56">
        <v>10.4</v>
      </c>
      <c r="R13" s="56">
        <v>11.1</v>
      </c>
      <c r="S13" s="537">
        <v>6.8</v>
      </c>
      <c r="T13" s="533"/>
      <c r="V13" s="568" t="s">
        <v>813</v>
      </c>
      <c r="W13" s="509" t="s">
        <v>210</v>
      </c>
      <c r="X13" s="571"/>
      <c r="Y13" s="465">
        <v>190</v>
      </c>
      <c r="Z13" s="569">
        <v>293</v>
      </c>
      <c r="AA13" s="465">
        <v>244</v>
      </c>
      <c r="AB13" s="465">
        <v>81</v>
      </c>
      <c r="AC13" s="570">
        <f t="shared" si="1"/>
        <v>202</v>
      </c>
      <c r="AD13" s="119"/>
      <c r="AE13" s="331"/>
      <c r="AF13" s="108"/>
      <c r="AG13" s="92"/>
    </row>
    <row r="14" spans="1:33" ht="15.5" x14ac:dyDescent="0.35">
      <c r="A14" s="89" t="s">
        <v>155</v>
      </c>
      <c r="B14" s="56"/>
      <c r="C14" s="56"/>
      <c r="D14" s="89" t="s">
        <v>155</v>
      </c>
      <c r="E14" s="56"/>
      <c r="F14" s="56"/>
      <c r="G14" s="89" t="s">
        <v>155</v>
      </c>
      <c r="H14" s="56"/>
      <c r="I14" s="56"/>
      <c r="J14" s="89" t="s">
        <v>155</v>
      </c>
      <c r="K14" s="56"/>
      <c r="L14" s="56"/>
      <c r="N14" s="535" t="s">
        <v>157</v>
      </c>
      <c r="O14" s="56"/>
      <c r="P14" s="56"/>
      <c r="Q14" s="56">
        <v>6.9</v>
      </c>
      <c r="R14" s="56">
        <v>8.25</v>
      </c>
      <c r="S14" s="537">
        <v>7.37</v>
      </c>
      <c r="T14" s="533"/>
      <c r="V14" s="568" t="s">
        <v>813</v>
      </c>
      <c r="W14" s="98" t="s">
        <v>251</v>
      </c>
      <c r="X14" s="571"/>
      <c r="Y14" s="465">
        <v>7</v>
      </c>
      <c r="Z14" s="569">
        <v>15</v>
      </c>
      <c r="AA14" s="465">
        <v>15</v>
      </c>
      <c r="AB14" s="465">
        <v>26</v>
      </c>
      <c r="AC14" s="570">
        <f t="shared" si="1"/>
        <v>15.75</v>
      </c>
      <c r="AD14" s="119"/>
      <c r="AE14" s="331"/>
      <c r="AF14" s="19"/>
      <c r="AG14" s="92"/>
    </row>
    <row r="15" spans="1:33" ht="15.5" x14ac:dyDescent="0.25">
      <c r="N15" s="535" t="s">
        <v>733</v>
      </c>
      <c r="O15" s="56"/>
      <c r="P15" s="56"/>
      <c r="Q15" s="56">
        <v>2.1000000000000001E-2</v>
      </c>
      <c r="R15" s="56">
        <v>0.02</v>
      </c>
      <c r="S15" s="537">
        <v>2.1000000000000001E-2</v>
      </c>
      <c r="T15" s="533"/>
      <c r="V15" s="448" t="s">
        <v>810</v>
      </c>
      <c r="W15" s="98" t="s">
        <v>186</v>
      </c>
      <c r="X15" s="569">
        <v>32</v>
      </c>
      <c r="Y15" s="465">
        <v>5</v>
      </c>
      <c r="Z15" s="569">
        <v>4</v>
      </c>
      <c r="AA15" s="465">
        <v>8</v>
      </c>
      <c r="AB15" s="465">
        <v>5</v>
      </c>
      <c r="AC15" s="570">
        <f t="shared" si="1"/>
        <v>10.8</v>
      </c>
    </row>
    <row r="16" spans="1:33" ht="15.5" x14ac:dyDescent="0.25">
      <c r="N16" s="535" t="s">
        <v>734</v>
      </c>
      <c r="O16" s="56"/>
      <c r="P16" s="56"/>
      <c r="Q16" s="56">
        <v>10.52</v>
      </c>
      <c r="R16" s="56">
        <v>6.92</v>
      </c>
      <c r="S16" s="537">
        <v>8.0500000000000007</v>
      </c>
      <c r="T16" s="533"/>
      <c r="V16" s="448" t="s">
        <v>810</v>
      </c>
      <c r="W16" s="98" t="s">
        <v>180</v>
      </c>
      <c r="X16" s="569">
        <v>45</v>
      </c>
      <c r="Y16" s="465">
        <v>70</v>
      </c>
      <c r="Z16" s="569">
        <v>28</v>
      </c>
      <c r="AA16" s="465">
        <v>17</v>
      </c>
      <c r="AB16" s="465">
        <v>11</v>
      </c>
      <c r="AC16" s="570">
        <f t="shared" si="1"/>
        <v>34.200000000000003</v>
      </c>
    </row>
    <row r="17" spans="14:29" ht="14" x14ac:dyDescent="0.3">
      <c r="N17" s="56"/>
      <c r="O17" s="824" t="s">
        <v>735</v>
      </c>
      <c r="P17" s="825"/>
      <c r="Q17" s="825"/>
      <c r="R17" s="825"/>
      <c r="S17" s="826"/>
      <c r="T17" s="62"/>
      <c r="V17" s="448" t="s">
        <v>810</v>
      </c>
      <c r="W17" s="509" t="s">
        <v>210</v>
      </c>
      <c r="X17" s="569">
        <v>474</v>
      </c>
      <c r="Y17" s="465">
        <v>813</v>
      </c>
      <c r="Z17" s="569">
        <v>407</v>
      </c>
      <c r="AA17" s="465">
        <v>266</v>
      </c>
      <c r="AB17" s="465">
        <v>34</v>
      </c>
      <c r="AC17" s="570">
        <f t="shared" si="1"/>
        <v>398.8</v>
      </c>
    </row>
    <row r="18" spans="14:29" ht="15.5" x14ac:dyDescent="0.25">
      <c r="N18" s="507" t="s">
        <v>153</v>
      </c>
      <c r="O18" s="56"/>
      <c r="P18" s="536">
        <v>0.39374999999999999</v>
      </c>
      <c r="Q18" s="80">
        <v>0.4375</v>
      </c>
      <c r="R18" s="80">
        <v>0.43263888888888885</v>
      </c>
      <c r="S18" s="80">
        <v>0.43958333333333338</v>
      </c>
      <c r="T18" s="62"/>
      <c r="V18" s="448" t="s">
        <v>810</v>
      </c>
      <c r="W18" s="98" t="s">
        <v>251</v>
      </c>
      <c r="X18" s="569">
        <v>29</v>
      </c>
      <c r="Y18" s="465">
        <v>14</v>
      </c>
      <c r="Z18" s="569">
        <v>28</v>
      </c>
      <c r="AA18" s="465">
        <v>3</v>
      </c>
      <c r="AB18" s="465">
        <v>17</v>
      </c>
      <c r="AC18" s="570">
        <f t="shared" si="1"/>
        <v>18.2</v>
      </c>
    </row>
    <row r="19" spans="14:29" ht="15.5" x14ac:dyDescent="0.25">
      <c r="N19" s="507" t="s">
        <v>732</v>
      </c>
      <c r="O19" s="56"/>
      <c r="P19" s="199">
        <v>9</v>
      </c>
      <c r="Q19" s="56">
        <v>10.199999999999999</v>
      </c>
      <c r="R19" s="56">
        <v>10.8</v>
      </c>
      <c r="S19" s="56">
        <v>8.9</v>
      </c>
      <c r="T19" s="62"/>
      <c r="V19" s="448" t="s">
        <v>811</v>
      </c>
      <c r="W19" s="98" t="s">
        <v>186</v>
      </c>
      <c r="X19" s="569">
        <v>19</v>
      </c>
      <c r="Y19" s="465">
        <v>6</v>
      </c>
      <c r="Z19" s="569">
        <v>5</v>
      </c>
      <c r="AA19" s="465">
        <v>11</v>
      </c>
      <c r="AB19" s="465">
        <v>6</v>
      </c>
      <c r="AC19" s="570">
        <f t="shared" si="1"/>
        <v>9.4</v>
      </c>
    </row>
    <row r="20" spans="14:29" ht="15.5" x14ac:dyDescent="0.25">
      <c r="N20" s="507" t="s">
        <v>157</v>
      </c>
      <c r="O20" s="56"/>
      <c r="P20" s="199">
        <v>7.43</v>
      </c>
      <c r="Q20" s="56">
        <v>6.65</v>
      </c>
      <c r="R20" s="56">
        <v>7.12</v>
      </c>
      <c r="S20" s="56">
        <v>7.95</v>
      </c>
      <c r="T20" s="62"/>
      <c r="V20" s="448" t="s">
        <v>811</v>
      </c>
      <c r="W20" s="98" t="s">
        <v>180</v>
      </c>
      <c r="X20" s="569">
        <v>73</v>
      </c>
      <c r="Y20" s="465">
        <v>67</v>
      </c>
      <c r="Z20" s="569">
        <v>12</v>
      </c>
      <c r="AA20" s="465">
        <v>10</v>
      </c>
      <c r="AB20" s="465">
        <v>7</v>
      </c>
      <c r="AC20" s="570">
        <f t="shared" si="1"/>
        <v>33.799999999999997</v>
      </c>
    </row>
    <row r="21" spans="14:29" ht="15.5" x14ac:dyDescent="0.25">
      <c r="N21" s="507" t="s">
        <v>733</v>
      </c>
      <c r="O21" s="56"/>
      <c r="P21" s="199">
        <v>2.1000000000000001E-2</v>
      </c>
      <c r="Q21" s="56">
        <v>0.02</v>
      </c>
      <c r="R21" s="56">
        <v>1.9E-2</v>
      </c>
      <c r="S21" s="56">
        <v>0.02</v>
      </c>
      <c r="T21" s="62"/>
      <c r="V21" s="448" t="s">
        <v>811</v>
      </c>
      <c r="W21" s="509" t="s">
        <v>210</v>
      </c>
      <c r="X21" s="569">
        <v>887</v>
      </c>
      <c r="Y21" s="465">
        <v>1117</v>
      </c>
      <c r="Z21" s="569">
        <v>416</v>
      </c>
      <c r="AA21" s="465">
        <v>373</v>
      </c>
      <c r="AB21" s="465">
        <v>108</v>
      </c>
      <c r="AC21" s="570">
        <f t="shared" si="1"/>
        <v>580.20000000000005</v>
      </c>
    </row>
    <row r="22" spans="14:29" ht="15.5" x14ac:dyDescent="0.25">
      <c r="N22" s="507" t="s">
        <v>734</v>
      </c>
      <c r="O22" s="56"/>
      <c r="P22" s="199">
        <v>7.51</v>
      </c>
      <c r="Q22" s="56">
        <v>9.77</v>
      </c>
      <c r="R22" s="56">
        <v>5.7</v>
      </c>
      <c r="S22" s="56">
        <v>6.7</v>
      </c>
      <c r="T22" s="62"/>
      <c r="V22" s="448" t="s">
        <v>811</v>
      </c>
      <c r="W22" s="98" t="s">
        <v>251</v>
      </c>
      <c r="X22" s="569">
        <v>28</v>
      </c>
      <c r="Y22" s="465">
        <v>13</v>
      </c>
      <c r="Z22" s="569">
        <v>29</v>
      </c>
      <c r="AA22" s="465">
        <v>12</v>
      </c>
      <c r="AB22" s="465">
        <v>19</v>
      </c>
      <c r="AC22" s="570">
        <f t="shared" si="1"/>
        <v>20.2</v>
      </c>
    </row>
    <row r="23" spans="14:29" ht="14" x14ac:dyDescent="0.3">
      <c r="N23" s="56"/>
      <c r="O23" s="824" t="s">
        <v>737</v>
      </c>
      <c r="P23" s="825"/>
      <c r="Q23" s="825"/>
      <c r="R23" s="825"/>
      <c r="S23" s="826"/>
      <c r="T23" s="62"/>
      <c r="V23" s="448" t="s">
        <v>812</v>
      </c>
      <c r="W23" s="98" t="s">
        <v>186</v>
      </c>
      <c r="X23" s="569">
        <v>10</v>
      </c>
      <c r="Y23" s="465">
        <v>6</v>
      </c>
      <c r="Z23" s="569">
        <v>10</v>
      </c>
      <c r="AA23" s="465">
        <v>9</v>
      </c>
      <c r="AB23" s="465">
        <v>4</v>
      </c>
      <c r="AC23" s="570">
        <f t="shared" si="1"/>
        <v>7.8</v>
      </c>
    </row>
    <row r="24" spans="14:29" ht="15.5" x14ac:dyDescent="0.25">
      <c r="N24" s="507" t="s">
        <v>153</v>
      </c>
      <c r="O24" s="508">
        <v>0.43402777777777773</v>
      </c>
      <c r="P24" s="536">
        <v>0.41736111111111113</v>
      </c>
      <c r="Q24" s="80">
        <v>0.44305555555555554</v>
      </c>
      <c r="R24" s="80">
        <v>0.4236111111111111</v>
      </c>
      <c r="S24" s="80">
        <v>0.3923611111111111</v>
      </c>
      <c r="T24" s="62"/>
      <c r="V24" s="448" t="s">
        <v>812</v>
      </c>
      <c r="W24" s="98" t="s">
        <v>180</v>
      </c>
      <c r="X24" s="569">
        <v>156</v>
      </c>
      <c r="Y24" s="465">
        <v>532</v>
      </c>
      <c r="Z24" s="569">
        <v>620</v>
      </c>
      <c r="AA24" s="465">
        <v>1826</v>
      </c>
      <c r="AB24" s="465">
        <v>518</v>
      </c>
      <c r="AC24" s="570">
        <f t="shared" si="1"/>
        <v>730.4</v>
      </c>
    </row>
    <row r="25" spans="14:29" ht="15.5" x14ac:dyDescent="0.25">
      <c r="N25" s="507" t="s">
        <v>732</v>
      </c>
      <c r="O25" s="507">
        <v>2.2999999999999998</v>
      </c>
      <c r="P25" s="199">
        <v>14.1</v>
      </c>
      <c r="Q25" s="56">
        <v>8.6</v>
      </c>
      <c r="R25" s="56">
        <v>7.1</v>
      </c>
      <c r="S25" s="56">
        <v>6.3</v>
      </c>
      <c r="T25" s="62"/>
      <c r="V25" s="448" t="s">
        <v>812</v>
      </c>
      <c r="W25" s="509" t="s">
        <v>210</v>
      </c>
      <c r="X25" s="569">
        <v>830</v>
      </c>
      <c r="Y25" s="465">
        <v>1979</v>
      </c>
      <c r="Z25" s="569">
        <v>416</v>
      </c>
      <c r="AA25" s="465">
        <v>2366</v>
      </c>
      <c r="AB25" s="465">
        <v>777</v>
      </c>
      <c r="AC25" s="570">
        <f t="shared" si="1"/>
        <v>1273.5999999999999</v>
      </c>
    </row>
    <row r="26" spans="14:29" ht="15.5" x14ac:dyDescent="0.25">
      <c r="N26" s="507" t="s">
        <v>157</v>
      </c>
      <c r="O26" s="507">
        <v>7.01</v>
      </c>
      <c r="P26" s="199">
        <v>7.21</v>
      </c>
      <c r="Q26" s="56">
        <v>5.94</v>
      </c>
      <c r="R26" s="56">
        <v>6.44</v>
      </c>
      <c r="S26" s="56">
        <v>8.26</v>
      </c>
      <c r="T26" s="62"/>
      <c r="V26" s="448" t="s">
        <v>812</v>
      </c>
      <c r="W26" s="98" t="s">
        <v>251</v>
      </c>
      <c r="X26" s="569">
        <v>27</v>
      </c>
      <c r="Y26" s="465">
        <v>18</v>
      </c>
      <c r="Z26" s="569">
        <v>29</v>
      </c>
      <c r="AA26" s="465">
        <v>5</v>
      </c>
      <c r="AB26" s="465">
        <v>22</v>
      </c>
      <c r="AC26" s="570">
        <f t="shared" si="1"/>
        <v>20.2</v>
      </c>
    </row>
    <row r="27" spans="14:29" ht="15.5" x14ac:dyDescent="0.25">
      <c r="N27" s="507" t="s">
        <v>733</v>
      </c>
      <c r="O27" s="507">
        <v>2.4E-2</v>
      </c>
      <c r="P27" s="199">
        <v>3.6999999999999998E-2</v>
      </c>
      <c r="Q27" s="56">
        <v>5.0999999999999997E-2</v>
      </c>
      <c r="R27" s="56">
        <v>6.7000000000000004E-2</v>
      </c>
      <c r="S27" s="56">
        <v>6.8000000000000005E-2</v>
      </c>
      <c r="T27" s="62"/>
    </row>
    <row r="28" spans="14:29" ht="15.5" x14ac:dyDescent="0.25">
      <c r="N28" s="507" t="s">
        <v>734</v>
      </c>
      <c r="O28" s="507">
        <v>11.73</v>
      </c>
      <c r="P28" s="199">
        <v>5.75</v>
      </c>
      <c r="Q28" s="56">
        <v>6.2</v>
      </c>
      <c r="R28" s="56">
        <v>3.05</v>
      </c>
      <c r="S28" s="56">
        <v>3.38</v>
      </c>
      <c r="T28" s="62"/>
    </row>
    <row r="29" spans="14:29" ht="14" x14ac:dyDescent="0.3">
      <c r="N29" s="56"/>
      <c r="O29" s="824" t="s">
        <v>730</v>
      </c>
      <c r="P29" s="825"/>
      <c r="Q29" s="825"/>
      <c r="R29" s="825"/>
      <c r="S29" s="826"/>
      <c r="T29" s="62"/>
    </row>
    <row r="30" spans="14:29" ht="15.5" x14ac:dyDescent="0.25">
      <c r="N30" s="507" t="s">
        <v>153</v>
      </c>
      <c r="O30" s="508">
        <v>0.42708333333333331</v>
      </c>
      <c r="P30" s="536">
        <v>0.4375</v>
      </c>
      <c r="Q30" s="80">
        <v>0.42777777777777781</v>
      </c>
      <c r="R30" s="80">
        <v>0.4201388888888889</v>
      </c>
      <c r="S30" s="80">
        <v>0.39583333333333331</v>
      </c>
      <c r="T30" s="62"/>
    </row>
    <row r="31" spans="14:29" ht="15.5" x14ac:dyDescent="0.25">
      <c r="N31" s="507" t="s">
        <v>732</v>
      </c>
      <c r="O31" s="507">
        <v>3.3</v>
      </c>
      <c r="P31" s="199">
        <v>14</v>
      </c>
      <c r="Q31" s="56">
        <v>8.6</v>
      </c>
      <c r="R31" s="56">
        <v>8.5</v>
      </c>
      <c r="S31" s="56">
        <v>4.9000000000000004</v>
      </c>
      <c r="T31" s="62"/>
    </row>
    <row r="32" spans="14:29" ht="15.5" x14ac:dyDescent="0.25">
      <c r="N32" s="507" t="s">
        <v>157</v>
      </c>
      <c r="O32" s="507">
        <v>7.17</v>
      </c>
      <c r="P32" s="199">
        <v>6.89</v>
      </c>
      <c r="Q32" s="56">
        <v>5.64</v>
      </c>
      <c r="R32" s="56">
        <v>7.02</v>
      </c>
      <c r="S32" s="56">
        <v>8.25</v>
      </c>
      <c r="T32" s="62"/>
    </row>
    <row r="33" spans="14:20" ht="15.5" x14ac:dyDescent="0.25">
      <c r="N33" s="507" t="s">
        <v>733</v>
      </c>
      <c r="O33" s="507">
        <v>3.4000000000000002E-2</v>
      </c>
      <c r="P33" s="199">
        <v>6.0999999999999999E-2</v>
      </c>
      <c r="Q33" s="56">
        <v>2.5999999999999999E-2</v>
      </c>
      <c r="R33" s="56">
        <v>4.2000000000000003E-2</v>
      </c>
      <c r="S33" s="56">
        <v>2.4E-2</v>
      </c>
      <c r="T33" s="62"/>
    </row>
    <row r="34" spans="14:20" ht="15.5" x14ac:dyDescent="0.25">
      <c r="N34" s="507" t="s">
        <v>734</v>
      </c>
      <c r="O34" s="507">
        <v>7.64</v>
      </c>
      <c r="P34" s="199">
        <v>5.07</v>
      </c>
      <c r="Q34" s="56">
        <v>5.95</v>
      </c>
      <c r="R34" s="56">
        <v>4.09</v>
      </c>
      <c r="S34" s="56">
        <v>6.5</v>
      </c>
      <c r="T34" s="62"/>
    </row>
    <row r="35" spans="14:20" ht="14" x14ac:dyDescent="0.3">
      <c r="N35" s="56"/>
      <c r="O35" s="824" t="s">
        <v>738</v>
      </c>
      <c r="P35" s="825"/>
      <c r="Q35" s="825"/>
      <c r="R35" s="825"/>
      <c r="S35" s="826"/>
      <c r="T35" s="62"/>
    </row>
    <row r="36" spans="14:20" ht="15.5" x14ac:dyDescent="0.25">
      <c r="N36" s="507" t="s">
        <v>153</v>
      </c>
      <c r="O36" s="508">
        <v>0.4236111111111111</v>
      </c>
      <c r="P36" s="536">
        <v>0.44097222222222227</v>
      </c>
      <c r="Q36" s="80">
        <v>0.42430555555555555</v>
      </c>
      <c r="R36" s="80">
        <v>0.41666666666666669</v>
      </c>
      <c r="S36" s="80">
        <v>0.39930555555555558</v>
      </c>
      <c r="T36" s="62"/>
    </row>
    <row r="37" spans="14:20" ht="15.5" x14ac:dyDescent="0.25">
      <c r="N37" s="507" t="s">
        <v>732</v>
      </c>
      <c r="O37" s="507">
        <v>0.9</v>
      </c>
      <c r="P37" s="199">
        <v>13.4</v>
      </c>
      <c r="Q37" s="56">
        <v>8.5</v>
      </c>
      <c r="R37" s="56">
        <v>8.5</v>
      </c>
      <c r="S37" s="56">
        <v>5.9</v>
      </c>
      <c r="T37" s="62"/>
    </row>
    <row r="38" spans="14:20" ht="15.5" x14ac:dyDescent="0.25">
      <c r="N38" s="507" t="s">
        <v>157</v>
      </c>
      <c r="O38" s="507">
        <v>7.67</v>
      </c>
      <c r="P38" s="199">
        <v>6.42</v>
      </c>
      <c r="Q38" s="56">
        <v>5.96</v>
      </c>
      <c r="R38" s="56">
        <v>7.12</v>
      </c>
      <c r="S38" s="56">
        <v>7.56</v>
      </c>
      <c r="T38" s="62"/>
    </row>
    <row r="39" spans="14:20" ht="15.5" x14ac:dyDescent="0.25">
      <c r="N39" s="507" t="s">
        <v>733</v>
      </c>
      <c r="O39" s="507">
        <v>7.2999999999999995E-2</v>
      </c>
      <c r="P39" s="199">
        <v>5.8000000000000003E-2</v>
      </c>
      <c r="Q39" s="56">
        <v>3.5999999999999997E-2</v>
      </c>
      <c r="R39" s="56">
        <v>3.4000000000000002E-2</v>
      </c>
      <c r="S39" s="56">
        <v>4.2999999999999997E-2</v>
      </c>
      <c r="T39" s="62"/>
    </row>
    <row r="40" spans="14:20" ht="15.5" x14ac:dyDescent="0.25">
      <c r="N40" s="507" t="s">
        <v>734</v>
      </c>
      <c r="O40" s="507">
        <v>6.41</v>
      </c>
      <c r="P40" s="199">
        <v>8.1</v>
      </c>
      <c r="Q40" s="56">
        <v>2.72</v>
      </c>
      <c r="R40" s="56">
        <v>2.11</v>
      </c>
      <c r="S40" s="56">
        <v>0.91</v>
      </c>
      <c r="T40" s="62"/>
    </row>
  </sheetData>
  <mergeCells count="24">
    <mergeCell ref="A2:L2"/>
    <mergeCell ref="G4:I4"/>
    <mergeCell ref="B5:C5"/>
    <mergeCell ref="E5:F5"/>
    <mergeCell ref="H5:I5"/>
    <mergeCell ref="J4:L4"/>
    <mergeCell ref="K5:L5"/>
    <mergeCell ref="D3:F3"/>
    <mergeCell ref="O23:S23"/>
    <mergeCell ref="O29:S29"/>
    <mergeCell ref="O35:S35"/>
    <mergeCell ref="A4:C4"/>
    <mergeCell ref="D4:F4"/>
    <mergeCell ref="B6:C6"/>
    <mergeCell ref="E6:F6"/>
    <mergeCell ref="H6:I6"/>
    <mergeCell ref="B7:C7"/>
    <mergeCell ref="E7:F7"/>
    <mergeCell ref="H7:I7"/>
    <mergeCell ref="K6:L6"/>
    <mergeCell ref="K7:L7"/>
    <mergeCell ref="O11:S11"/>
    <mergeCell ref="O5:S5"/>
    <mergeCell ref="O17:S17"/>
  </mergeCells>
  <pageMargins left="1" right="0.25"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54"/>
  <sheetViews>
    <sheetView topLeftCell="C1" workbookViewId="0">
      <selection sqref="A1:XFD1048576"/>
    </sheetView>
  </sheetViews>
  <sheetFormatPr defaultColWidth="35.36328125" defaultRowHeight="12.5" x14ac:dyDescent="0.25"/>
  <sheetData>
    <row r="1" spans="1:4" ht="28" x14ac:dyDescent="0.25">
      <c r="A1" s="640" t="s">
        <v>1002</v>
      </c>
      <c r="B1" s="640" t="s">
        <v>1003</v>
      </c>
      <c r="C1" s="641" t="s">
        <v>231</v>
      </c>
      <c r="D1" s="641" t="s">
        <v>1004</v>
      </c>
    </row>
    <row r="2" spans="1:4" ht="14" x14ac:dyDescent="0.25">
      <c r="A2" s="964" t="s">
        <v>1005</v>
      </c>
      <c r="B2" s="964"/>
      <c r="C2" s="964"/>
      <c r="D2" s="964"/>
    </row>
    <row r="3" spans="1:4" ht="14" x14ac:dyDescent="0.25">
      <c r="A3" s="664" t="s">
        <v>1006</v>
      </c>
      <c r="B3" s="665" t="s">
        <v>1028</v>
      </c>
      <c r="C3" s="642"/>
      <c r="D3" s="665" t="s">
        <v>1028</v>
      </c>
    </row>
    <row r="4" spans="1:4" ht="14" x14ac:dyDescent="0.25">
      <c r="A4" s="664" t="s">
        <v>1008</v>
      </c>
      <c r="B4" s="665" t="s">
        <v>1007</v>
      </c>
      <c r="C4" s="643" t="s">
        <v>1009</v>
      </c>
      <c r="D4" s="665" t="s">
        <v>1007</v>
      </c>
    </row>
    <row r="5" spans="1:4" ht="14" x14ac:dyDescent="0.25">
      <c r="A5" s="664" t="s">
        <v>1010</v>
      </c>
      <c r="B5" s="665"/>
      <c r="C5" s="643" t="s">
        <v>1011</v>
      </c>
      <c r="D5" s="665"/>
    </row>
    <row r="6" spans="1:4" ht="14" x14ac:dyDescent="0.25">
      <c r="A6" s="664" t="s">
        <v>1031</v>
      </c>
      <c r="B6" s="665"/>
      <c r="C6" s="643" t="s">
        <v>1011</v>
      </c>
      <c r="D6" s="665"/>
    </row>
    <row r="7" spans="1:4" ht="14" x14ac:dyDescent="0.25">
      <c r="A7" s="664" t="s">
        <v>483</v>
      </c>
      <c r="B7" s="665" t="s">
        <v>1007</v>
      </c>
      <c r="C7" s="643" t="s">
        <v>1012</v>
      </c>
      <c r="D7" s="665" t="s">
        <v>1007</v>
      </c>
    </row>
    <row r="8" spans="1:4" ht="14" x14ac:dyDescent="0.25">
      <c r="A8" s="966" t="s">
        <v>1013</v>
      </c>
      <c r="B8" s="967" t="s">
        <v>1014</v>
      </c>
      <c r="C8" s="643" t="s">
        <v>1015</v>
      </c>
      <c r="D8" s="967" t="s">
        <v>1007</v>
      </c>
    </row>
    <row r="9" spans="1:4" ht="14" x14ac:dyDescent="0.25">
      <c r="A9" s="966"/>
      <c r="B9" s="967"/>
      <c r="C9" s="643" t="s">
        <v>1016</v>
      </c>
      <c r="D9" s="967"/>
    </row>
    <row r="10" spans="1:4" ht="14" x14ac:dyDescent="0.25">
      <c r="A10" s="664" t="s">
        <v>65</v>
      </c>
      <c r="B10" s="665" t="s">
        <v>1007</v>
      </c>
      <c r="C10" s="643" t="s">
        <v>1017</v>
      </c>
      <c r="D10" s="665" t="s">
        <v>1007</v>
      </c>
    </row>
    <row r="11" spans="1:4" ht="14" x14ac:dyDescent="0.25">
      <c r="A11" s="664" t="s">
        <v>1018</v>
      </c>
      <c r="B11" s="665" t="s">
        <v>1007</v>
      </c>
      <c r="C11" s="643" t="s">
        <v>1019</v>
      </c>
      <c r="D11" s="665" t="s">
        <v>1007</v>
      </c>
    </row>
    <row r="12" spans="1:4" ht="14" x14ac:dyDescent="0.25">
      <c r="A12" s="964" t="s">
        <v>1020</v>
      </c>
      <c r="B12" s="964"/>
      <c r="C12" s="964"/>
      <c r="D12" s="964"/>
    </row>
    <row r="13" spans="1:4" ht="14" x14ac:dyDescent="0.25">
      <c r="A13" s="664" t="s">
        <v>1021</v>
      </c>
      <c r="B13" s="665"/>
      <c r="C13" s="665" t="s">
        <v>1022</v>
      </c>
      <c r="D13" s="665"/>
    </row>
    <row r="14" spans="1:4" ht="28" x14ac:dyDescent="0.25">
      <c r="A14" s="664" t="s">
        <v>1023</v>
      </c>
      <c r="B14" s="665"/>
      <c r="C14" s="665" t="s">
        <v>1024</v>
      </c>
      <c r="D14" s="665"/>
    </row>
    <row r="15" spans="1:4" ht="14" x14ac:dyDescent="0.25">
      <c r="A15" s="964" t="s">
        <v>1025</v>
      </c>
      <c r="B15" s="964"/>
      <c r="C15" s="964"/>
      <c r="D15" s="964"/>
    </row>
    <row r="16" spans="1:4" ht="14" x14ac:dyDescent="0.25">
      <c r="A16" s="664" t="s">
        <v>1029</v>
      </c>
      <c r="B16" s="665" t="s">
        <v>1007</v>
      </c>
      <c r="C16" s="665" t="s">
        <v>1026</v>
      </c>
      <c r="D16" s="665" t="s">
        <v>1007</v>
      </c>
    </row>
    <row r="17" spans="1:4" ht="14" x14ac:dyDescent="0.25">
      <c r="A17" s="664" t="s">
        <v>464</v>
      </c>
      <c r="B17" s="665" t="s">
        <v>1007</v>
      </c>
      <c r="C17" s="665" t="s">
        <v>1026</v>
      </c>
      <c r="D17" s="665" t="s">
        <v>1007</v>
      </c>
    </row>
    <row r="18" spans="1:4" ht="14" x14ac:dyDescent="0.25">
      <c r="A18" s="664" t="s">
        <v>1030</v>
      </c>
      <c r="B18" s="665" t="s">
        <v>1007</v>
      </c>
      <c r="C18" s="665"/>
      <c r="D18" s="665" t="s">
        <v>1007</v>
      </c>
    </row>
    <row r="19" spans="1:4" ht="14" x14ac:dyDescent="0.25">
      <c r="A19" s="664" t="s">
        <v>1027</v>
      </c>
      <c r="B19" s="665" t="s">
        <v>1007</v>
      </c>
      <c r="C19" s="665" t="s">
        <v>1026</v>
      </c>
      <c r="D19" s="665" t="s">
        <v>1007</v>
      </c>
    </row>
    <row r="20" spans="1:4" ht="14" x14ac:dyDescent="0.25">
      <c r="A20" s="664" t="s">
        <v>67</v>
      </c>
      <c r="B20" s="665" t="s">
        <v>1007</v>
      </c>
      <c r="C20" s="665" t="s">
        <v>1026</v>
      </c>
      <c r="D20" s="665" t="s">
        <v>1007</v>
      </c>
    </row>
    <row r="21" spans="1:4" ht="15" x14ac:dyDescent="0.3">
      <c r="A21" s="965" t="s">
        <v>1032</v>
      </c>
      <c r="B21" s="965"/>
      <c r="C21" s="965"/>
      <c r="D21" s="965"/>
    </row>
    <row r="22" spans="1:4" ht="15.5" x14ac:dyDescent="0.35">
      <c r="A22" s="644" t="s">
        <v>1033</v>
      </c>
      <c r="B22" s="184"/>
      <c r="C22" s="645" t="s">
        <v>1036</v>
      </c>
      <c r="D22" s="184"/>
    </row>
    <row r="23" spans="1:4" ht="15.5" x14ac:dyDescent="0.35">
      <c r="A23" s="644" t="s">
        <v>1034</v>
      </c>
      <c r="B23" s="184"/>
      <c r="C23" s="645" t="s">
        <v>1037</v>
      </c>
      <c r="D23" s="184"/>
    </row>
    <row r="24" spans="1:4" ht="15.5" x14ac:dyDescent="0.35">
      <c r="A24" s="644" t="s">
        <v>1035</v>
      </c>
      <c r="B24" s="184"/>
      <c r="C24" s="645" t="s">
        <v>1038</v>
      </c>
      <c r="D24" s="184"/>
    </row>
    <row r="25" spans="1:4" ht="15.5" x14ac:dyDescent="0.35">
      <c r="A25" s="78"/>
      <c r="B25" s="78"/>
      <c r="C25" s="78"/>
      <c r="D25" s="78"/>
    </row>
    <row r="26" spans="1:4" ht="15.5" x14ac:dyDescent="0.35">
      <c r="A26" s="78"/>
      <c r="B26" s="78"/>
      <c r="C26" s="78"/>
      <c r="D26" s="78"/>
    </row>
    <row r="27" spans="1:4" ht="15.5" x14ac:dyDescent="0.35">
      <c r="A27" s="961" t="s">
        <v>1047</v>
      </c>
      <c r="B27" s="961"/>
      <c r="C27" s="78"/>
      <c r="D27" s="78"/>
    </row>
    <row r="28" spans="1:4" ht="15.5" x14ac:dyDescent="0.35">
      <c r="A28" s="632" t="s">
        <v>922</v>
      </c>
      <c r="B28" s="632" t="s">
        <v>923</v>
      </c>
      <c r="C28" s="78"/>
      <c r="D28" s="78"/>
    </row>
    <row r="29" spans="1:4" ht="15.5" x14ac:dyDescent="0.35">
      <c r="A29" s="633" t="s">
        <v>961</v>
      </c>
      <c r="B29" s="79" t="s">
        <v>186</v>
      </c>
      <c r="C29" s="78"/>
      <c r="D29" s="78"/>
    </row>
    <row r="30" spans="1:4" ht="31" x14ac:dyDescent="0.35">
      <c r="A30" s="633" t="s">
        <v>977</v>
      </c>
      <c r="B30" s="633" t="s">
        <v>925</v>
      </c>
      <c r="C30" s="78"/>
      <c r="D30" s="78"/>
    </row>
    <row r="31" spans="1:4" ht="15.5" x14ac:dyDescent="0.35">
      <c r="A31" s="633" t="s">
        <v>708</v>
      </c>
      <c r="B31" s="633" t="s">
        <v>68</v>
      </c>
      <c r="C31" s="78"/>
      <c r="D31" s="78"/>
    </row>
    <row r="32" spans="1:4" ht="15.5" x14ac:dyDescent="0.35">
      <c r="A32" s="633" t="s">
        <v>926</v>
      </c>
      <c r="B32" s="633" t="s">
        <v>204</v>
      </c>
      <c r="C32" s="78"/>
      <c r="D32" s="78"/>
    </row>
    <row r="33" spans="1:4" ht="15.5" x14ac:dyDescent="0.35">
      <c r="A33" s="633" t="s">
        <v>157</v>
      </c>
      <c r="B33" s="635" t="s">
        <v>965</v>
      </c>
      <c r="C33" s="78"/>
      <c r="D33" s="78"/>
    </row>
    <row r="34" spans="1:4" ht="15.5" x14ac:dyDescent="0.35">
      <c r="A34" s="79" t="s">
        <v>945</v>
      </c>
      <c r="B34" s="79" t="s">
        <v>980</v>
      </c>
      <c r="C34" s="78"/>
      <c r="D34" s="78"/>
    </row>
    <row r="35" spans="1:4" ht="15.5" x14ac:dyDescent="0.35">
      <c r="A35" s="79" t="s">
        <v>962</v>
      </c>
      <c r="B35" s="79" t="s">
        <v>981</v>
      </c>
      <c r="C35" s="78"/>
      <c r="D35" s="78"/>
    </row>
    <row r="36" spans="1:4" ht="15.5" x14ac:dyDescent="0.35">
      <c r="A36" s="79" t="s">
        <v>963</v>
      </c>
      <c r="B36" s="79" t="s">
        <v>982</v>
      </c>
      <c r="C36" s="78"/>
      <c r="D36" s="78"/>
    </row>
    <row r="37" spans="1:4" ht="15.5" x14ac:dyDescent="0.35">
      <c r="A37" s="79" t="s">
        <v>964</v>
      </c>
      <c r="B37" s="79"/>
      <c r="C37" s="78"/>
      <c r="D37" s="78"/>
    </row>
    <row r="38" spans="1:4" ht="15.5" x14ac:dyDescent="0.35">
      <c r="A38" s="962" t="s">
        <v>949</v>
      </c>
      <c r="B38" s="963"/>
      <c r="C38" s="78"/>
      <c r="D38" s="78"/>
    </row>
    <row r="39" spans="1:4" ht="15.5" x14ac:dyDescent="0.35">
      <c r="A39" s="632" t="s">
        <v>922</v>
      </c>
      <c r="B39" s="632" t="s">
        <v>923</v>
      </c>
      <c r="C39" s="78"/>
      <c r="D39" s="78"/>
    </row>
    <row r="40" spans="1:4" ht="31" x14ac:dyDescent="0.35">
      <c r="A40" s="633" t="s">
        <v>927</v>
      </c>
      <c r="B40" s="633" t="s">
        <v>924</v>
      </c>
      <c r="C40" s="78"/>
      <c r="D40" s="78"/>
    </row>
    <row r="41" spans="1:4" ht="31" x14ac:dyDescent="0.35">
      <c r="A41" s="633" t="s">
        <v>977</v>
      </c>
      <c r="B41" s="633" t="s">
        <v>204</v>
      </c>
      <c r="C41" s="78"/>
      <c r="D41" s="78"/>
    </row>
    <row r="42" spans="1:4" ht="31" x14ac:dyDescent="0.35">
      <c r="A42" s="633" t="s">
        <v>928</v>
      </c>
      <c r="B42" s="633" t="s">
        <v>1040</v>
      </c>
      <c r="C42" s="78"/>
      <c r="D42" s="78"/>
    </row>
    <row r="43" spans="1:4" ht="15.5" x14ac:dyDescent="0.35">
      <c r="A43" s="633"/>
      <c r="B43" s="633" t="s">
        <v>68</v>
      </c>
      <c r="C43" s="78"/>
      <c r="D43" s="78"/>
    </row>
    <row r="44" spans="1:4" ht="31" x14ac:dyDescent="0.35">
      <c r="A44" s="633" t="s">
        <v>929</v>
      </c>
      <c r="B44" s="635" t="s">
        <v>181</v>
      </c>
      <c r="C44" s="78"/>
      <c r="D44" s="78"/>
    </row>
    <row r="45" spans="1:4" ht="31" x14ac:dyDescent="0.35">
      <c r="A45" s="633" t="s">
        <v>930</v>
      </c>
      <c r="B45" s="633" t="s">
        <v>121</v>
      </c>
      <c r="C45" s="78"/>
      <c r="D45" s="78"/>
    </row>
    <row r="46" spans="1:4" ht="15.5" x14ac:dyDescent="0.35">
      <c r="A46" s="79" t="s">
        <v>978</v>
      </c>
      <c r="B46" s="635" t="s">
        <v>185</v>
      </c>
      <c r="C46" s="78"/>
      <c r="D46" s="78"/>
    </row>
    <row r="47" spans="1:4" ht="31" x14ac:dyDescent="0.35">
      <c r="A47" s="636" t="s">
        <v>979</v>
      </c>
      <c r="B47" s="634" t="s">
        <v>976</v>
      </c>
      <c r="C47" s="78"/>
      <c r="D47" s="78"/>
    </row>
    <row r="48" spans="1:4" ht="15.5" x14ac:dyDescent="0.35">
      <c r="A48" s="960" t="s">
        <v>1039</v>
      </c>
      <c r="B48" s="960"/>
      <c r="C48" s="78"/>
      <c r="D48" s="78"/>
    </row>
    <row r="49" spans="1:4" ht="15.5" x14ac:dyDescent="0.35">
      <c r="A49" s="632" t="s">
        <v>922</v>
      </c>
      <c r="B49" s="632" t="s">
        <v>923</v>
      </c>
      <c r="C49" s="78"/>
      <c r="D49" s="78"/>
    </row>
    <row r="50" spans="1:4" ht="15.5" x14ac:dyDescent="0.35">
      <c r="A50" s="648" t="s">
        <v>1041</v>
      </c>
      <c r="B50" s="633" t="s">
        <v>204</v>
      </c>
      <c r="C50" s="78"/>
      <c r="D50" s="78"/>
    </row>
    <row r="51" spans="1:4" ht="31" x14ac:dyDescent="0.35">
      <c r="A51" s="633" t="s">
        <v>1046</v>
      </c>
      <c r="B51" s="79" t="s">
        <v>924</v>
      </c>
      <c r="C51" s="78"/>
      <c r="D51" s="78"/>
    </row>
    <row r="52" spans="1:4" ht="15.5" x14ac:dyDescent="0.35">
      <c r="A52" s="78"/>
      <c r="B52" s="79" t="s">
        <v>1044</v>
      </c>
      <c r="C52" s="78"/>
      <c r="D52" s="78"/>
    </row>
    <row r="53" spans="1:4" ht="31" x14ac:dyDescent="0.35">
      <c r="A53" s="78"/>
      <c r="B53" s="633" t="s">
        <v>1045</v>
      </c>
      <c r="C53" s="78"/>
      <c r="D53" s="78"/>
    </row>
    <row r="54" spans="1:4" ht="15.5" x14ac:dyDescent="0.35">
      <c r="A54" s="78"/>
      <c r="B54" s="633" t="s">
        <v>68</v>
      </c>
      <c r="C54" s="78"/>
      <c r="D54" s="78"/>
    </row>
  </sheetData>
  <mergeCells count="10">
    <mergeCell ref="A2:D2"/>
    <mergeCell ref="A8:A9"/>
    <mergeCell ref="B8:B9"/>
    <mergeCell ref="D8:D9"/>
    <mergeCell ref="A12:D12"/>
    <mergeCell ref="A48:B48"/>
    <mergeCell ref="A27:B27"/>
    <mergeCell ref="A38:B38"/>
    <mergeCell ref="A15:D15"/>
    <mergeCell ref="A21:D21"/>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AH75"/>
  <sheetViews>
    <sheetView topLeftCell="A4" zoomScale="67" zoomScaleNormal="67" workbookViewId="0">
      <selection activeCell="I22" sqref="I22"/>
    </sheetView>
  </sheetViews>
  <sheetFormatPr defaultColWidth="38" defaultRowHeight="15.5" x14ac:dyDescent="0.35"/>
  <cols>
    <col min="1" max="1" width="15" style="78" bestFit="1" customWidth="1"/>
    <col min="2" max="2" width="62.90625" style="78" bestFit="1" customWidth="1"/>
    <col min="3" max="3" width="16.36328125" style="78" bestFit="1" customWidth="1"/>
    <col min="4" max="4" width="20.6328125" style="78" customWidth="1"/>
    <col min="5" max="5" width="13.453125" style="78" bestFit="1" customWidth="1"/>
    <col min="6" max="6" width="14.36328125" style="78" bestFit="1" customWidth="1"/>
    <col min="7" max="7" width="22.54296875" style="78" bestFit="1" customWidth="1"/>
    <col min="8" max="8" width="22.54296875" style="78" customWidth="1"/>
    <col min="9" max="9" width="39.90625" style="78" bestFit="1" customWidth="1"/>
    <col min="10" max="10" width="10.08984375" style="78" bestFit="1" customWidth="1"/>
    <col min="11" max="11" width="11.453125" style="78" bestFit="1" customWidth="1"/>
    <col min="12" max="12" width="13" style="78" bestFit="1" customWidth="1"/>
    <col min="13" max="13" width="10.08984375" style="78" bestFit="1" customWidth="1"/>
    <col min="14" max="14" width="16.90625" style="78" customWidth="1"/>
    <col min="15" max="15" width="13.6328125" style="78" customWidth="1"/>
    <col min="16" max="16" width="13.453125" style="78" bestFit="1" customWidth="1"/>
    <col min="17" max="18" width="22.54296875" style="78" customWidth="1"/>
    <col min="19" max="20" width="13.453125" style="78" bestFit="1" customWidth="1"/>
    <col min="21" max="21" width="11" style="78" customWidth="1"/>
    <col min="22" max="25" width="10.08984375" style="78" bestFit="1" customWidth="1"/>
    <col min="26" max="26" width="11.6328125" style="78" bestFit="1" customWidth="1"/>
    <col min="27" max="27" width="15.90625" style="78" customWidth="1"/>
    <col min="28" max="28" width="38" style="78"/>
    <col min="29" max="29" width="38.90625" style="78" customWidth="1"/>
    <col min="30" max="30" width="35.36328125" style="78" bestFit="1" customWidth="1"/>
    <col min="31" max="31" width="25.6328125" style="78" customWidth="1"/>
    <col min="32" max="32" width="38" style="78"/>
    <col min="33" max="33" width="42" style="78" bestFit="1" customWidth="1"/>
    <col min="34" max="34" width="17.54296875" style="78" bestFit="1" customWidth="1"/>
    <col min="35" max="16384" width="38" style="78"/>
  </cols>
  <sheetData>
    <row r="1" spans="1:34" x14ac:dyDescent="0.35">
      <c r="O1" s="647"/>
      <c r="P1" s="647"/>
      <c r="Q1" s="647"/>
      <c r="R1" s="631"/>
      <c r="Z1" s="631"/>
      <c r="AA1" s="631"/>
      <c r="AH1" s="649"/>
    </row>
    <row r="2" spans="1:34" x14ac:dyDescent="0.35">
      <c r="A2" s="969" t="s">
        <v>266</v>
      </c>
      <c r="B2" s="969" t="s">
        <v>267</v>
      </c>
      <c r="C2" s="969">
        <v>2013</v>
      </c>
      <c r="D2" s="969"/>
      <c r="E2" s="969"/>
      <c r="F2" s="970" t="s">
        <v>1060</v>
      </c>
      <c r="G2" s="969" t="s">
        <v>931</v>
      </c>
      <c r="H2" s="650"/>
      <c r="AA2" s="654"/>
      <c r="AG2" s="669"/>
      <c r="AH2" s="649"/>
    </row>
    <row r="3" spans="1:34" ht="15.75" customHeight="1" x14ac:dyDescent="0.35">
      <c r="A3" s="969"/>
      <c r="B3" s="969"/>
      <c r="C3" s="969"/>
      <c r="D3" s="969"/>
      <c r="E3" s="969"/>
      <c r="F3" s="970"/>
      <c r="G3" s="969"/>
      <c r="H3" s="650"/>
      <c r="AA3" s="631"/>
    </row>
    <row r="4" spans="1:34" x14ac:dyDescent="0.35">
      <c r="A4" s="969"/>
      <c r="B4" s="969"/>
      <c r="C4" s="711" t="s">
        <v>1061</v>
      </c>
      <c r="D4" s="711" t="s">
        <v>948</v>
      </c>
      <c r="E4" s="711" t="s">
        <v>885</v>
      </c>
      <c r="F4" s="970"/>
      <c r="G4" s="969"/>
      <c r="H4" s="650"/>
      <c r="AA4" s="631"/>
    </row>
    <row r="5" spans="1:34" x14ac:dyDescent="0.35">
      <c r="A5" s="968" t="s">
        <v>966</v>
      </c>
      <c r="B5" s="968"/>
      <c r="C5" s="968"/>
      <c r="D5" s="968"/>
      <c r="E5" s="968"/>
      <c r="F5" s="968"/>
      <c r="G5" s="79"/>
      <c r="H5" s="668"/>
      <c r="AA5" s="631"/>
    </row>
    <row r="6" spans="1:34" x14ac:dyDescent="0.35">
      <c r="A6" s="637" t="s">
        <v>1058</v>
      </c>
      <c r="B6" s="637" t="s">
        <v>1122</v>
      </c>
      <c r="C6" s="663"/>
      <c r="D6" s="663"/>
      <c r="E6" s="663" t="s">
        <v>598</v>
      </c>
      <c r="F6" s="663"/>
      <c r="G6" s="629" t="s">
        <v>1116</v>
      </c>
      <c r="H6" s="649"/>
      <c r="AA6" s="631"/>
    </row>
    <row r="7" spans="1:34" x14ac:dyDescent="0.35">
      <c r="A7" s="79" t="s">
        <v>759</v>
      </c>
      <c r="B7" s="79" t="s">
        <v>886</v>
      </c>
      <c r="C7" s="627" t="s">
        <v>598</v>
      </c>
      <c r="D7" s="627" t="s">
        <v>598</v>
      </c>
      <c r="E7" s="627" t="s">
        <v>598</v>
      </c>
      <c r="F7" s="627" t="s">
        <v>887</v>
      </c>
      <c r="G7" s="629" t="s">
        <v>932</v>
      </c>
      <c r="H7" s="649"/>
    </row>
    <row r="8" spans="1:34" x14ac:dyDescent="0.35">
      <c r="A8" s="79" t="s">
        <v>1110</v>
      </c>
      <c r="B8" s="79" t="s">
        <v>1111</v>
      </c>
      <c r="C8" s="627" t="s">
        <v>598</v>
      </c>
      <c r="D8" s="627"/>
      <c r="E8" s="627"/>
      <c r="F8" s="627"/>
      <c r="G8" s="629"/>
      <c r="H8" s="649"/>
    </row>
    <row r="9" spans="1:34" x14ac:dyDescent="0.35">
      <c r="A9" s="79" t="s">
        <v>741</v>
      </c>
      <c r="B9" s="79" t="s">
        <v>888</v>
      </c>
      <c r="C9" s="627" t="s">
        <v>598</v>
      </c>
      <c r="D9" s="627" t="s">
        <v>598</v>
      </c>
      <c r="E9" s="627" t="s">
        <v>598</v>
      </c>
      <c r="F9" s="627" t="s">
        <v>887</v>
      </c>
      <c r="G9" s="629" t="s">
        <v>932</v>
      </c>
      <c r="H9" s="649"/>
    </row>
    <row r="10" spans="1:34" x14ac:dyDescent="0.35">
      <c r="A10" s="79" t="s">
        <v>1112</v>
      </c>
      <c r="B10" s="79" t="s">
        <v>1113</v>
      </c>
      <c r="C10" s="627" t="s">
        <v>598</v>
      </c>
      <c r="D10" s="627"/>
      <c r="E10" s="627"/>
      <c r="F10" s="627"/>
      <c r="G10" s="629"/>
      <c r="H10" s="649"/>
    </row>
    <row r="11" spans="1:34" x14ac:dyDescent="0.35">
      <c r="A11" s="79" t="s">
        <v>269</v>
      </c>
      <c r="B11" s="79" t="s">
        <v>270</v>
      </c>
      <c r="C11" s="627" t="s">
        <v>598</v>
      </c>
      <c r="D11" s="627" t="s">
        <v>950</v>
      </c>
      <c r="E11" s="627" t="s">
        <v>598</v>
      </c>
      <c r="F11" s="627"/>
      <c r="G11" s="629" t="s">
        <v>932</v>
      </c>
      <c r="H11" s="649"/>
    </row>
    <row r="12" spans="1:34" x14ac:dyDescent="0.35">
      <c r="A12" s="968" t="s">
        <v>967</v>
      </c>
      <c r="B12" s="968"/>
      <c r="C12" s="968"/>
      <c r="D12" s="968"/>
      <c r="E12" s="968"/>
      <c r="F12" s="968"/>
      <c r="G12" s="79"/>
      <c r="H12" s="668"/>
    </row>
    <row r="13" spans="1:34" x14ac:dyDescent="0.35">
      <c r="A13" s="79" t="s">
        <v>889</v>
      </c>
      <c r="B13" s="79" t="s">
        <v>933</v>
      </c>
      <c r="C13" s="627" t="s">
        <v>598</v>
      </c>
      <c r="D13" s="627" t="s">
        <v>950</v>
      </c>
      <c r="E13" s="627" t="s">
        <v>598</v>
      </c>
      <c r="F13" s="627" t="s">
        <v>887</v>
      </c>
      <c r="G13" s="629" t="s">
        <v>934</v>
      </c>
      <c r="H13" s="649"/>
    </row>
    <row r="14" spans="1:34" x14ac:dyDescent="0.35">
      <c r="A14" s="79" t="s">
        <v>890</v>
      </c>
      <c r="B14" s="79" t="s">
        <v>479</v>
      </c>
      <c r="C14" s="627" t="s">
        <v>892</v>
      </c>
      <c r="D14" s="627"/>
      <c r="E14" s="627" t="s">
        <v>598</v>
      </c>
      <c r="F14" s="79"/>
      <c r="G14" s="629" t="s">
        <v>1116</v>
      </c>
      <c r="H14" s="649"/>
    </row>
    <row r="15" spans="1:34" x14ac:dyDescent="0.35">
      <c r="A15" s="968" t="s">
        <v>893</v>
      </c>
      <c r="B15" s="968"/>
      <c r="C15" s="968"/>
      <c r="D15" s="968"/>
      <c r="E15" s="968"/>
      <c r="F15" s="968"/>
      <c r="G15" s="79"/>
      <c r="H15" s="668"/>
    </row>
    <row r="16" spans="1:34" x14ac:dyDescent="0.35">
      <c r="A16" s="79" t="s">
        <v>991</v>
      </c>
      <c r="B16" s="79" t="s">
        <v>954</v>
      </c>
      <c r="C16" s="627" t="s">
        <v>598</v>
      </c>
      <c r="D16" s="627"/>
      <c r="E16" s="627" t="s">
        <v>598</v>
      </c>
      <c r="F16" s="627" t="s">
        <v>887</v>
      </c>
      <c r="G16" s="629" t="s">
        <v>934</v>
      </c>
      <c r="H16" s="649"/>
    </row>
    <row r="17" spans="1:8" ht="15" customHeight="1" x14ac:dyDescent="0.35">
      <c r="A17" s="79" t="s">
        <v>992</v>
      </c>
      <c r="B17" s="79" t="s">
        <v>954</v>
      </c>
      <c r="C17" s="627"/>
      <c r="D17" s="627"/>
      <c r="E17" s="627" t="s">
        <v>598</v>
      </c>
      <c r="F17" s="627" t="s">
        <v>887</v>
      </c>
      <c r="G17" s="629" t="s">
        <v>934</v>
      </c>
      <c r="H17" s="649"/>
    </row>
    <row r="18" spans="1:8" x14ac:dyDescent="0.35">
      <c r="A18" s="79" t="s">
        <v>242</v>
      </c>
      <c r="B18" s="710" t="s">
        <v>956</v>
      </c>
      <c r="C18" s="627" t="s">
        <v>960</v>
      </c>
      <c r="D18" s="79"/>
      <c r="E18" s="79"/>
      <c r="F18" s="79"/>
      <c r="G18" s="629" t="s">
        <v>934</v>
      </c>
      <c r="H18" s="649"/>
    </row>
    <row r="19" spans="1:8" x14ac:dyDescent="0.35">
      <c r="A19" s="79" t="s">
        <v>955</v>
      </c>
      <c r="B19" s="710" t="s">
        <v>957</v>
      </c>
      <c r="C19" s="627" t="s">
        <v>960</v>
      </c>
      <c r="D19" s="79"/>
      <c r="E19" s="79"/>
      <c r="F19" s="79"/>
      <c r="G19" s="629" t="s">
        <v>934</v>
      </c>
      <c r="H19" s="649"/>
    </row>
    <row r="20" spans="1:8" x14ac:dyDescent="0.35">
      <c r="A20" s="79" t="s">
        <v>244</v>
      </c>
      <c r="B20" s="710" t="s">
        <v>958</v>
      </c>
      <c r="C20" s="627" t="s">
        <v>960</v>
      </c>
      <c r="D20" s="79"/>
      <c r="E20" s="79"/>
      <c r="F20" s="79"/>
      <c r="G20" s="629" t="s">
        <v>934</v>
      </c>
      <c r="H20" s="649"/>
    </row>
    <row r="21" spans="1:8" x14ac:dyDescent="0.35">
      <c r="A21" s="79" t="s">
        <v>245</v>
      </c>
      <c r="B21" s="710" t="s">
        <v>959</v>
      </c>
      <c r="C21" s="627" t="s">
        <v>960</v>
      </c>
      <c r="D21" s="627"/>
      <c r="E21" s="627"/>
      <c r="F21" s="627"/>
      <c r="G21" s="629" t="s">
        <v>934</v>
      </c>
      <c r="H21" s="649"/>
    </row>
    <row r="22" spans="1:8" x14ac:dyDescent="0.35">
      <c r="A22" s="968" t="s">
        <v>968</v>
      </c>
      <c r="B22" s="968"/>
      <c r="C22" s="968"/>
      <c r="D22" s="968"/>
      <c r="E22" s="968"/>
      <c r="F22" s="968"/>
      <c r="G22" s="79"/>
      <c r="H22" s="668"/>
    </row>
    <row r="23" spans="1:8" x14ac:dyDescent="0.35">
      <c r="A23" s="79" t="s">
        <v>894</v>
      </c>
      <c r="B23" s="79" t="s">
        <v>895</v>
      </c>
      <c r="C23" s="627" t="s">
        <v>598</v>
      </c>
      <c r="D23" s="627"/>
      <c r="E23" s="627"/>
      <c r="F23" s="627" t="s">
        <v>896</v>
      </c>
      <c r="G23" s="629" t="s">
        <v>947</v>
      </c>
      <c r="H23" s="649"/>
    </row>
    <row r="24" spans="1:8" x14ac:dyDescent="0.35">
      <c r="A24" s="79" t="s">
        <v>254</v>
      </c>
      <c r="B24" s="710" t="s">
        <v>897</v>
      </c>
      <c r="C24" s="627"/>
      <c r="D24" s="627"/>
      <c r="E24" s="627" t="s">
        <v>598</v>
      </c>
      <c r="F24" s="627"/>
      <c r="G24" s="629" t="s">
        <v>947</v>
      </c>
      <c r="H24" s="649"/>
    </row>
    <row r="25" spans="1:8" x14ac:dyDescent="0.35">
      <c r="A25" s="79" t="s">
        <v>990</v>
      </c>
      <c r="B25" s="710" t="s">
        <v>898</v>
      </c>
      <c r="C25" s="627"/>
      <c r="D25" s="627"/>
      <c r="E25" s="627" t="s">
        <v>598</v>
      </c>
      <c r="F25" s="627"/>
      <c r="G25" s="629" t="s">
        <v>947</v>
      </c>
      <c r="H25" s="649"/>
    </row>
    <row r="26" spans="1:8" x14ac:dyDescent="0.35">
      <c r="A26" s="968" t="s">
        <v>969</v>
      </c>
      <c r="B26" s="968"/>
      <c r="C26" s="968"/>
      <c r="D26" s="968"/>
      <c r="E26" s="968"/>
      <c r="F26" s="968"/>
      <c r="G26" s="79"/>
      <c r="H26" s="631"/>
    </row>
    <row r="27" spans="1:8" x14ac:dyDescent="0.35">
      <c r="A27" s="79" t="s">
        <v>187</v>
      </c>
      <c r="B27" s="79" t="s">
        <v>899</v>
      </c>
      <c r="C27" s="627" t="s">
        <v>598</v>
      </c>
      <c r="D27" s="627" t="s">
        <v>598</v>
      </c>
      <c r="E27" s="627" t="s">
        <v>598</v>
      </c>
      <c r="F27" s="627" t="s">
        <v>887</v>
      </c>
      <c r="G27" s="629" t="s">
        <v>935</v>
      </c>
      <c r="H27" s="649"/>
    </row>
    <row r="28" spans="1:8" x14ac:dyDescent="0.35">
      <c r="A28" s="79" t="s">
        <v>256</v>
      </c>
      <c r="B28" s="79" t="s">
        <v>274</v>
      </c>
      <c r="C28" s="627" t="s">
        <v>598</v>
      </c>
      <c r="D28" s="627" t="s">
        <v>952</v>
      </c>
      <c r="E28" s="627" t="s">
        <v>598</v>
      </c>
      <c r="F28" s="627"/>
      <c r="G28" s="629" t="s">
        <v>935</v>
      </c>
      <c r="H28" s="649"/>
    </row>
    <row r="29" spans="1:8" x14ac:dyDescent="0.35">
      <c r="A29" s="79" t="s">
        <v>1114</v>
      </c>
      <c r="B29" s="79" t="s">
        <v>274</v>
      </c>
      <c r="C29" s="627" t="s">
        <v>598</v>
      </c>
      <c r="D29" s="627"/>
      <c r="E29" s="627"/>
      <c r="F29" s="627"/>
      <c r="G29" s="629"/>
      <c r="H29" s="649"/>
    </row>
    <row r="30" spans="1:8" x14ac:dyDescent="0.35">
      <c r="A30" s="79" t="s">
        <v>257</v>
      </c>
      <c r="B30" s="79" t="s">
        <v>275</v>
      </c>
      <c r="C30" s="627" t="s">
        <v>598</v>
      </c>
      <c r="D30" s="627" t="s">
        <v>598</v>
      </c>
      <c r="E30" s="627" t="s">
        <v>598</v>
      </c>
      <c r="F30" s="627"/>
      <c r="G30" s="629" t="s">
        <v>935</v>
      </c>
      <c r="H30" s="649"/>
    </row>
    <row r="31" spans="1:8" x14ac:dyDescent="0.35">
      <c r="A31" s="79" t="s">
        <v>258</v>
      </c>
      <c r="B31" s="79" t="s">
        <v>276</v>
      </c>
      <c r="C31" s="627" t="s">
        <v>598</v>
      </c>
      <c r="D31" s="627" t="s">
        <v>598</v>
      </c>
      <c r="E31" s="627" t="s">
        <v>598</v>
      </c>
      <c r="F31" s="627"/>
      <c r="G31" s="629" t="s">
        <v>935</v>
      </c>
      <c r="H31" s="649"/>
    </row>
    <row r="32" spans="1:8" x14ac:dyDescent="0.35">
      <c r="A32" s="79" t="s">
        <v>259</v>
      </c>
      <c r="B32" s="79" t="s">
        <v>900</v>
      </c>
      <c r="C32" s="627" t="s">
        <v>598</v>
      </c>
      <c r="D32" s="627" t="s">
        <v>598</v>
      </c>
      <c r="E32" s="627" t="s">
        <v>892</v>
      </c>
      <c r="F32" s="627"/>
      <c r="G32" s="629" t="s">
        <v>935</v>
      </c>
      <c r="H32" s="649"/>
    </row>
    <row r="33" spans="1:8" x14ac:dyDescent="0.35">
      <c r="A33" s="79" t="s">
        <v>260</v>
      </c>
      <c r="B33" s="79" t="s">
        <v>901</v>
      </c>
      <c r="C33" s="627" t="s">
        <v>598</v>
      </c>
      <c r="D33" s="627" t="s">
        <v>951</v>
      </c>
      <c r="E33" s="627" t="s">
        <v>598</v>
      </c>
      <c r="F33" s="627" t="s">
        <v>887</v>
      </c>
      <c r="G33" s="629" t="s">
        <v>935</v>
      </c>
      <c r="H33" s="649"/>
    </row>
    <row r="34" spans="1:8" x14ac:dyDescent="0.35">
      <c r="A34" s="79" t="s">
        <v>1058</v>
      </c>
      <c r="B34" s="79" t="s">
        <v>476</v>
      </c>
      <c r="C34" s="627"/>
      <c r="D34" s="627"/>
      <c r="E34" s="627" t="s">
        <v>598</v>
      </c>
      <c r="F34" s="627"/>
      <c r="G34" s="629" t="s">
        <v>1116</v>
      </c>
      <c r="H34" s="649"/>
    </row>
    <row r="35" spans="1:8" x14ac:dyDescent="0.35">
      <c r="A35" s="79" t="s">
        <v>1081</v>
      </c>
      <c r="B35" s="79" t="s">
        <v>1082</v>
      </c>
      <c r="C35" s="667" t="s">
        <v>1007</v>
      </c>
      <c r="D35" s="79"/>
      <c r="E35" s="79"/>
      <c r="F35" s="79"/>
      <c r="G35" s="629" t="s">
        <v>935</v>
      </c>
      <c r="H35" s="649"/>
    </row>
    <row r="36" spans="1:8" x14ac:dyDescent="0.35">
      <c r="A36" s="79" t="s">
        <v>902</v>
      </c>
      <c r="B36" s="79" t="s">
        <v>1121</v>
      </c>
      <c r="C36" s="627" t="s">
        <v>598</v>
      </c>
      <c r="D36" s="627"/>
      <c r="E36" s="627" t="s">
        <v>904</v>
      </c>
      <c r="F36" s="627"/>
      <c r="G36" s="629" t="s">
        <v>1116</v>
      </c>
      <c r="H36" s="631"/>
    </row>
    <row r="37" spans="1:8" x14ac:dyDescent="0.35">
      <c r="A37" s="79" t="s">
        <v>907</v>
      </c>
      <c r="B37" s="79" t="s">
        <v>1120</v>
      </c>
      <c r="C37" s="627" t="s">
        <v>598</v>
      </c>
      <c r="D37" s="627"/>
      <c r="E37" s="627" t="s">
        <v>904</v>
      </c>
      <c r="F37" s="627"/>
      <c r="G37" s="629" t="s">
        <v>1116</v>
      </c>
      <c r="H37" s="649"/>
    </row>
    <row r="38" spans="1:8" x14ac:dyDescent="0.35">
      <c r="A38" s="79" t="s">
        <v>909</v>
      </c>
      <c r="B38" s="79" t="s">
        <v>1119</v>
      </c>
      <c r="C38" s="627" t="s">
        <v>598</v>
      </c>
      <c r="D38" s="627"/>
      <c r="E38" s="627" t="s">
        <v>904</v>
      </c>
      <c r="F38" s="627"/>
      <c r="G38" s="629" t="s">
        <v>1116</v>
      </c>
      <c r="H38" s="649"/>
    </row>
    <row r="39" spans="1:8" x14ac:dyDescent="0.35">
      <c r="A39" s="968" t="s">
        <v>970</v>
      </c>
      <c r="B39" s="968"/>
      <c r="C39" s="968"/>
      <c r="D39" s="968"/>
      <c r="E39" s="968"/>
      <c r="F39" s="968"/>
      <c r="G39" s="79"/>
      <c r="H39" s="631"/>
    </row>
    <row r="40" spans="1:8" x14ac:dyDescent="0.35">
      <c r="A40" s="79" t="s">
        <v>911</v>
      </c>
      <c r="B40" s="79" t="s">
        <v>944</v>
      </c>
      <c r="C40" s="627" t="s">
        <v>598</v>
      </c>
      <c r="D40" s="627" t="s">
        <v>952</v>
      </c>
      <c r="E40" s="627" t="s">
        <v>598</v>
      </c>
      <c r="F40" s="627" t="s">
        <v>887</v>
      </c>
      <c r="G40" s="629" t="s">
        <v>934</v>
      </c>
      <c r="H40" s="649"/>
    </row>
    <row r="41" spans="1:8" x14ac:dyDescent="0.35">
      <c r="A41" s="968" t="s">
        <v>971</v>
      </c>
      <c r="B41" s="968"/>
      <c r="C41" s="968"/>
      <c r="D41" s="968"/>
      <c r="E41" s="968"/>
      <c r="F41" s="968"/>
      <c r="G41" s="79"/>
      <c r="H41" s="631"/>
    </row>
    <row r="42" spans="1:8" x14ac:dyDescent="0.35">
      <c r="A42" s="79" t="s">
        <v>263</v>
      </c>
      <c r="B42" s="79" t="s">
        <v>912</v>
      </c>
      <c r="C42" s="627" t="s">
        <v>598</v>
      </c>
      <c r="D42" s="627" t="s">
        <v>598</v>
      </c>
      <c r="E42" s="627" t="s">
        <v>598</v>
      </c>
      <c r="F42" s="627" t="s">
        <v>887</v>
      </c>
      <c r="G42" s="629" t="s">
        <v>431</v>
      </c>
      <c r="H42" s="649"/>
    </row>
    <row r="43" spans="1:8" x14ac:dyDescent="0.35">
      <c r="A43" s="79" t="s">
        <v>1058</v>
      </c>
      <c r="B43" s="79" t="s">
        <v>994</v>
      </c>
      <c r="C43" s="79"/>
      <c r="D43" s="79"/>
      <c r="E43" s="627" t="s">
        <v>598</v>
      </c>
      <c r="F43" s="79"/>
      <c r="G43" s="629" t="s">
        <v>1116</v>
      </c>
      <c r="H43" s="649"/>
    </row>
    <row r="44" spans="1:8" x14ac:dyDescent="0.35">
      <c r="A44" s="968" t="s">
        <v>972</v>
      </c>
      <c r="B44" s="968"/>
      <c r="C44" s="968"/>
      <c r="D44" s="968"/>
      <c r="E44" s="968"/>
      <c r="F44" s="968"/>
      <c r="G44" s="79"/>
      <c r="H44" s="631"/>
    </row>
    <row r="45" spans="1:8" x14ac:dyDescent="0.35">
      <c r="A45" s="79" t="s">
        <v>913</v>
      </c>
      <c r="B45" s="79" t="s">
        <v>914</v>
      </c>
      <c r="C45" s="627"/>
      <c r="D45" s="627" t="s">
        <v>598</v>
      </c>
      <c r="E45" s="627" t="s">
        <v>598</v>
      </c>
      <c r="F45" s="627"/>
      <c r="G45" s="627" t="s">
        <v>946</v>
      </c>
      <c r="H45" s="662"/>
    </row>
    <row r="46" spans="1:8" x14ac:dyDescent="0.35">
      <c r="A46" s="79" t="s">
        <v>915</v>
      </c>
      <c r="B46" s="79" t="s">
        <v>916</v>
      </c>
      <c r="C46" s="627"/>
      <c r="D46" s="627" t="s">
        <v>598</v>
      </c>
      <c r="E46" s="627" t="s">
        <v>598</v>
      </c>
      <c r="F46" s="627" t="s">
        <v>887</v>
      </c>
      <c r="G46" s="627" t="s">
        <v>946</v>
      </c>
      <c r="H46" s="662"/>
    </row>
    <row r="47" spans="1:8" x14ac:dyDescent="0.35">
      <c r="A47" s="79" t="s">
        <v>1058</v>
      </c>
      <c r="B47" s="79" t="s">
        <v>1069</v>
      </c>
      <c r="C47" s="627"/>
      <c r="D47" s="627"/>
      <c r="E47" s="627" t="s">
        <v>598</v>
      </c>
      <c r="F47" s="627"/>
      <c r="G47" s="629" t="s">
        <v>1116</v>
      </c>
      <c r="H47" s="649"/>
    </row>
    <row r="48" spans="1:8" x14ac:dyDescent="0.35">
      <c r="A48" s="301" t="s">
        <v>988</v>
      </c>
      <c r="B48" s="79" t="s">
        <v>989</v>
      </c>
      <c r="C48" s="627" t="s">
        <v>598</v>
      </c>
      <c r="D48" s="627" t="s">
        <v>598</v>
      </c>
      <c r="E48" s="627" t="s">
        <v>598</v>
      </c>
      <c r="F48" s="79"/>
      <c r="G48" s="629" t="s">
        <v>935</v>
      </c>
      <c r="H48" s="649"/>
    </row>
    <row r="49" spans="1:27" x14ac:dyDescent="0.35">
      <c r="A49" s="968" t="s">
        <v>973</v>
      </c>
      <c r="B49" s="968"/>
      <c r="C49" s="968"/>
      <c r="D49" s="968"/>
      <c r="E49" s="968"/>
      <c r="F49" s="968"/>
      <c r="G49" s="79"/>
      <c r="H49" s="631"/>
    </row>
    <row r="50" spans="1:27" x14ac:dyDescent="0.35">
      <c r="A50" s="79" t="s">
        <v>265</v>
      </c>
      <c r="B50" s="79" t="s">
        <v>917</v>
      </c>
      <c r="C50" s="627" t="s">
        <v>598</v>
      </c>
      <c r="D50" s="627"/>
      <c r="E50" s="627" t="s">
        <v>598</v>
      </c>
      <c r="F50" s="627" t="s">
        <v>887</v>
      </c>
      <c r="G50" s="629" t="s">
        <v>932</v>
      </c>
      <c r="H50" s="649"/>
    </row>
    <row r="51" spans="1:27" x14ac:dyDescent="0.35">
      <c r="A51" s="79" t="s">
        <v>264</v>
      </c>
      <c r="B51" s="79" t="s">
        <v>918</v>
      </c>
      <c r="C51" s="627" t="s">
        <v>598</v>
      </c>
      <c r="D51" s="627" t="s">
        <v>952</v>
      </c>
      <c r="E51" s="627" t="s">
        <v>598</v>
      </c>
      <c r="F51" s="627" t="s">
        <v>887</v>
      </c>
      <c r="G51" s="629" t="s">
        <v>932</v>
      </c>
      <c r="H51" s="649"/>
    </row>
    <row r="52" spans="1:27" x14ac:dyDescent="0.35">
      <c r="A52" s="79" t="s">
        <v>1058</v>
      </c>
      <c r="B52" s="79" t="s">
        <v>1107</v>
      </c>
      <c r="C52" s="627"/>
      <c r="D52" s="627"/>
      <c r="E52" s="627" t="s">
        <v>598</v>
      </c>
      <c r="F52" s="627"/>
      <c r="G52" s="629" t="s">
        <v>1116</v>
      </c>
      <c r="H52" s="649"/>
    </row>
    <row r="53" spans="1:27" x14ac:dyDescent="0.35">
      <c r="A53" s="79" t="s">
        <v>936</v>
      </c>
      <c r="B53" s="79" t="s">
        <v>941</v>
      </c>
      <c r="C53" s="627"/>
      <c r="D53" s="627" t="s">
        <v>598</v>
      </c>
      <c r="E53" s="627" t="s">
        <v>598</v>
      </c>
      <c r="F53" s="627"/>
      <c r="G53" s="629" t="s">
        <v>934</v>
      </c>
      <c r="H53" s="649"/>
    </row>
    <row r="54" spans="1:27" x14ac:dyDescent="0.35">
      <c r="A54" s="79" t="s">
        <v>1115</v>
      </c>
      <c r="B54" s="79" t="s">
        <v>941</v>
      </c>
      <c r="C54" s="627" t="s">
        <v>598</v>
      </c>
      <c r="D54" s="627"/>
      <c r="E54" s="627"/>
      <c r="F54" s="627"/>
      <c r="G54" s="629"/>
      <c r="H54" s="649"/>
    </row>
    <row r="55" spans="1:27" x14ac:dyDescent="0.35">
      <c r="A55" s="79" t="s">
        <v>937</v>
      </c>
      <c r="B55" s="79" t="s">
        <v>938</v>
      </c>
      <c r="C55" s="627"/>
      <c r="D55" s="627" t="s">
        <v>598</v>
      </c>
      <c r="E55" s="627" t="s">
        <v>598</v>
      </c>
      <c r="F55" s="627"/>
      <c r="G55" s="629" t="s">
        <v>934</v>
      </c>
      <c r="H55" s="649"/>
    </row>
    <row r="56" spans="1:27" x14ac:dyDescent="0.35">
      <c r="A56" s="79" t="s">
        <v>939</v>
      </c>
      <c r="B56" s="79" t="s">
        <v>940</v>
      </c>
      <c r="C56" s="627"/>
      <c r="D56" s="627" t="s">
        <v>598</v>
      </c>
      <c r="E56" s="627" t="s">
        <v>598</v>
      </c>
      <c r="F56" s="627"/>
      <c r="G56" s="629" t="s">
        <v>934</v>
      </c>
      <c r="H56" s="649"/>
    </row>
    <row r="57" spans="1:27" x14ac:dyDescent="0.35">
      <c r="A57" s="630" t="s">
        <v>942</v>
      </c>
      <c r="B57" s="630" t="s">
        <v>943</v>
      </c>
      <c r="C57" s="79"/>
      <c r="D57" s="627" t="s">
        <v>598</v>
      </c>
      <c r="E57" s="627" t="s">
        <v>598</v>
      </c>
      <c r="F57" s="79"/>
      <c r="G57" s="629" t="s">
        <v>934</v>
      </c>
      <c r="H57" s="649"/>
    </row>
    <row r="58" spans="1:27" x14ac:dyDescent="0.35">
      <c r="A58" s="79" t="s">
        <v>984</v>
      </c>
      <c r="B58" s="79" t="s">
        <v>986</v>
      </c>
      <c r="C58" s="627" t="s">
        <v>598</v>
      </c>
      <c r="D58" s="627" t="s">
        <v>598</v>
      </c>
      <c r="E58" s="627" t="s">
        <v>598</v>
      </c>
      <c r="F58" s="79"/>
      <c r="G58" s="629" t="s">
        <v>935</v>
      </c>
      <c r="H58" s="649"/>
      <c r="AA58" s="631"/>
    </row>
    <row r="59" spans="1:27" x14ac:dyDescent="0.35">
      <c r="A59" s="637" t="s">
        <v>985</v>
      </c>
      <c r="B59" s="637" t="s">
        <v>987</v>
      </c>
      <c r="C59" s="627" t="s">
        <v>598</v>
      </c>
      <c r="D59" s="627" t="s">
        <v>598</v>
      </c>
      <c r="E59" s="627" t="s">
        <v>598</v>
      </c>
      <c r="F59" s="627"/>
      <c r="G59" s="629" t="s">
        <v>935</v>
      </c>
      <c r="H59" s="649"/>
      <c r="AA59" s="646"/>
    </row>
    <row r="60" spans="1:27" x14ac:dyDescent="0.35">
      <c r="A60" s="79" t="s">
        <v>905</v>
      </c>
      <c r="B60" s="79" t="s">
        <v>906</v>
      </c>
      <c r="C60" s="627" t="s">
        <v>598</v>
      </c>
      <c r="D60" s="627"/>
      <c r="E60" s="627" t="s">
        <v>904</v>
      </c>
      <c r="F60" s="627"/>
      <c r="G60" s="629" t="s">
        <v>1116</v>
      </c>
      <c r="H60" s="649"/>
    </row>
    <row r="61" spans="1:27" x14ac:dyDescent="0.35">
      <c r="A61" s="79" t="s">
        <v>919</v>
      </c>
      <c r="B61" s="79" t="s">
        <v>953</v>
      </c>
      <c r="C61" s="627" t="s">
        <v>598</v>
      </c>
      <c r="D61" s="627" t="s">
        <v>952</v>
      </c>
      <c r="E61" s="627" t="s">
        <v>598</v>
      </c>
      <c r="F61" s="627" t="s">
        <v>887</v>
      </c>
      <c r="G61" s="629" t="s">
        <v>934</v>
      </c>
      <c r="H61" s="649"/>
    </row>
    <row r="62" spans="1:27" x14ac:dyDescent="0.35">
      <c r="A62" s="79" t="s">
        <v>1058</v>
      </c>
      <c r="B62" s="79" t="s">
        <v>1108</v>
      </c>
      <c r="C62" s="627"/>
      <c r="D62" s="627"/>
      <c r="E62" s="627" t="s">
        <v>598</v>
      </c>
      <c r="F62" s="627"/>
      <c r="G62" s="629" t="s">
        <v>1116</v>
      </c>
      <c r="H62" s="649"/>
    </row>
    <row r="63" spans="1:27" x14ac:dyDescent="0.35">
      <c r="A63" s="79" t="s">
        <v>1058</v>
      </c>
      <c r="B63" s="79" t="s">
        <v>1117</v>
      </c>
      <c r="C63" s="627"/>
      <c r="D63" s="627"/>
      <c r="E63" s="627" t="s">
        <v>598</v>
      </c>
      <c r="F63" s="627"/>
      <c r="G63" s="629" t="s">
        <v>1116</v>
      </c>
      <c r="H63" s="649"/>
    </row>
    <row r="64" spans="1:27" x14ac:dyDescent="0.35">
      <c r="A64" s="79" t="s">
        <v>1058</v>
      </c>
      <c r="B64" s="79" t="s">
        <v>1071</v>
      </c>
      <c r="C64" s="627"/>
      <c r="D64" s="627"/>
      <c r="E64" s="627" t="s">
        <v>598</v>
      </c>
      <c r="F64" s="627"/>
      <c r="G64" s="629" t="s">
        <v>1116</v>
      </c>
      <c r="H64" s="649"/>
    </row>
    <row r="65" spans="1:18" x14ac:dyDescent="0.35">
      <c r="A65" s="79" t="s">
        <v>1058</v>
      </c>
      <c r="B65" s="79" t="s">
        <v>1118</v>
      </c>
      <c r="C65" s="627"/>
      <c r="D65" s="627"/>
      <c r="E65" s="627" t="s">
        <v>598</v>
      </c>
      <c r="F65" s="627"/>
      <c r="G65" s="629" t="s">
        <v>1116</v>
      </c>
      <c r="H65" s="649"/>
    </row>
    <row r="66" spans="1:18" x14ac:dyDescent="0.35">
      <c r="A66" s="79" t="s">
        <v>261</v>
      </c>
      <c r="B66" s="79" t="s">
        <v>285</v>
      </c>
      <c r="C66" s="627" t="s">
        <v>598</v>
      </c>
      <c r="D66" s="627" t="s">
        <v>598</v>
      </c>
      <c r="E66" s="627" t="s">
        <v>598</v>
      </c>
      <c r="F66" s="79"/>
      <c r="G66" s="629" t="s">
        <v>935</v>
      </c>
      <c r="H66" s="649"/>
    </row>
    <row r="67" spans="1:18" x14ac:dyDescent="0.35">
      <c r="A67" s="968" t="s">
        <v>974</v>
      </c>
      <c r="B67" s="968"/>
      <c r="C67" s="968"/>
      <c r="D67" s="968"/>
      <c r="E67" s="968"/>
      <c r="F67" s="968"/>
      <c r="G67" s="79"/>
      <c r="H67" s="631"/>
    </row>
    <row r="68" spans="1:18" x14ac:dyDescent="0.35">
      <c r="A68" s="637" t="s">
        <v>1058</v>
      </c>
      <c r="B68" s="637" t="s">
        <v>1072</v>
      </c>
      <c r="C68" s="663"/>
      <c r="D68" s="663"/>
      <c r="E68" s="663" t="s">
        <v>598</v>
      </c>
      <c r="F68" s="663"/>
      <c r="G68" s="629" t="s">
        <v>1116</v>
      </c>
      <c r="H68" s="649"/>
    </row>
    <row r="69" spans="1:18" x14ac:dyDescent="0.35">
      <c r="A69" s="637" t="s">
        <v>1058</v>
      </c>
      <c r="B69" s="637" t="s">
        <v>1073</v>
      </c>
      <c r="C69" s="663"/>
      <c r="D69" s="663"/>
      <c r="E69" s="663"/>
      <c r="F69" s="663"/>
      <c r="G69" s="629" t="s">
        <v>1116</v>
      </c>
      <c r="H69" s="649"/>
    </row>
    <row r="70" spans="1:18" x14ac:dyDescent="0.35">
      <c r="A70" s="79" t="s">
        <v>262</v>
      </c>
      <c r="B70" s="79" t="s">
        <v>287</v>
      </c>
      <c r="C70" s="627" t="s">
        <v>598</v>
      </c>
      <c r="D70" s="627" t="s">
        <v>598</v>
      </c>
      <c r="E70" s="627" t="s">
        <v>598</v>
      </c>
      <c r="F70" s="627" t="s">
        <v>887</v>
      </c>
      <c r="G70" s="629" t="s">
        <v>935</v>
      </c>
      <c r="H70" s="649"/>
    </row>
    <row r="71" spans="1:18" x14ac:dyDescent="0.35">
      <c r="A71" s="968" t="s">
        <v>975</v>
      </c>
      <c r="B71" s="968"/>
      <c r="C71" s="968"/>
      <c r="D71" s="968"/>
      <c r="E71" s="968"/>
      <c r="F71" s="968"/>
      <c r="G71" s="79"/>
      <c r="H71" s="631"/>
    </row>
    <row r="72" spans="1:18" x14ac:dyDescent="0.35">
      <c r="A72" s="79" t="s">
        <v>250</v>
      </c>
      <c r="B72" s="79" t="s">
        <v>920</v>
      </c>
      <c r="C72" s="627"/>
      <c r="D72" s="627" t="s">
        <v>598</v>
      </c>
      <c r="E72" s="627" t="s">
        <v>598</v>
      </c>
      <c r="F72" s="627" t="s">
        <v>887</v>
      </c>
      <c r="G72" s="629" t="s">
        <v>431</v>
      </c>
      <c r="H72" s="649"/>
    </row>
    <row r="73" spans="1:18" x14ac:dyDescent="0.35">
      <c r="A73" s="79" t="s">
        <v>252</v>
      </c>
      <c r="B73" s="79" t="s">
        <v>921</v>
      </c>
      <c r="C73" s="627"/>
      <c r="D73" s="627" t="s">
        <v>598</v>
      </c>
      <c r="E73" s="627" t="s">
        <v>598</v>
      </c>
      <c r="F73" s="627" t="s">
        <v>887</v>
      </c>
      <c r="G73" s="629" t="s">
        <v>431</v>
      </c>
      <c r="H73" s="649"/>
    </row>
    <row r="74" spans="1:18" x14ac:dyDescent="0.35">
      <c r="A74" s="968" t="s">
        <v>993</v>
      </c>
      <c r="B74" s="968"/>
      <c r="C74" s="968"/>
      <c r="D74" s="968"/>
      <c r="E74" s="968"/>
      <c r="F74" s="968"/>
      <c r="G74" s="79"/>
      <c r="H74" s="631"/>
      <c r="I74" s="631"/>
      <c r="J74" s="631"/>
      <c r="K74" s="631"/>
      <c r="L74" s="631"/>
      <c r="M74" s="631"/>
      <c r="N74" s="631"/>
      <c r="O74" s="631"/>
      <c r="P74" s="631"/>
      <c r="Q74" s="631"/>
      <c r="R74" s="631"/>
    </row>
    <row r="75" spans="1:18" x14ac:dyDescent="0.35">
      <c r="A75" s="79"/>
      <c r="B75" s="79" t="s">
        <v>983</v>
      </c>
      <c r="C75" s="627"/>
      <c r="D75" s="627"/>
      <c r="E75" s="627"/>
      <c r="F75" s="627"/>
      <c r="G75" s="629"/>
      <c r="H75" s="649"/>
      <c r="I75" s="649"/>
      <c r="J75" s="649"/>
      <c r="K75" s="649"/>
      <c r="L75" s="649"/>
      <c r="M75" s="649"/>
      <c r="N75" s="649"/>
      <c r="O75" s="649"/>
      <c r="P75" s="649"/>
      <c r="Q75" s="649"/>
      <c r="R75" s="649"/>
    </row>
  </sheetData>
  <mergeCells count="17">
    <mergeCell ref="A71:F71"/>
    <mergeCell ref="A74:F74"/>
    <mergeCell ref="A15:F15"/>
    <mergeCell ref="A22:F22"/>
    <mergeCell ref="A26:F26"/>
    <mergeCell ref="A39:F39"/>
    <mergeCell ref="A41:F41"/>
    <mergeCell ref="A44:F44"/>
    <mergeCell ref="A49:F49"/>
    <mergeCell ref="A67:F67"/>
    <mergeCell ref="A5:F5"/>
    <mergeCell ref="A12:F12"/>
    <mergeCell ref="G2:G4"/>
    <mergeCell ref="A2:A4"/>
    <mergeCell ref="B2:B4"/>
    <mergeCell ref="C2:E3"/>
    <mergeCell ref="F2:F4"/>
  </mergeCells>
  <pageMargins left="0.7" right="0.7" top="0.75" bottom="0.75" header="0.3" footer="0.3"/>
  <pageSetup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49"/>
  <sheetViews>
    <sheetView topLeftCell="B73" workbookViewId="0">
      <selection activeCell="S87" sqref="S87"/>
    </sheetView>
  </sheetViews>
  <sheetFormatPr defaultRowHeight="12.5" x14ac:dyDescent="0.25"/>
  <cols>
    <col min="1" max="1" width="20.36328125" style="19" bestFit="1" customWidth="1"/>
    <col min="2" max="2" width="5.453125" style="22" customWidth="1"/>
    <col min="3" max="3" width="7.54296875" style="22" customWidth="1"/>
    <col min="5" max="5" width="18.6328125" bestFit="1" customWidth="1"/>
  </cols>
  <sheetData>
    <row r="1" spans="1:7" ht="15.5" x14ac:dyDescent="0.35">
      <c r="A1" s="788" t="s">
        <v>51</v>
      </c>
      <c r="B1" s="788"/>
      <c r="C1" s="788"/>
      <c r="D1" s="788"/>
      <c r="E1" s="788"/>
      <c r="F1" s="788"/>
      <c r="G1" s="788"/>
    </row>
    <row r="2" spans="1:7" ht="13" x14ac:dyDescent="0.3">
      <c r="A2" s="1" t="s">
        <v>11</v>
      </c>
      <c r="B2" s="250" t="s">
        <v>50</v>
      </c>
      <c r="C2" s="250" t="s">
        <v>17</v>
      </c>
      <c r="D2" s="1"/>
      <c r="E2" s="1"/>
      <c r="F2" s="250" t="s">
        <v>50</v>
      </c>
      <c r="G2" s="250" t="s">
        <v>17</v>
      </c>
    </row>
    <row r="3" spans="1:7" ht="13" x14ac:dyDescent="0.3">
      <c r="A3" s="17" t="s">
        <v>20</v>
      </c>
      <c r="B3" s="201">
        <v>1990</v>
      </c>
      <c r="C3" s="18">
        <v>773</v>
      </c>
      <c r="E3" s="55" t="s">
        <v>24</v>
      </c>
      <c r="F3" s="201">
        <v>1991</v>
      </c>
      <c r="G3" s="18">
        <v>442</v>
      </c>
    </row>
    <row r="4" spans="1:7" ht="13" x14ac:dyDescent="0.3">
      <c r="B4" s="201">
        <v>1991</v>
      </c>
      <c r="C4" s="18">
        <v>1078</v>
      </c>
      <c r="E4" s="19"/>
      <c r="F4" s="201">
        <v>1992</v>
      </c>
      <c r="G4" s="18">
        <v>288</v>
      </c>
    </row>
    <row r="5" spans="1:7" ht="13" x14ac:dyDescent="0.3">
      <c r="B5" s="201">
        <v>1992</v>
      </c>
      <c r="C5" s="18">
        <v>931</v>
      </c>
      <c r="E5" s="19"/>
      <c r="F5" s="202">
        <v>1993</v>
      </c>
      <c r="G5" s="20">
        <v>504</v>
      </c>
    </row>
    <row r="6" spans="1:7" x14ac:dyDescent="0.25">
      <c r="B6" s="202">
        <v>1993</v>
      </c>
      <c r="C6" s="20">
        <v>1253</v>
      </c>
      <c r="E6" s="19"/>
      <c r="F6" s="202">
        <v>1994</v>
      </c>
      <c r="G6" s="20">
        <v>382</v>
      </c>
    </row>
    <row r="7" spans="1:7" x14ac:dyDescent="0.25">
      <c r="B7" s="202">
        <v>1994</v>
      </c>
      <c r="C7" s="20">
        <v>1472</v>
      </c>
      <c r="E7" s="19"/>
      <c r="F7" s="203">
        <v>1995</v>
      </c>
      <c r="G7" s="20">
        <v>474</v>
      </c>
    </row>
    <row r="8" spans="1:7" x14ac:dyDescent="0.25">
      <c r="B8" s="203">
        <v>1995</v>
      </c>
      <c r="C8" s="20">
        <v>1932</v>
      </c>
      <c r="E8" s="19"/>
      <c r="F8" s="203">
        <v>1996</v>
      </c>
      <c r="G8" s="21">
        <v>577.75</v>
      </c>
    </row>
    <row r="9" spans="1:7" x14ac:dyDescent="0.25">
      <c r="B9" s="203">
        <v>1996</v>
      </c>
      <c r="C9" s="21">
        <v>1367.4375</v>
      </c>
      <c r="E9" s="19"/>
      <c r="F9" s="203">
        <v>1997</v>
      </c>
      <c r="G9" s="20">
        <v>392.83071428571424</v>
      </c>
    </row>
    <row r="10" spans="1:7" x14ac:dyDescent="0.25">
      <c r="B10" s="203">
        <v>1997</v>
      </c>
      <c r="C10" s="20">
        <v>798.58375000000012</v>
      </c>
      <c r="E10" s="19"/>
      <c r="F10" s="203">
        <v>1998</v>
      </c>
      <c r="G10" s="20">
        <v>388</v>
      </c>
    </row>
    <row r="11" spans="1:7" x14ac:dyDescent="0.25">
      <c r="B11" s="203">
        <v>1998</v>
      </c>
      <c r="C11" s="20">
        <v>525</v>
      </c>
      <c r="E11" s="19"/>
      <c r="F11" s="203">
        <v>1999</v>
      </c>
      <c r="G11" s="20">
        <v>224</v>
      </c>
    </row>
    <row r="12" spans="1:7" x14ac:dyDescent="0.25">
      <c r="B12" s="203">
        <v>1999</v>
      </c>
      <c r="C12" s="20">
        <v>521</v>
      </c>
      <c r="E12" s="19"/>
      <c r="F12" s="203">
        <v>2000</v>
      </c>
      <c r="G12" s="20">
        <v>431</v>
      </c>
    </row>
    <row r="13" spans="1:7" x14ac:dyDescent="0.25">
      <c r="B13" s="203">
        <v>2000</v>
      </c>
      <c r="C13" s="20">
        <v>1483</v>
      </c>
      <c r="E13" s="19"/>
      <c r="F13" s="203">
        <v>2001</v>
      </c>
      <c r="G13" s="20">
        <v>401</v>
      </c>
    </row>
    <row r="14" spans="1:7" x14ac:dyDescent="0.25">
      <c r="B14" s="203">
        <v>2001</v>
      </c>
      <c r="C14" s="20">
        <v>974</v>
      </c>
      <c r="E14" s="19"/>
      <c r="F14" s="203">
        <v>2002</v>
      </c>
      <c r="G14" s="20">
        <v>289</v>
      </c>
    </row>
    <row r="15" spans="1:7" x14ac:dyDescent="0.25">
      <c r="B15" s="203">
        <v>2002</v>
      </c>
      <c r="C15" s="20">
        <v>4314</v>
      </c>
      <c r="F15" s="203">
        <v>2003</v>
      </c>
      <c r="G15" s="20">
        <v>268</v>
      </c>
    </row>
    <row r="16" spans="1:7" ht="13" x14ac:dyDescent="0.3">
      <c r="B16" s="203">
        <v>2003</v>
      </c>
      <c r="C16" s="22">
        <v>1757</v>
      </c>
      <c r="F16" s="204">
        <v>2004</v>
      </c>
      <c r="G16" s="20">
        <v>268</v>
      </c>
    </row>
    <row r="17" spans="1:7" x14ac:dyDescent="0.25">
      <c r="B17" s="203">
        <v>2004</v>
      </c>
      <c r="C17" s="22">
        <v>444</v>
      </c>
      <c r="F17" s="203">
        <v>2005</v>
      </c>
      <c r="G17" s="20">
        <v>186</v>
      </c>
    </row>
    <row r="18" spans="1:7" x14ac:dyDescent="0.25">
      <c r="B18" s="203">
        <v>2005</v>
      </c>
      <c r="C18" s="22">
        <v>1100</v>
      </c>
      <c r="F18" s="203">
        <v>2006</v>
      </c>
      <c r="G18" s="20">
        <v>158</v>
      </c>
    </row>
    <row r="19" spans="1:7" x14ac:dyDescent="0.25">
      <c r="B19" s="203">
        <v>2006</v>
      </c>
      <c r="C19" s="22">
        <v>1570</v>
      </c>
      <c r="F19" s="203">
        <v>2007</v>
      </c>
      <c r="G19" s="20">
        <v>222</v>
      </c>
    </row>
    <row r="20" spans="1:7" x14ac:dyDescent="0.25">
      <c r="B20" s="203">
        <v>2007</v>
      </c>
      <c r="C20" s="22">
        <v>747</v>
      </c>
      <c r="F20" s="203">
        <v>2008</v>
      </c>
      <c r="G20" s="20">
        <v>233</v>
      </c>
    </row>
    <row r="21" spans="1:7" x14ac:dyDescent="0.25">
      <c r="B21" s="203">
        <v>2008</v>
      </c>
      <c r="C21" s="22">
        <v>1093</v>
      </c>
      <c r="F21" s="203">
        <v>2009</v>
      </c>
      <c r="G21" s="20">
        <v>291</v>
      </c>
    </row>
    <row r="22" spans="1:7" x14ac:dyDescent="0.25">
      <c r="B22" s="203">
        <v>2009</v>
      </c>
      <c r="C22" s="22">
        <v>322</v>
      </c>
      <c r="F22" s="203">
        <v>2010</v>
      </c>
      <c r="G22" s="20">
        <v>287</v>
      </c>
    </row>
    <row r="23" spans="1:7" x14ac:dyDescent="0.25">
      <c r="B23" s="203">
        <v>2010</v>
      </c>
      <c r="C23" s="22">
        <v>1296</v>
      </c>
      <c r="F23" s="203">
        <v>2011</v>
      </c>
      <c r="G23" s="20">
        <v>158</v>
      </c>
    </row>
    <row r="24" spans="1:7" x14ac:dyDescent="0.25">
      <c r="B24" s="203">
        <v>2011</v>
      </c>
      <c r="C24" s="22">
        <v>760</v>
      </c>
      <c r="F24" s="203">
        <v>2012</v>
      </c>
      <c r="G24" s="20">
        <v>165</v>
      </c>
    </row>
    <row r="25" spans="1:7" x14ac:dyDescent="0.25">
      <c r="B25" s="203">
        <v>2012</v>
      </c>
      <c r="C25" s="22">
        <v>1024</v>
      </c>
      <c r="F25" s="203"/>
    </row>
    <row r="26" spans="1:7" x14ac:dyDescent="0.25">
      <c r="B26" s="203"/>
      <c r="F26" s="203"/>
    </row>
    <row r="27" spans="1:7" ht="13" x14ac:dyDescent="0.3">
      <c r="A27" s="17" t="s">
        <v>22</v>
      </c>
      <c r="B27" s="201">
        <v>1992</v>
      </c>
      <c r="C27" s="18">
        <v>423</v>
      </c>
      <c r="E27" s="55" t="s">
        <v>25</v>
      </c>
      <c r="F27" s="201">
        <v>1991</v>
      </c>
      <c r="G27" s="18">
        <v>381</v>
      </c>
    </row>
    <row r="28" spans="1:7" ht="13" x14ac:dyDescent="0.3">
      <c r="B28" s="203">
        <v>1993</v>
      </c>
      <c r="C28" s="21">
        <v>528</v>
      </c>
      <c r="E28" s="19"/>
      <c r="F28" s="201">
        <v>1992</v>
      </c>
      <c r="G28" s="18">
        <v>282</v>
      </c>
    </row>
    <row r="29" spans="1:7" ht="13" x14ac:dyDescent="0.3">
      <c r="B29" s="201">
        <v>1994</v>
      </c>
      <c r="C29" s="18">
        <v>505</v>
      </c>
      <c r="E29" s="19"/>
      <c r="F29" s="202">
        <v>1993</v>
      </c>
      <c r="G29" s="20">
        <v>451</v>
      </c>
    </row>
    <row r="30" spans="1:7" x14ac:dyDescent="0.25">
      <c r="B30" s="203">
        <v>1995</v>
      </c>
      <c r="C30" s="20">
        <v>584</v>
      </c>
      <c r="E30" s="19"/>
      <c r="F30" s="202">
        <v>1994</v>
      </c>
      <c r="G30" s="20">
        <v>356</v>
      </c>
    </row>
    <row r="31" spans="1:7" x14ac:dyDescent="0.25">
      <c r="B31" s="203">
        <v>1996</v>
      </c>
      <c r="C31" s="20">
        <v>807</v>
      </c>
      <c r="E31" s="19"/>
      <c r="F31" s="203">
        <v>1995</v>
      </c>
      <c r="G31" s="20">
        <v>502</v>
      </c>
    </row>
    <row r="32" spans="1:7" x14ac:dyDescent="0.25">
      <c r="B32" s="203">
        <v>1997</v>
      </c>
      <c r="C32" s="20">
        <v>536</v>
      </c>
      <c r="E32" s="19"/>
      <c r="F32" s="203">
        <v>1996</v>
      </c>
      <c r="G32" s="21">
        <v>589.25</v>
      </c>
    </row>
    <row r="33" spans="1:7" x14ac:dyDescent="0.25">
      <c r="B33" s="203">
        <v>1998</v>
      </c>
      <c r="C33" s="20">
        <v>452</v>
      </c>
      <c r="E33" s="19"/>
      <c r="F33" s="203">
        <v>1997</v>
      </c>
      <c r="G33" s="20">
        <v>365.20642857142866</v>
      </c>
    </row>
    <row r="34" spans="1:7" x14ac:dyDescent="0.25">
      <c r="B34" s="203">
        <v>1999</v>
      </c>
      <c r="C34" s="20">
        <v>256</v>
      </c>
      <c r="E34" s="19"/>
      <c r="F34" s="203">
        <v>1998</v>
      </c>
      <c r="G34" s="20">
        <v>372</v>
      </c>
    </row>
    <row r="35" spans="1:7" x14ac:dyDescent="0.25">
      <c r="B35" s="203">
        <v>2000</v>
      </c>
      <c r="C35" s="20">
        <v>536</v>
      </c>
      <c r="E35" s="19"/>
      <c r="F35" s="203">
        <v>1999</v>
      </c>
      <c r="G35" s="20">
        <v>220</v>
      </c>
    </row>
    <row r="36" spans="1:7" x14ac:dyDescent="0.25">
      <c r="B36" s="203">
        <v>2001</v>
      </c>
      <c r="C36" s="20">
        <v>417</v>
      </c>
      <c r="E36" s="19"/>
      <c r="F36" s="203">
        <v>2000</v>
      </c>
      <c r="G36" s="20">
        <v>443</v>
      </c>
    </row>
    <row r="37" spans="1:7" x14ac:dyDescent="0.25">
      <c r="B37" s="203">
        <v>2002</v>
      </c>
      <c r="C37" s="22">
        <v>371</v>
      </c>
      <c r="E37" s="19"/>
      <c r="F37" s="203">
        <v>2001</v>
      </c>
      <c r="G37" s="20">
        <v>395</v>
      </c>
    </row>
    <row r="38" spans="1:7" x14ac:dyDescent="0.25">
      <c r="B38" s="203">
        <v>2003</v>
      </c>
      <c r="C38" s="22">
        <v>416</v>
      </c>
      <c r="E38" s="19"/>
      <c r="F38" s="203">
        <v>2002</v>
      </c>
      <c r="G38" s="20">
        <v>288</v>
      </c>
    </row>
    <row r="39" spans="1:7" x14ac:dyDescent="0.25">
      <c r="B39" s="203">
        <v>2004</v>
      </c>
      <c r="C39" s="22">
        <v>259</v>
      </c>
      <c r="F39" s="203">
        <v>2003</v>
      </c>
      <c r="G39" s="20">
        <v>271</v>
      </c>
    </row>
    <row r="40" spans="1:7" ht="13" x14ac:dyDescent="0.3">
      <c r="A40" s="17" t="s">
        <v>133</v>
      </c>
      <c r="B40" s="203">
        <v>2005</v>
      </c>
      <c r="C40" s="22">
        <v>375</v>
      </c>
      <c r="F40" s="204">
        <v>2004</v>
      </c>
      <c r="G40" s="20">
        <v>249</v>
      </c>
    </row>
    <row r="41" spans="1:7" ht="13" x14ac:dyDescent="0.3">
      <c r="B41" s="203">
        <v>2006</v>
      </c>
      <c r="C41" s="22">
        <v>435</v>
      </c>
      <c r="F41" s="204">
        <v>2005</v>
      </c>
      <c r="G41" s="20">
        <v>198</v>
      </c>
    </row>
    <row r="42" spans="1:7" ht="13" x14ac:dyDescent="0.3">
      <c r="B42" s="203">
        <v>2007</v>
      </c>
      <c r="C42" s="22">
        <v>314</v>
      </c>
      <c r="F42" s="204">
        <v>2006</v>
      </c>
      <c r="G42" s="20">
        <v>150</v>
      </c>
    </row>
    <row r="43" spans="1:7" ht="13" x14ac:dyDescent="0.3">
      <c r="B43" s="203">
        <v>2008</v>
      </c>
      <c r="F43" s="204">
        <v>2007</v>
      </c>
      <c r="G43" s="20">
        <v>233</v>
      </c>
    </row>
    <row r="44" spans="1:7" x14ac:dyDescent="0.25">
      <c r="B44" s="203">
        <v>2009</v>
      </c>
      <c r="F44" s="76"/>
    </row>
    <row r="45" spans="1:7" x14ac:dyDescent="0.25">
      <c r="B45" s="203">
        <v>2010</v>
      </c>
      <c r="F45" s="76"/>
    </row>
    <row r="46" spans="1:7" x14ac:dyDescent="0.25">
      <c r="B46" s="203"/>
      <c r="F46" s="76"/>
    </row>
    <row r="47" spans="1:7" x14ac:dyDescent="0.25">
      <c r="B47" s="203"/>
      <c r="F47" s="76"/>
    </row>
    <row r="48" spans="1:7" ht="13" x14ac:dyDescent="0.3">
      <c r="A48" s="24" t="s">
        <v>19</v>
      </c>
      <c r="B48" s="201">
        <v>1990</v>
      </c>
      <c r="C48" s="18">
        <v>1121</v>
      </c>
      <c r="E48" s="55" t="s">
        <v>26</v>
      </c>
      <c r="F48" s="201">
        <v>1991</v>
      </c>
      <c r="G48" s="18">
        <v>341</v>
      </c>
    </row>
    <row r="49" spans="1:7" ht="13" x14ac:dyDescent="0.3">
      <c r="A49" s="23"/>
      <c r="B49" s="201">
        <v>1991</v>
      </c>
      <c r="C49" s="18">
        <v>1590</v>
      </c>
      <c r="E49" s="19"/>
      <c r="F49" s="201">
        <v>1992</v>
      </c>
      <c r="G49" s="18">
        <v>228</v>
      </c>
    </row>
    <row r="50" spans="1:7" ht="13" x14ac:dyDescent="0.3">
      <c r="A50" s="23"/>
      <c r="B50" s="201">
        <v>1992</v>
      </c>
      <c r="C50" s="18">
        <v>2941</v>
      </c>
      <c r="E50" s="19"/>
      <c r="F50" s="202">
        <v>1993</v>
      </c>
      <c r="G50" s="20">
        <v>332</v>
      </c>
    </row>
    <row r="51" spans="1:7" ht="13" x14ac:dyDescent="0.3">
      <c r="A51" s="23"/>
      <c r="B51" s="202">
        <v>1993</v>
      </c>
      <c r="C51" s="20">
        <v>1224</v>
      </c>
      <c r="E51" s="19"/>
      <c r="F51" s="202">
        <v>1994</v>
      </c>
      <c r="G51" s="20">
        <v>308</v>
      </c>
    </row>
    <row r="52" spans="1:7" ht="13" x14ac:dyDescent="0.3">
      <c r="A52" s="23"/>
      <c r="B52" s="202">
        <v>1994</v>
      </c>
      <c r="C52" s="20">
        <v>963</v>
      </c>
      <c r="E52" s="19"/>
      <c r="F52" s="203">
        <v>1995</v>
      </c>
      <c r="G52" s="20">
        <v>503</v>
      </c>
    </row>
    <row r="53" spans="1:7" ht="13" x14ac:dyDescent="0.3">
      <c r="A53" s="23"/>
      <c r="B53" s="203">
        <v>1995</v>
      </c>
      <c r="C53" s="20">
        <v>476</v>
      </c>
      <c r="E53" s="19"/>
      <c r="F53" s="203">
        <v>1996</v>
      </c>
      <c r="G53" s="21">
        <v>560.9375</v>
      </c>
    </row>
    <row r="54" spans="1:7" ht="13" x14ac:dyDescent="0.3">
      <c r="A54" s="23"/>
      <c r="B54" s="203">
        <v>1996</v>
      </c>
      <c r="C54" s="21">
        <v>618.3125</v>
      </c>
      <c r="E54" s="19"/>
      <c r="F54" s="203">
        <v>1997</v>
      </c>
      <c r="G54" s="20">
        <v>340.9935714285715</v>
      </c>
    </row>
    <row r="55" spans="1:7" ht="13" x14ac:dyDescent="0.3">
      <c r="A55" s="23"/>
      <c r="B55" s="203">
        <v>1997</v>
      </c>
      <c r="C55" s="20">
        <v>419.54062500000003</v>
      </c>
      <c r="E55" s="19"/>
      <c r="F55" s="203">
        <v>1998</v>
      </c>
      <c r="G55" s="20">
        <v>342</v>
      </c>
    </row>
    <row r="56" spans="1:7" ht="13" x14ac:dyDescent="0.3">
      <c r="A56" s="23"/>
      <c r="B56" s="203">
        <v>1998</v>
      </c>
      <c r="C56" s="20">
        <v>536</v>
      </c>
      <c r="E56" s="19"/>
      <c r="F56" s="203">
        <v>1999</v>
      </c>
      <c r="G56" s="20">
        <v>231</v>
      </c>
    </row>
    <row r="57" spans="1:7" ht="13" x14ac:dyDescent="0.3">
      <c r="A57" s="23"/>
      <c r="B57" s="203">
        <v>1999</v>
      </c>
      <c r="C57" s="20">
        <v>192</v>
      </c>
      <c r="E57" s="19"/>
      <c r="F57" s="203">
        <v>2000</v>
      </c>
      <c r="G57" s="20">
        <v>483</v>
      </c>
    </row>
    <row r="58" spans="1:7" ht="13" x14ac:dyDescent="0.3">
      <c r="A58" s="23"/>
      <c r="B58" s="203">
        <v>2000</v>
      </c>
      <c r="C58" s="20">
        <v>803</v>
      </c>
      <c r="E58" s="19"/>
      <c r="F58" s="203">
        <v>2001</v>
      </c>
      <c r="G58" s="20">
        <v>390</v>
      </c>
    </row>
    <row r="59" spans="1:7" ht="13" x14ac:dyDescent="0.3">
      <c r="A59" s="23"/>
      <c r="B59" s="203">
        <v>2001</v>
      </c>
      <c r="C59" s="20">
        <v>486</v>
      </c>
      <c r="E59" s="19"/>
      <c r="F59" s="203">
        <v>2002</v>
      </c>
      <c r="G59" s="20">
        <v>268</v>
      </c>
    </row>
    <row r="60" spans="1:7" ht="13" x14ac:dyDescent="0.3">
      <c r="A60" s="23"/>
      <c r="B60" s="203">
        <v>2002</v>
      </c>
      <c r="C60" s="20">
        <v>686</v>
      </c>
      <c r="F60" s="203">
        <v>2003</v>
      </c>
      <c r="G60" s="20">
        <v>259</v>
      </c>
    </row>
    <row r="61" spans="1:7" x14ac:dyDescent="0.25">
      <c r="B61" s="203">
        <v>2003</v>
      </c>
      <c r="C61" s="22">
        <v>764</v>
      </c>
      <c r="F61" s="203">
        <v>2004</v>
      </c>
      <c r="G61" s="20">
        <v>224</v>
      </c>
    </row>
    <row r="62" spans="1:7" x14ac:dyDescent="0.25">
      <c r="B62" s="203">
        <v>2004</v>
      </c>
      <c r="C62" s="22">
        <v>385</v>
      </c>
      <c r="F62" s="203">
        <v>2005</v>
      </c>
      <c r="G62" s="20">
        <v>210</v>
      </c>
    </row>
    <row r="63" spans="1:7" x14ac:dyDescent="0.25">
      <c r="B63" s="203">
        <v>2005</v>
      </c>
      <c r="C63" s="22">
        <v>481</v>
      </c>
      <c r="F63" s="203">
        <v>2006</v>
      </c>
      <c r="G63" s="20">
        <v>151</v>
      </c>
    </row>
    <row r="64" spans="1:7" x14ac:dyDescent="0.25">
      <c r="B64" s="203">
        <v>2006</v>
      </c>
      <c r="C64" s="22">
        <v>419</v>
      </c>
      <c r="F64" s="203">
        <v>2007</v>
      </c>
      <c r="G64" s="20">
        <v>232</v>
      </c>
    </row>
    <row r="65" spans="1:7" x14ac:dyDescent="0.25">
      <c r="B65" s="203">
        <v>2007</v>
      </c>
      <c r="C65" s="22">
        <v>410</v>
      </c>
      <c r="F65" s="203">
        <v>2008</v>
      </c>
      <c r="G65" s="20">
        <v>230</v>
      </c>
    </row>
    <row r="66" spans="1:7" x14ac:dyDescent="0.25">
      <c r="B66" s="203">
        <v>2008</v>
      </c>
      <c r="C66" s="22">
        <v>671</v>
      </c>
      <c r="F66" s="203">
        <v>2009</v>
      </c>
      <c r="G66" s="20">
        <v>244</v>
      </c>
    </row>
    <row r="67" spans="1:7" x14ac:dyDescent="0.25">
      <c r="B67" s="203">
        <v>2009</v>
      </c>
      <c r="C67" s="22">
        <v>1018</v>
      </c>
      <c r="F67" s="203">
        <v>2010</v>
      </c>
      <c r="G67" s="20">
        <v>222</v>
      </c>
    </row>
    <row r="68" spans="1:7" x14ac:dyDescent="0.25">
      <c r="B68" s="203">
        <v>2010</v>
      </c>
      <c r="C68" s="22">
        <v>569</v>
      </c>
      <c r="F68" s="203">
        <v>2011</v>
      </c>
      <c r="G68" s="20">
        <v>186</v>
      </c>
    </row>
    <row r="69" spans="1:7" x14ac:dyDescent="0.25">
      <c r="B69" s="203">
        <v>2011</v>
      </c>
      <c r="C69" s="22">
        <v>433</v>
      </c>
      <c r="F69" s="203">
        <v>2012</v>
      </c>
      <c r="G69" s="20">
        <v>101.8</v>
      </c>
    </row>
    <row r="70" spans="1:7" x14ac:dyDescent="0.25">
      <c r="B70" s="203">
        <v>2012</v>
      </c>
      <c r="C70" s="22">
        <v>445</v>
      </c>
    </row>
    <row r="71" spans="1:7" x14ac:dyDescent="0.25">
      <c r="B71" s="203"/>
    </row>
    <row r="72" spans="1:7" ht="15.5" x14ac:dyDescent="0.35">
      <c r="A72" s="788" t="s">
        <v>51</v>
      </c>
      <c r="B72" s="788"/>
      <c r="C72" s="788"/>
      <c r="D72" s="788"/>
      <c r="E72" s="788"/>
      <c r="F72" s="788"/>
      <c r="G72" s="788"/>
    </row>
    <row r="73" spans="1:7" ht="13" x14ac:dyDescent="0.3">
      <c r="B73" s="250" t="s">
        <v>50</v>
      </c>
      <c r="C73" s="250" t="s">
        <v>17</v>
      </c>
      <c r="F73" s="250" t="s">
        <v>50</v>
      </c>
      <c r="G73" s="250" t="s">
        <v>17</v>
      </c>
    </row>
    <row r="74" spans="1:7" ht="13" x14ac:dyDescent="0.3">
      <c r="A74" s="17" t="s">
        <v>18</v>
      </c>
      <c r="B74" s="203">
        <v>1990</v>
      </c>
      <c r="C74" s="20"/>
      <c r="E74" s="17" t="s">
        <v>28</v>
      </c>
      <c r="F74" s="201">
        <v>1991</v>
      </c>
      <c r="G74" s="18">
        <v>589</v>
      </c>
    </row>
    <row r="75" spans="1:7" ht="13" x14ac:dyDescent="0.3">
      <c r="B75" s="203">
        <v>1991</v>
      </c>
      <c r="C75" s="20">
        <f t="shared" ref="C75:C86" si="0">(G3+G27+G48)/3</f>
        <v>388</v>
      </c>
      <c r="E75" s="19"/>
      <c r="F75" s="201">
        <v>1992</v>
      </c>
      <c r="G75" s="18">
        <v>325</v>
      </c>
    </row>
    <row r="76" spans="1:7" x14ac:dyDescent="0.25">
      <c r="B76" s="203">
        <v>1992</v>
      </c>
      <c r="C76" s="20">
        <f t="shared" si="0"/>
        <v>266</v>
      </c>
      <c r="E76" s="19"/>
      <c r="F76" s="202">
        <v>1993</v>
      </c>
      <c r="G76" s="20">
        <v>431</v>
      </c>
    </row>
    <row r="77" spans="1:7" x14ac:dyDescent="0.25">
      <c r="B77" s="203">
        <v>1993</v>
      </c>
      <c r="C77" s="20">
        <f t="shared" si="0"/>
        <v>429</v>
      </c>
      <c r="E77" s="19"/>
      <c r="F77" s="202">
        <v>1994</v>
      </c>
      <c r="G77" s="20">
        <v>351</v>
      </c>
    </row>
    <row r="78" spans="1:7" x14ac:dyDescent="0.25">
      <c r="B78" s="203">
        <v>1994</v>
      </c>
      <c r="C78" s="20">
        <f t="shared" si="0"/>
        <v>348.66666666666669</v>
      </c>
      <c r="E78" s="19"/>
      <c r="F78" s="203">
        <v>1995</v>
      </c>
      <c r="G78" s="20">
        <v>491</v>
      </c>
    </row>
    <row r="79" spans="1:7" x14ac:dyDescent="0.25">
      <c r="B79" s="203">
        <v>1995</v>
      </c>
      <c r="C79" s="20">
        <f t="shared" si="0"/>
        <v>493</v>
      </c>
      <c r="E79" s="19"/>
      <c r="F79" s="203">
        <v>1996</v>
      </c>
      <c r="G79" s="21">
        <v>579.375</v>
      </c>
    </row>
    <row r="80" spans="1:7" x14ac:dyDescent="0.25">
      <c r="B80" s="203">
        <v>1996</v>
      </c>
      <c r="C80" s="20">
        <f t="shared" si="0"/>
        <v>575.97916666666663</v>
      </c>
      <c r="E80" s="19"/>
      <c r="F80" s="203">
        <v>1997</v>
      </c>
      <c r="G80" s="20">
        <v>520.40125</v>
      </c>
    </row>
    <row r="81" spans="2:10" x14ac:dyDescent="0.25">
      <c r="B81" s="203">
        <v>1997</v>
      </c>
      <c r="C81" s="20">
        <f t="shared" si="0"/>
        <v>366.34357142857152</v>
      </c>
      <c r="E81" s="19"/>
      <c r="F81" s="203">
        <v>1998</v>
      </c>
      <c r="G81" s="20">
        <v>405</v>
      </c>
    </row>
    <row r="82" spans="2:10" x14ac:dyDescent="0.25">
      <c r="B82" s="203">
        <v>1998</v>
      </c>
      <c r="C82" s="20">
        <f t="shared" si="0"/>
        <v>367.33333333333331</v>
      </c>
      <c r="E82" s="19"/>
      <c r="F82" s="203">
        <v>1999</v>
      </c>
      <c r="G82" s="20">
        <v>226</v>
      </c>
    </row>
    <row r="83" spans="2:10" x14ac:dyDescent="0.25">
      <c r="B83" s="203">
        <v>1999</v>
      </c>
      <c r="C83" s="20">
        <f t="shared" si="0"/>
        <v>225</v>
      </c>
      <c r="E83" s="19"/>
      <c r="F83" s="203">
        <v>2000</v>
      </c>
      <c r="G83" s="20">
        <v>437</v>
      </c>
    </row>
    <row r="84" spans="2:10" x14ac:dyDescent="0.25">
      <c r="B84" s="203">
        <v>2000</v>
      </c>
      <c r="C84" s="20">
        <f t="shared" si="0"/>
        <v>452.33333333333331</v>
      </c>
      <c r="D84" s="25"/>
      <c r="E84" s="19"/>
      <c r="F84" s="203">
        <v>2001</v>
      </c>
      <c r="G84" s="20">
        <v>388</v>
      </c>
      <c r="H84" s="25"/>
      <c r="I84" s="25"/>
      <c r="J84" s="25"/>
    </row>
    <row r="85" spans="2:10" x14ac:dyDescent="0.25">
      <c r="B85" s="203">
        <v>2001</v>
      </c>
      <c r="C85" s="20">
        <f t="shared" si="0"/>
        <v>395.33333333333331</v>
      </c>
      <c r="D85" s="25"/>
      <c r="E85" s="19"/>
      <c r="F85" s="203">
        <v>2002</v>
      </c>
      <c r="G85" s="20">
        <v>280</v>
      </c>
      <c r="H85" s="25"/>
      <c r="I85" s="25"/>
      <c r="J85" s="25"/>
    </row>
    <row r="86" spans="2:10" x14ac:dyDescent="0.25">
      <c r="B86" s="203">
        <v>2002</v>
      </c>
      <c r="C86" s="20">
        <f t="shared" si="0"/>
        <v>281.66666666666669</v>
      </c>
      <c r="D86" s="25"/>
      <c r="E86" s="25"/>
      <c r="F86" s="203">
        <v>2003</v>
      </c>
      <c r="G86" s="20">
        <v>268</v>
      </c>
      <c r="H86" s="25"/>
      <c r="I86" s="25"/>
      <c r="J86" s="25"/>
    </row>
    <row r="87" spans="2:10" x14ac:dyDescent="0.25">
      <c r="B87" s="203">
        <v>2003</v>
      </c>
      <c r="C87" s="22">
        <v>268</v>
      </c>
      <c r="D87" s="25"/>
      <c r="E87" s="25"/>
      <c r="F87" s="205">
        <v>2004</v>
      </c>
      <c r="G87" s="21">
        <v>247</v>
      </c>
      <c r="H87" s="25"/>
      <c r="I87" s="25"/>
      <c r="J87" s="25"/>
    </row>
    <row r="88" spans="2:10" x14ac:dyDescent="0.25">
      <c r="B88" s="203">
        <v>2004</v>
      </c>
      <c r="C88" s="22">
        <v>247</v>
      </c>
      <c r="D88" s="25"/>
      <c r="E88" s="25"/>
      <c r="F88" s="205">
        <v>2005</v>
      </c>
      <c r="G88" s="21">
        <v>233</v>
      </c>
      <c r="H88" s="25"/>
      <c r="I88" s="25"/>
      <c r="J88" s="25"/>
    </row>
    <row r="89" spans="2:10" x14ac:dyDescent="0.25">
      <c r="B89" s="203">
        <v>2005</v>
      </c>
      <c r="C89" s="22">
        <v>207</v>
      </c>
      <c r="D89" s="25"/>
      <c r="E89" s="25"/>
      <c r="F89" s="205">
        <v>2006</v>
      </c>
      <c r="G89" s="21">
        <v>196</v>
      </c>
      <c r="H89" s="25"/>
      <c r="I89" s="25"/>
      <c r="J89" s="25"/>
    </row>
    <row r="90" spans="2:10" x14ac:dyDescent="0.25">
      <c r="B90" s="203">
        <v>2006</v>
      </c>
      <c r="C90" s="22">
        <v>153</v>
      </c>
      <c r="D90" s="25"/>
      <c r="E90" s="25"/>
      <c r="F90" s="205">
        <v>2007</v>
      </c>
      <c r="G90" s="21">
        <v>261</v>
      </c>
      <c r="H90" s="25"/>
      <c r="I90" s="25"/>
      <c r="J90" s="25"/>
    </row>
    <row r="91" spans="2:10" x14ac:dyDescent="0.25">
      <c r="B91" s="203">
        <v>2007</v>
      </c>
      <c r="C91" s="22">
        <v>229</v>
      </c>
      <c r="D91" s="25"/>
      <c r="E91" s="25"/>
      <c r="F91" s="205">
        <v>2008</v>
      </c>
      <c r="G91" s="21">
        <v>220</v>
      </c>
      <c r="H91" s="25"/>
      <c r="I91" s="25"/>
      <c r="J91" s="25"/>
    </row>
    <row r="92" spans="2:10" x14ac:dyDescent="0.25">
      <c r="B92" s="203">
        <v>2008</v>
      </c>
      <c r="C92" s="22">
        <v>232</v>
      </c>
      <c r="D92" s="25"/>
      <c r="E92" s="25"/>
      <c r="F92" s="205">
        <v>2009</v>
      </c>
      <c r="G92" s="21">
        <v>280</v>
      </c>
      <c r="H92" s="25"/>
      <c r="I92" s="25"/>
      <c r="J92" s="25"/>
    </row>
    <row r="93" spans="2:10" x14ac:dyDescent="0.25">
      <c r="B93" s="203">
        <v>2009</v>
      </c>
      <c r="C93" s="22">
        <v>267</v>
      </c>
      <c r="D93" s="25"/>
      <c r="E93" s="25"/>
      <c r="F93" s="284">
        <v>2010</v>
      </c>
      <c r="G93" s="21">
        <v>278</v>
      </c>
      <c r="H93" s="25"/>
      <c r="I93" s="25"/>
      <c r="J93" s="25"/>
    </row>
    <row r="94" spans="2:10" x14ac:dyDescent="0.25">
      <c r="B94" s="203">
        <v>2010</v>
      </c>
      <c r="C94" s="22">
        <v>254</v>
      </c>
      <c r="D94" s="25"/>
      <c r="E94" s="25"/>
      <c r="F94" s="206">
        <v>2011</v>
      </c>
      <c r="G94" s="21">
        <v>173</v>
      </c>
      <c r="H94" s="25"/>
      <c r="I94" s="25"/>
      <c r="J94" s="25"/>
    </row>
    <row r="95" spans="2:10" x14ac:dyDescent="0.25">
      <c r="B95" s="203">
        <v>2011</v>
      </c>
      <c r="C95" s="22">
        <v>172</v>
      </c>
      <c r="D95" s="25"/>
      <c r="E95" s="25"/>
      <c r="F95" s="206">
        <v>2012</v>
      </c>
      <c r="G95" s="21">
        <v>167</v>
      </c>
      <c r="H95" s="25"/>
      <c r="I95" s="25"/>
      <c r="J95" s="25"/>
    </row>
    <row r="96" spans="2:10" x14ac:dyDescent="0.25">
      <c r="B96" s="203">
        <v>2012</v>
      </c>
      <c r="C96" s="22">
        <v>133.5</v>
      </c>
      <c r="D96" s="25"/>
      <c r="E96" s="25"/>
      <c r="F96" s="206"/>
      <c r="G96" s="25"/>
      <c r="H96" s="25"/>
      <c r="I96" s="25"/>
      <c r="J96" s="25"/>
    </row>
    <row r="97" spans="1:10" x14ac:dyDescent="0.25">
      <c r="B97" s="203"/>
      <c r="D97" s="25"/>
      <c r="E97" s="25"/>
      <c r="F97" s="206"/>
      <c r="G97" s="25"/>
      <c r="H97" s="25"/>
      <c r="I97" s="25"/>
      <c r="J97" s="25"/>
    </row>
    <row r="98" spans="1:10" ht="13" x14ac:dyDescent="0.3">
      <c r="A98" s="17" t="s">
        <v>53</v>
      </c>
      <c r="B98" s="203">
        <v>1990</v>
      </c>
      <c r="C98" s="20"/>
      <c r="D98" s="25"/>
      <c r="E98" s="17" t="s">
        <v>52</v>
      </c>
      <c r="F98" s="201">
        <v>1991</v>
      </c>
      <c r="G98" s="20">
        <f t="shared" ref="G98:G119" si="1">C99-G74</f>
        <v>745</v>
      </c>
      <c r="H98" s="25"/>
      <c r="I98" s="25"/>
      <c r="J98" s="25"/>
    </row>
    <row r="99" spans="1:10" ht="13" x14ac:dyDescent="0.3">
      <c r="B99" s="203">
        <v>1991</v>
      </c>
      <c r="C99" s="20">
        <f t="shared" ref="C99:C120" si="2">(C4+C49)/2</f>
        <v>1334</v>
      </c>
      <c r="D99" s="25"/>
      <c r="E99" s="19"/>
      <c r="F99" s="201">
        <v>1992</v>
      </c>
      <c r="G99" s="20">
        <f t="shared" si="1"/>
        <v>1611</v>
      </c>
      <c r="H99" s="25"/>
      <c r="I99" s="25"/>
      <c r="J99" s="25"/>
    </row>
    <row r="100" spans="1:10" x14ac:dyDescent="0.25">
      <c r="B100" s="203">
        <v>1992</v>
      </c>
      <c r="C100" s="20">
        <f t="shared" si="2"/>
        <v>1936</v>
      </c>
      <c r="D100" s="25"/>
      <c r="E100" s="19"/>
      <c r="F100" s="202">
        <v>1993</v>
      </c>
      <c r="G100" s="20">
        <f t="shared" si="1"/>
        <v>807.5</v>
      </c>
      <c r="H100" s="25"/>
      <c r="I100" s="25"/>
      <c r="J100" s="25"/>
    </row>
    <row r="101" spans="1:10" x14ac:dyDescent="0.25">
      <c r="B101" s="203">
        <v>1993</v>
      </c>
      <c r="C101" s="20">
        <f t="shared" si="2"/>
        <v>1238.5</v>
      </c>
      <c r="D101" s="25"/>
      <c r="E101" s="19"/>
      <c r="F101" s="202">
        <v>1994</v>
      </c>
      <c r="G101" s="20">
        <f t="shared" si="1"/>
        <v>866.5</v>
      </c>
      <c r="H101" s="25"/>
      <c r="I101" s="25"/>
      <c r="J101" s="25"/>
    </row>
    <row r="102" spans="1:10" x14ac:dyDescent="0.25">
      <c r="B102" s="203">
        <v>1994</v>
      </c>
      <c r="C102" s="20">
        <f t="shared" si="2"/>
        <v>1217.5</v>
      </c>
      <c r="D102" s="25"/>
      <c r="E102" s="19"/>
      <c r="F102" s="203">
        <v>1995</v>
      </c>
      <c r="G102" s="20">
        <f t="shared" si="1"/>
        <v>713</v>
      </c>
      <c r="H102" s="25"/>
      <c r="I102" s="25"/>
      <c r="J102" s="25"/>
    </row>
    <row r="103" spans="1:10" x14ac:dyDescent="0.25">
      <c r="B103" s="203">
        <v>1995</v>
      </c>
      <c r="C103" s="20">
        <f t="shared" si="2"/>
        <v>1204</v>
      </c>
      <c r="D103" s="25"/>
      <c r="E103" s="19"/>
      <c r="F103" s="203">
        <v>1996</v>
      </c>
      <c r="G103" s="20">
        <f t="shared" si="1"/>
        <v>413.5</v>
      </c>
      <c r="H103" s="25"/>
      <c r="I103" s="25"/>
      <c r="J103" s="25"/>
    </row>
    <row r="104" spans="1:10" x14ac:dyDescent="0.25">
      <c r="B104" s="203">
        <v>1996</v>
      </c>
      <c r="C104" s="20">
        <f t="shared" si="2"/>
        <v>992.875</v>
      </c>
      <c r="D104" s="25"/>
      <c r="E104" s="19"/>
      <c r="F104" s="203">
        <v>1997</v>
      </c>
      <c r="G104" s="20">
        <f t="shared" si="1"/>
        <v>88.660937500000045</v>
      </c>
      <c r="H104" s="25"/>
      <c r="I104" s="25"/>
      <c r="J104" s="25"/>
    </row>
    <row r="105" spans="1:10" x14ac:dyDescent="0.25">
      <c r="B105" s="203">
        <v>1997</v>
      </c>
      <c r="C105" s="20">
        <f t="shared" si="2"/>
        <v>609.06218750000005</v>
      </c>
      <c r="E105" s="19"/>
      <c r="F105" s="203">
        <v>1998</v>
      </c>
      <c r="G105" s="20">
        <f t="shared" si="1"/>
        <v>125.5</v>
      </c>
    </row>
    <row r="106" spans="1:10" x14ac:dyDescent="0.25">
      <c r="B106" s="203">
        <v>1998</v>
      </c>
      <c r="C106" s="20">
        <f t="shared" si="2"/>
        <v>530.5</v>
      </c>
      <c r="E106" s="19"/>
      <c r="F106" s="203">
        <v>1999</v>
      </c>
      <c r="G106" s="20">
        <f t="shared" si="1"/>
        <v>130.5</v>
      </c>
    </row>
    <row r="107" spans="1:10" x14ac:dyDescent="0.25">
      <c r="B107" s="203">
        <v>1999</v>
      </c>
      <c r="C107" s="20">
        <f t="shared" si="2"/>
        <v>356.5</v>
      </c>
      <c r="E107" s="19"/>
      <c r="F107" s="203">
        <v>2000</v>
      </c>
      <c r="G107" s="20">
        <f t="shared" si="1"/>
        <v>706</v>
      </c>
    </row>
    <row r="108" spans="1:10" x14ac:dyDescent="0.25">
      <c r="B108" s="203">
        <v>2000</v>
      </c>
      <c r="C108" s="20">
        <f t="shared" si="2"/>
        <v>1143</v>
      </c>
      <c r="E108" s="19"/>
      <c r="F108" s="203">
        <v>2001</v>
      </c>
      <c r="G108" s="20">
        <f t="shared" si="1"/>
        <v>342</v>
      </c>
    </row>
    <row r="109" spans="1:10" x14ac:dyDescent="0.25">
      <c r="B109" s="203">
        <v>2001</v>
      </c>
      <c r="C109" s="20">
        <f t="shared" si="2"/>
        <v>730</v>
      </c>
      <c r="E109" s="19"/>
      <c r="F109" s="203">
        <v>2002</v>
      </c>
      <c r="G109" s="20">
        <f t="shared" si="1"/>
        <v>2220</v>
      </c>
    </row>
    <row r="110" spans="1:10" x14ac:dyDescent="0.25">
      <c r="B110" s="203">
        <v>2002</v>
      </c>
      <c r="C110" s="20">
        <f t="shared" si="2"/>
        <v>2500</v>
      </c>
      <c r="F110" s="203">
        <v>2003</v>
      </c>
      <c r="G110" s="20">
        <f t="shared" si="1"/>
        <v>992.5</v>
      </c>
    </row>
    <row r="111" spans="1:10" x14ac:dyDescent="0.25">
      <c r="B111" s="203">
        <v>2003</v>
      </c>
      <c r="C111" s="20">
        <f t="shared" si="2"/>
        <v>1260.5</v>
      </c>
      <c r="F111" s="203">
        <v>2004</v>
      </c>
      <c r="G111" s="20">
        <f t="shared" si="1"/>
        <v>167.5</v>
      </c>
    </row>
    <row r="112" spans="1:10" x14ac:dyDescent="0.25">
      <c r="B112" s="203">
        <v>2004</v>
      </c>
      <c r="C112" s="20">
        <f t="shared" si="2"/>
        <v>414.5</v>
      </c>
      <c r="F112" s="203">
        <v>2005</v>
      </c>
      <c r="G112" s="20">
        <f t="shared" si="1"/>
        <v>557.5</v>
      </c>
    </row>
    <row r="113" spans="2:7" x14ac:dyDescent="0.25">
      <c r="B113" s="203">
        <v>2005</v>
      </c>
      <c r="C113" s="20">
        <f t="shared" si="2"/>
        <v>790.5</v>
      </c>
      <c r="F113" s="203">
        <v>2006</v>
      </c>
      <c r="G113" s="20">
        <f t="shared" si="1"/>
        <v>798.5</v>
      </c>
    </row>
    <row r="114" spans="2:7" x14ac:dyDescent="0.25">
      <c r="B114" s="203">
        <v>2006</v>
      </c>
      <c r="C114" s="20">
        <f t="shared" si="2"/>
        <v>994.5</v>
      </c>
      <c r="F114" s="203">
        <v>2007</v>
      </c>
      <c r="G114" s="20">
        <f t="shared" si="1"/>
        <v>317.5</v>
      </c>
    </row>
    <row r="115" spans="2:7" x14ac:dyDescent="0.25">
      <c r="B115" s="203">
        <v>2007</v>
      </c>
      <c r="C115" s="20">
        <f t="shared" si="2"/>
        <v>578.5</v>
      </c>
      <c r="F115" s="203">
        <v>2008</v>
      </c>
      <c r="G115" s="20">
        <f t="shared" si="1"/>
        <v>662</v>
      </c>
    </row>
    <row r="116" spans="2:7" x14ac:dyDescent="0.25">
      <c r="B116" s="203">
        <v>2008</v>
      </c>
      <c r="C116" s="20">
        <f t="shared" si="2"/>
        <v>882</v>
      </c>
      <c r="F116" s="203">
        <v>2009</v>
      </c>
      <c r="G116" s="20">
        <f t="shared" si="1"/>
        <v>390</v>
      </c>
    </row>
    <row r="117" spans="2:7" x14ac:dyDescent="0.25">
      <c r="B117" s="203">
        <v>2009</v>
      </c>
      <c r="C117" s="20">
        <f t="shared" si="2"/>
        <v>670</v>
      </c>
      <c r="F117" s="203">
        <v>2010</v>
      </c>
      <c r="G117" s="20">
        <f t="shared" si="1"/>
        <v>654.5</v>
      </c>
    </row>
    <row r="118" spans="2:7" x14ac:dyDescent="0.25">
      <c r="B118" s="203">
        <v>2010</v>
      </c>
      <c r="C118" s="20">
        <f t="shared" si="2"/>
        <v>932.5</v>
      </c>
      <c r="F118" s="203">
        <v>2011</v>
      </c>
      <c r="G118" s="20">
        <f t="shared" si="1"/>
        <v>423.5</v>
      </c>
    </row>
    <row r="119" spans="2:7" x14ac:dyDescent="0.25">
      <c r="B119" s="22">
        <v>2011</v>
      </c>
      <c r="C119" s="20">
        <f t="shared" si="2"/>
        <v>596.5</v>
      </c>
      <c r="F119" s="203">
        <v>2012</v>
      </c>
      <c r="G119" s="20">
        <f t="shared" si="1"/>
        <v>567.5</v>
      </c>
    </row>
    <row r="120" spans="2:7" x14ac:dyDescent="0.25">
      <c r="B120" s="22">
        <v>2012</v>
      </c>
      <c r="C120" s="20">
        <f t="shared" si="2"/>
        <v>734.5</v>
      </c>
    </row>
    <row r="143" spans="4:4" x14ac:dyDescent="0.25">
      <c r="D143" s="5"/>
    </row>
    <row r="144" spans="4:4" x14ac:dyDescent="0.25">
      <c r="D144" s="5"/>
    </row>
    <row r="145" spans="4:4" x14ac:dyDescent="0.25">
      <c r="D145" s="5"/>
    </row>
    <row r="146" spans="4:4" x14ac:dyDescent="0.25">
      <c r="D146" s="5"/>
    </row>
    <row r="147" spans="4:4" x14ac:dyDescent="0.25">
      <c r="D147" s="5"/>
    </row>
    <row r="148" spans="4:4" x14ac:dyDescent="0.25">
      <c r="D148" s="5"/>
    </row>
    <row r="149" spans="4:4" x14ac:dyDescent="0.25">
      <c r="D149" s="5"/>
    </row>
  </sheetData>
  <mergeCells count="2">
    <mergeCell ref="A1:G1"/>
    <mergeCell ref="A72:G72"/>
  </mergeCells>
  <phoneticPr fontId="8" type="noConversion"/>
  <pageMargins left="0.75" right="0.75" top="1" bottom="1" header="0.5" footer="0.5"/>
  <headerFooter alignWithMargins="0"/>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2:D20"/>
  <sheetViews>
    <sheetView workbookViewId="0">
      <selection activeCell="F2" sqref="F2"/>
    </sheetView>
  </sheetViews>
  <sheetFormatPr defaultRowHeight="12.5" x14ac:dyDescent="0.25"/>
  <cols>
    <col min="1" max="1" width="34.54296875" bestFit="1" customWidth="1"/>
    <col min="2" max="2" width="21.54296875" bestFit="1" customWidth="1"/>
    <col min="3" max="3" width="7.54296875" customWidth="1"/>
    <col min="4" max="4" width="15" bestFit="1" customWidth="1"/>
  </cols>
  <sheetData>
    <row r="2" spans="1:4" ht="28" x14ac:dyDescent="0.25">
      <c r="A2" s="708" t="s">
        <v>1062</v>
      </c>
      <c r="B2" s="709" t="s">
        <v>1089</v>
      </c>
      <c r="C2" s="708" t="s">
        <v>1106</v>
      </c>
      <c r="D2" s="708" t="s">
        <v>1085</v>
      </c>
    </row>
    <row r="3" spans="1:4" ht="15.75" customHeight="1" x14ac:dyDescent="0.25">
      <c r="A3" s="973" t="s">
        <v>1087</v>
      </c>
      <c r="B3" s="974"/>
      <c r="C3" s="974"/>
      <c r="D3" s="975"/>
    </row>
    <row r="4" spans="1:4" ht="14" x14ac:dyDescent="0.3">
      <c r="A4" s="705" t="s">
        <v>1065</v>
      </c>
      <c r="B4" s="706" t="s">
        <v>1103</v>
      </c>
      <c r="C4" s="301" t="s">
        <v>1084</v>
      </c>
      <c r="D4" s="495">
        <v>1.4E-2</v>
      </c>
    </row>
    <row r="5" spans="1:4" ht="14" x14ac:dyDescent="0.3">
      <c r="A5" s="301" t="s">
        <v>994</v>
      </c>
      <c r="B5" s="706" t="s">
        <v>1075</v>
      </c>
      <c r="C5" s="301" t="s">
        <v>1084</v>
      </c>
      <c r="D5" s="495">
        <v>7.4999999999999997E-3</v>
      </c>
    </row>
    <row r="6" spans="1:4" ht="14" x14ac:dyDescent="0.3">
      <c r="A6" s="301" t="s">
        <v>1107</v>
      </c>
      <c r="B6" s="706" t="s">
        <v>1063</v>
      </c>
      <c r="C6" s="301" t="s">
        <v>1084</v>
      </c>
      <c r="D6" s="495">
        <v>8.9999999999999993E-3</v>
      </c>
    </row>
    <row r="7" spans="1:4" ht="14" x14ac:dyDescent="0.3">
      <c r="A7" s="301" t="s">
        <v>1064</v>
      </c>
      <c r="B7" s="706" t="s">
        <v>1074</v>
      </c>
      <c r="C7" s="301" t="s">
        <v>1084</v>
      </c>
      <c r="D7" s="495">
        <v>0.99</v>
      </c>
    </row>
    <row r="8" spans="1:4" ht="14" x14ac:dyDescent="0.3">
      <c r="A8" s="301" t="s">
        <v>476</v>
      </c>
      <c r="B8" s="706" t="s">
        <v>1063</v>
      </c>
      <c r="C8" s="301" t="s">
        <v>1084</v>
      </c>
      <c r="D8" s="495">
        <v>1E-3</v>
      </c>
    </row>
    <row r="9" spans="1:4" ht="14" x14ac:dyDescent="0.3">
      <c r="A9" s="301" t="s">
        <v>1066</v>
      </c>
      <c r="B9" s="706" t="s">
        <v>1074</v>
      </c>
      <c r="C9" s="301" t="s">
        <v>1084</v>
      </c>
      <c r="D9" s="495">
        <v>0.7</v>
      </c>
    </row>
    <row r="10" spans="1:4" ht="14" x14ac:dyDescent="0.3">
      <c r="A10" s="301" t="s">
        <v>1067</v>
      </c>
      <c r="B10" s="706" t="s">
        <v>1074</v>
      </c>
      <c r="C10" s="301" t="s">
        <v>1084</v>
      </c>
      <c r="D10" s="495">
        <v>0.125</v>
      </c>
    </row>
    <row r="11" spans="1:4" ht="14" x14ac:dyDescent="0.3">
      <c r="A11" s="301" t="s">
        <v>1068</v>
      </c>
      <c r="B11" s="706" t="s">
        <v>528</v>
      </c>
      <c r="C11" s="301" t="s">
        <v>1084</v>
      </c>
      <c r="D11" s="495">
        <v>0.8</v>
      </c>
    </row>
    <row r="12" spans="1:4" ht="14" x14ac:dyDescent="0.3">
      <c r="A12" s="301" t="s">
        <v>1069</v>
      </c>
      <c r="B12" s="707" t="s">
        <v>1090</v>
      </c>
      <c r="C12" s="301" t="s">
        <v>1084</v>
      </c>
      <c r="D12" s="495">
        <v>0.05</v>
      </c>
    </row>
    <row r="13" spans="1:4" ht="14" x14ac:dyDescent="0.3">
      <c r="A13" s="301" t="s">
        <v>479</v>
      </c>
      <c r="B13" s="706" t="s">
        <v>1086</v>
      </c>
      <c r="C13" s="301" t="s">
        <v>1084</v>
      </c>
      <c r="D13" s="495">
        <v>0.35</v>
      </c>
    </row>
    <row r="14" spans="1:4" ht="14" x14ac:dyDescent="0.3">
      <c r="A14" s="971" t="s">
        <v>1088</v>
      </c>
      <c r="B14" s="971"/>
      <c r="C14" s="971"/>
      <c r="D14" s="972"/>
    </row>
    <row r="15" spans="1:4" ht="14" x14ac:dyDescent="0.3">
      <c r="A15" s="301" t="s">
        <v>1108</v>
      </c>
      <c r="B15" s="707" t="s">
        <v>1102</v>
      </c>
      <c r="C15" s="301" t="s">
        <v>1084</v>
      </c>
      <c r="D15" s="495">
        <v>2.5000000000000001E-2</v>
      </c>
    </row>
    <row r="16" spans="1:4" ht="14" x14ac:dyDescent="0.3">
      <c r="A16" s="705" t="s">
        <v>1072</v>
      </c>
      <c r="B16" s="707" t="s">
        <v>1105</v>
      </c>
      <c r="C16" s="301" t="s">
        <v>1084</v>
      </c>
      <c r="D16" s="495">
        <v>4.2999999999999997E-2</v>
      </c>
    </row>
    <row r="17" spans="1:4" ht="14" x14ac:dyDescent="0.3">
      <c r="A17" s="705" t="s">
        <v>1073</v>
      </c>
      <c r="B17" s="707" t="s">
        <v>1075</v>
      </c>
      <c r="C17" s="301" t="s">
        <v>1084</v>
      </c>
      <c r="D17" s="495">
        <v>5.1999999999999998E-2</v>
      </c>
    </row>
    <row r="18" spans="1:4" ht="14" x14ac:dyDescent="0.3">
      <c r="A18" s="301" t="s">
        <v>1070</v>
      </c>
      <c r="B18" s="706" t="s">
        <v>1063</v>
      </c>
      <c r="C18" s="301" t="s">
        <v>1084</v>
      </c>
      <c r="D18" s="495">
        <v>5.0000000000000001E-3</v>
      </c>
    </row>
    <row r="19" spans="1:4" ht="14" x14ac:dyDescent="0.3">
      <c r="A19" s="301" t="s">
        <v>1083</v>
      </c>
      <c r="B19" s="706" t="s">
        <v>1063</v>
      </c>
      <c r="C19" s="301" t="s">
        <v>1084</v>
      </c>
      <c r="D19" s="495">
        <v>1.0500000000000001E-2</v>
      </c>
    </row>
    <row r="20" spans="1:4" ht="14" x14ac:dyDescent="0.3">
      <c r="A20" s="301" t="s">
        <v>1071</v>
      </c>
      <c r="B20" s="706" t="s">
        <v>1109</v>
      </c>
      <c r="C20" s="301" t="s">
        <v>1084</v>
      </c>
      <c r="D20" s="301">
        <v>1.2E-2</v>
      </c>
    </row>
  </sheetData>
  <mergeCells count="2">
    <mergeCell ref="A14:D14"/>
    <mergeCell ref="A3:D3"/>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R69"/>
  <sheetViews>
    <sheetView workbookViewId="0">
      <selection activeCell="J12" sqref="J12"/>
    </sheetView>
  </sheetViews>
  <sheetFormatPr defaultRowHeight="12.5" x14ac:dyDescent="0.25"/>
  <cols>
    <col min="1" max="1" width="38.90625" bestFit="1" customWidth="1"/>
    <col min="2" max="2" width="9.6328125" bestFit="1" customWidth="1"/>
    <col min="3" max="3" width="11.36328125" bestFit="1" customWidth="1"/>
    <col min="4" max="4" width="12.08984375" bestFit="1" customWidth="1"/>
    <col min="5" max="5" width="9.6328125" bestFit="1" customWidth="1"/>
    <col min="6" max="6" width="21" bestFit="1" customWidth="1"/>
    <col min="7" max="7" width="15.54296875" bestFit="1" customWidth="1"/>
    <col min="8" max="8" width="12.90625" bestFit="1" customWidth="1"/>
    <col min="10" max="10" width="16" bestFit="1" customWidth="1"/>
    <col min="11" max="11" width="11" bestFit="1" customWidth="1"/>
    <col min="12" max="17" width="9.6328125" bestFit="1" customWidth="1"/>
    <col min="18" max="18" width="11.36328125" bestFit="1" customWidth="1"/>
  </cols>
  <sheetData>
    <row r="1" spans="1:18" ht="31" x14ac:dyDescent="0.35">
      <c r="A1" s="970" t="s">
        <v>1062</v>
      </c>
      <c r="B1" s="674"/>
      <c r="C1" s="674"/>
      <c r="D1" s="674"/>
      <c r="E1" s="674"/>
      <c r="F1" s="976" t="s">
        <v>1100</v>
      </c>
      <c r="G1" s="976" t="s">
        <v>1099</v>
      </c>
      <c r="H1" s="969" t="s">
        <v>1101</v>
      </c>
      <c r="I1" s="650"/>
      <c r="J1" s="650"/>
      <c r="K1" s="660" t="s">
        <v>30</v>
      </c>
      <c r="L1" s="660" t="s">
        <v>1051</v>
      </c>
      <c r="M1" s="660" t="s">
        <v>655</v>
      </c>
      <c r="N1" s="660" t="s">
        <v>29</v>
      </c>
      <c r="O1" s="661" t="s">
        <v>1050</v>
      </c>
      <c r="P1" s="660" t="s">
        <v>31</v>
      </c>
      <c r="Q1" s="661" t="s">
        <v>1049</v>
      </c>
      <c r="R1" s="657" t="s">
        <v>1057</v>
      </c>
    </row>
    <row r="2" spans="1:18" ht="15.5" x14ac:dyDescent="0.35">
      <c r="A2" s="970"/>
      <c r="B2" s="675">
        <v>23</v>
      </c>
      <c r="C2" s="675">
        <v>17</v>
      </c>
      <c r="D2" s="675">
        <v>17</v>
      </c>
      <c r="E2" s="675">
        <v>23</v>
      </c>
      <c r="F2" s="977"/>
      <c r="G2" s="977"/>
      <c r="H2" s="969"/>
      <c r="I2" s="650"/>
      <c r="J2" s="653" t="s">
        <v>1048</v>
      </c>
      <c r="K2" s="651">
        <v>23</v>
      </c>
      <c r="L2" s="651">
        <v>17</v>
      </c>
      <c r="M2" s="651">
        <v>17</v>
      </c>
      <c r="N2" s="651">
        <v>23</v>
      </c>
      <c r="O2" s="651">
        <v>23</v>
      </c>
      <c r="P2" s="651">
        <v>40</v>
      </c>
      <c r="Q2" s="651">
        <v>20</v>
      </c>
      <c r="R2" s="658">
        <v>10</v>
      </c>
    </row>
    <row r="3" spans="1:18" ht="15.5" x14ac:dyDescent="0.35">
      <c r="A3" s="970"/>
      <c r="B3" s="674" t="s">
        <v>30</v>
      </c>
      <c r="C3" s="674" t="s">
        <v>1055</v>
      </c>
      <c r="D3" s="674" t="s">
        <v>1056</v>
      </c>
      <c r="E3" s="674" t="s">
        <v>29</v>
      </c>
      <c r="F3" s="978"/>
      <c r="G3" s="978"/>
      <c r="H3" s="969"/>
      <c r="I3" s="650"/>
      <c r="J3" s="629" t="s">
        <v>1052</v>
      </c>
      <c r="K3" s="79">
        <f t="shared" ref="K3:Q3" si="0">SUM(K6:K69)</f>
        <v>265</v>
      </c>
      <c r="L3" s="79">
        <f t="shared" si="0"/>
        <v>265</v>
      </c>
      <c r="M3" s="79">
        <f t="shared" si="0"/>
        <v>235</v>
      </c>
      <c r="N3" s="79">
        <f t="shared" si="0"/>
        <v>265</v>
      </c>
      <c r="O3" s="79">
        <f t="shared" si="0"/>
        <v>60</v>
      </c>
      <c r="P3" s="79">
        <f t="shared" si="0"/>
        <v>30</v>
      </c>
      <c r="Q3" s="79">
        <f t="shared" si="0"/>
        <v>60</v>
      </c>
      <c r="R3" s="627">
        <v>200</v>
      </c>
    </row>
    <row r="4" spans="1:18" ht="15.5" x14ac:dyDescent="0.35">
      <c r="A4" s="637" t="s">
        <v>1059</v>
      </c>
      <c r="B4" s="629">
        <v>6</v>
      </c>
      <c r="C4" s="629">
        <v>6</v>
      </c>
      <c r="D4" s="629">
        <v>6</v>
      </c>
      <c r="E4" s="629">
        <v>6</v>
      </c>
      <c r="F4" s="676">
        <v>75</v>
      </c>
      <c r="G4" s="656">
        <f t="shared" ref="G4:G19" si="1">$B$2*B4+$C$2*C4+$D$2*D4+$E$2*E4</f>
        <v>480</v>
      </c>
      <c r="H4" s="657">
        <f t="shared" ref="H4:H19" si="2">F4+G4</f>
        <v>555</v>
      </c>
      <c r="I4" s="654"/>
      <c r="J4" s="630" t="s">
        <v>1053</v>
      </c>
      <c r="K4" s="655">
        <f t="shared" ref="K4:R4" si="3">K2*K3</f>
        <v>6095</v>
      </c>
      <c r="L4" s="655">
        <f t="shared" si="3"/>
        <v>4505</v>
      </c>
      <c r="M4" s="655">
        <f t="shared" si="3"/>
        <v>3995</v>
      </c>
      <c r="N4" s="655">
        <f t="shared" si="3"/>
        <v>6095</v>
      </c>
      <c r="O4" s="655">
        <f t="shared" si="3"/>
        <v>1380</v>
      </c>
      <c r="P4" s="655">
        <f t="shared" si="3"/>
        <v>1200</v>
      </c>
      <c r="Q4" s="655">
        <f t="shared" si="3"/>
        <v>1200</v>
      </c>
      <c r="R4" s="659">
        <f t="shared" si="3"/>
        <v>2000</v>
      </c>
    </row>
    <row r="5" spans="1:18" ht="15.5" x14ac:dyDescent="0.35">
      <c r="A5" s="79" t="s">
        <v>891</v>
      </c>
      <c r="B5" s="629">
        <v>6</v>
      </c>
      <c r="C5" s="629">
        <v>6</v>
      </c>
      <c r="D5" s="629">
        <v>6</v>
      </c>
      <c r="E5" s="629">
        <v>6</v>
      </c>
      <c r="F5" s="676">
        <v>75</v>
      </c>
      <c r="G5" s="656">
        <f t="shared" si="1"/>
        <v>480</v>
      </c>
      <c r="H5" s="657">
        <f t="shared" si="2"/>
        <v>555</v>
      </c>
      <c r="I5" s="649"/>
      <c r="J5" s="79" t="s">
        <v>1054</v>
      </c>
      <c r="K5" s="655">
        <f>SUM(K4:R4)</f>
        <v>26470</v>
      </c>
      <c r="L5" s="78"/>
      <c r="M5" s="78"/>
      <c r="N5" s="78"/>
      <c r="O5" s="78"/>
      <c r="P5" s="78"/>
      <c r="Q5" s="78"/>
      <c r="R5" s="631"/>
    </row>
    <row r="6" spans="1:18" ht="15.5" x14ac:dyDescent="0.35">
      <c r="A6" s="79" t="s">
        <v>1001</v>
      </c>
      <c r="B6" s="629">
        <v>6</v>
      </c>
      <c r="C6" s="629">
        <v>6</v>
      </c>
      <c r="D6" s="629">
        <v>6</v>
      </c>
      <c r="E6" s="629">
        <v>6</v>
      </c>
      <c r="F6" s="676">
        <v>75</v>
      </c>
      <c r="G6" s="656">
        <f t="shared" si="1"/>
        <v>480</v>
      </c>
      <c r="H6" s="657">
        <f t="shared" si="2"/>
        <v>555</v>
      </c>
      <c r="I6" s="649"/>
      <c r="J6" s="649"/>
      <c r="K6" s="78">
        <v>7</v>
      </c>
      <c r="L6" s="78">
        <v>7</v>
      </c>
      <c r="M6" s="78">
        <v>7</v>
      </c>
      <c r="N6" s="78">
        <v>7</v>
      </c>
      <c r="O6" s="78"/>
      <c r="P6" s="78"/>
      <c r="Q6" s="78"/>
      <c r="R6" s="78"/>
    </row>
    <row r="7" spans="1:18" ht="15.5" x14ac:dyDescent="0.35">
      <c r="A7" s="79" t="s">
        <v>903</v>
      </c>
      <c r="B7" s="629">
        <v>6</v>
      </c>
      <c r="C7" s="629">
        <v>6</v>
      </c>
      <c r="D7" s="629">
        <v>6</v>
      </c>
      <c r="E7" s="629">
        <v>6</v>
      </c>
      <c r="F7" s="676">
        <v>75</v>
      </c>
      <c r="G7" s="656">
        <f t="shared" si="1"/>
        <v>480</v>
      </c>
      <c r="H7" s="657">
        <f t="shared" si="2"/>
        <v>555</v>
      </c>
      <c r="I7" s="649"/>
      <c r="J7" s="649"/>
      <c r="K7" s="78">
        <v>7</v>
      </c>
      <c r="L7" s="78">
        <v>7</v>
      </c>
      <c r="M7" s="78">
        <v>7</v>
      </c>
      <c r="N7" s="78">
        <v>7</v>
      </c>
      <c r="O7" s="78"/>
      <c r="P7" s="78"/>
      <c r="Q7" s="78"/>
      <c r="R7" s="78"/>
    </row>
    <row r="8" spans="1:18" ht="15.5" x14ac:dyDescent="0.35">
      <c r="A8" s="79" t="s">
        <v>906</v>
      </c>
      <c r="B8" s="629">
        <v>6</v>
      </c>
      <c r="C8" s="629">
        <v>6</v>
      </c>
      <c r="D8" s="629">
        <v>6</v>
      </c>
      <c r="E8" s="629">
        <v>6</v>
      </c>
      <c r="F8" s="676">
        <v>75</v>
      </c>
      <c r="G8" s="656">
        <f t="shared" si="1"/>
        <v>480</v>
      </c>
      <c r="H8" s="657">
        <f t="shared" si="2"/>
        <v>555</v>
      </c>
      <c r="I8" s="649"/>
      <c r="J8" s="649"/>
      <c r="K8" s="78">
        <v>7</v>
      </c>
      <c r="L8" s="78">
        <v>7</v>
      </c>
      <c r="M8" s="78">
        <v>7</v>
      </c>
      <c r="N8" s="78">
        <v>7</v>
      </c>
      <c r="O8" s="78"/>
      <c r="P8" s="78"/>
      <c r="Q8" s="78"/>
      <c r="R8" s="78"/>
    </row>
    <row r="9" spans="1:18" ht="15.5" x14ac:dyDescent="0.35">
      <c r="A9" s="79" t="s">
        <v>908</v>
      </c>
      <c r="B9" s="629">
        <v>6</v>
      </c>
      <c r="C9" s="629">
        <v>6</v>
      </c>
      <c r="D9" s="629">
        <v>6</v>
      </c>
      <c r="E9" s="629">
        <v>6</v>
      </c>
      <c r="F9" s="676">
        <v>75</v>
      </c>
      <c r="G9" s="656">
        <f t="shared" si="1"/>
        <v>480</v>
      </c>
      <c r="H9" s="657">
        <f t="shared" si="2"/>
        <v>555</v>
      </c>
      <c r="I9" s="631"/>
      <c r="J9" s="631"/>
      <c r="K9" s="78"/>
      <c r="L9" s="78"/>
      <c r="M9" s="78"/>
      <c r="N9" s="78"/>
      <c r="O9" s="78"/>
      <c r="P9" s="78"/>
      <c r="Q9" s="78"/>
      <c r="R9" s="78"/>
    </row>
    <row r="10" spans="1:18" ht="15.5" x14ac:dyDescent="0.35">
      <c r="A10" s="79" t="s">
        <v>910</v>
      </c>
      <c r="B10" s="629">
        <v>6</v>
      </c>
      <c r="C10" s="629">
        <v>6</v>
      </c>
      <c r="D10" s="629">
        <v>6</v>
      </c>
      <c r="E10" s="629">
        <v>6</v>
      </c>
      <c r="F10" s="676">
        <v>75</v>
      </c>
      <c r="G10" s="656">
        <f t="shared" si="1"/>
        <v>480</v>
      </c>
      <c r="H10" s="657">
        <f t="shared" si="2"/>
        <v>555</v>
      </c>
      <c r="I10" s="649"/>
      <c r="J10" s="649"/>
      <c r="K10" s="78">
        <v>12</v>
      </c>
      <c r="L10" s="78">
        <v>12</v>
      </c>
      <c r="M10" s="78">
        <v>12</v>
      </c>
      <c r="N10" s="78">
        <v>12</v>
      </c>
      <c r="O10" s="78">
        <v>12</v>
      </c>
      <c r="P10" s="78"/>
      <c r="Q10" s="78">
        <v>12</v>
      </c>
      <c r="R10" s="78"/>
    </row>
    <row r="11" spans="1:18" ht="15.5" x14ac:dyDescent="0.35">
      <c r="A11" s="79" t="s">
        <v>994</v>
      </c>
      <c r="B11" s="627">
        <v>6</v>
      </c>
      <c r="C11" s="627">
        <v>6</v>
      </c>
      <c r="D11" s="627">
        <v>6</v>
      </c>
      <c r="E11" s="627">
        <v>6</v>
      </c>
      <c r="F11" s="676">
        <v>75</v>
      </c>
      <c r="G11" s="656">
        <f t="shared" si="1"/>
        <v>480</v>
      </c>
      <c r="H11" s="657">
        <f t="shared" si="2"/>
        <v>555</v>
      </c>
      <c r="I11" s="649"/>
      <c r="J11" s="649"/>
      <c r="K11" s="78"/>
      <c r="L11" s="78"/>
      <c r="M11" s="78"/>
      <c r="N11" s="78"/>
      <c r="O11" s="78"/>
      <c r="P11" s="78"/>
      <c r="Q11" s="78"/>
      <c r="R11" s="78"/>
    </row>
    <row r="12" spans="1:18" ht="15.5" x14ac:dyDescent="0.35">
      <c r="A12" s="79" t="s">
        <v>995</v>
      </c>
      <c r="B12" s="627">
        <v>6</v>
      </c>
      <c r="C12" s="627">
        <v>6</v>
      </c>
      <c r="D12" s="627">
        <v>6</v>
      </c>
      <c r="E12" s="627">
        <v>6</v>
      </c>
      <c r="F12" s="676">
        <v>75</v>
      </c>
      <c r="G12" s="656">
        <f t="shared" si="1"/>
        <v>480</v>
      </c>
      <c r="H12" s="657">
        <f t="shared" si="2"/>
        <v>555</v>
      </c>
      <c r="I12" s="631"/>
      <c r="J12" s="631"/>
      <c r="K12" s="78"/>
      <c r="L12" s="78"/>
      <c r="M12" s="78"/>
      <c r="N12" s="78"/>
      <c r="O12" s="78"/>
      <c r="P12" s="78"/>
      <c r="Q12" s="78"/>
      <c r="R12" s="78"/>
    </row>
    <row r="13" spans="1:18" ht="15.5" x14ac:dyDescent="0.35">
      <c r="A13" s="79" t="s">
        <v>996</v>
      </c>
      <c r="B13" s="627">
        <v>6</v>
      </c>
      <c r="C13" s="627">
        <v>6</v>
      </c>
      <c r="D13" s="627">
        <v>6</v>
      </c>
      <c r="E13" s="627">
        <v>6</v>
      </c>
      <c r="F13" s="676">
        <v>75</v>
      </c>
      <c r="G13" s="656">
        <f t="shared" si="1"/>
        <v>480</v>
      </c>
      <c r="H13" s="657">
        <f t="shared" si="2"/>
        <v>555</v>
      </c>
      <c r="I13" s="649"/>
      <c r="J13" s="649"/>
      <c r="K13" s="78">
        <v>12</v>
      </c>
      <c r="L13" s="78">
        <v>12</v>
      </c>
      <c r="M13" s="78"/>
      <c r="N13" s="78">
        <v>12</v>
      </c>
      <c r="O13" s="78">
        <v>12</v>
      </c>
      <c r="P13" s="652">
        <v>12</v>
      </c>
      <c r="Q13" s="652">
        <v>12</v>
      </c>
      <c r="R13" s="78"/>
    </row>
    <row r="14" spans="1:18" ht="15.5" x14ac:dyDescent="0.35">
      <c r="A14" s="79" t="s">
        <v>997</v>
      </c>
      <c r="B14" s="627">
        <v>6</v>
      </c>
      <c r="C14" s="627">
        <v>6</v>
      </c>
      <c r="D14" s="627">
        <v>6</v>
      </c>
      <c r="E14" s="627">
        <v>6</v>
      </c>
      <c r="F14" s="676">
        <v>75</v>
      </c>
      <c r="G14" s="656">
        <f t="shared" si="1"/>
        <v>480</v>
      </c>
      <c r="H14" s="657">
        <f t="shared" si="2"/>
        <v>555</v>
      </c>
      <c r="I14" s="649"/>
      <c r="J14" s="649"/>
      <c r="K14" s="78">
        <v>12</v>
      </c>
      <c r="L14" s="78">
        <v>12</v>
      </c>
      <c r="M14" s="78"/>
      <c r="N14" s="78">
        <v>12</v>
      </c>
      <c r="O14" s="78">
        <v>12</v>
      </c>
      <c r="P14" s="78"/>
      <c r="Q14" s="78">
        <v>12</v>
      </c>
      <c r="R14" s="78"/>
    </row>
    <row r="15" spans="1:18" ht="15.5" x14ac:dyDescent="0.35">
      <c r="A15" s="79" t="s">
        <v>999</v>
      </c>
      <c r="B15" s="627">
        <v>6</v>
      </c>
      <c r="C15" s="627">
        <v>6</v>
      </c>
      <c r="D15" s="627">
        <v>6</v>
      </c>
      <c r="E15" s="627">
        <v>6</v>
      </c>
      <c r="F15" s="676">
        <v>75</v>
      </c>
      <c r="G15" s="656">
        <f t="shared" si="1"/>
        <v>480</v>
      </c>
      <c r="H15" s="657">
        <f t="shared" si="2"/>
        <v>555</v>
      </c>
      <c r="I15" s="649"/>
      <c r="J15" s="649"/>
      <c r="K15" s="78"/>
      <c r="L15" s="78"/>
      <c r="M15" s="78"/>
      <c r="N15" s="78"/>
      <c r="O15" s="78"/>
      <c r="P15" s="78"/>
      <c r="Q15" s="78"/>
      <c r="R15" s="78"/>
    </row>
    <row r="16" spans="1:18" ht="15.5" x14ac:dyDescent="0.35">
      <c r="A16" s="79" t="s">
        <v>1043</v>
      </c>
      <c r="B16" s="627">
        <v>6</v>
      </c>
      <c r="C16" s="627">
        <v>6</v>
      </c>
      <c r="D16" s="627">
        <v>6</v>
      </c>
      <c r="E16" s="627">
        <v>6</v>
      </c>
      <c r="F16" s="676">
        <v>75</v>
      </c>
      <c r="G16" s="656">
        <f t="shared" si="1"/>
        <v>480</v>
      </c>
      <c r="H16" s="657">
        <f t="shared" si="2"/>
        <v>555</v>
      </c>
      <c r="I16" s="649"/>
      <c r="J16" s="649"/>
      <c r="K16" s="78"/>
      <c r="L16" s="78"/>
      <c r="M16" s="78"/>
      <c r="N16" s="78"/>
      <c r="O16" s="78"/>
      <c r="P16" s="78"/>
      <c r="Q16" s="78"/>
      <c r="R16" s="78"/>
    </row>
    <row r="17" spans="1:18" ht="15.5" x14ac:dyDescent="0.35">
      <c r="A17" s="79" t="s">
        <v>998</v>
      </c>
      <c r="B17" s="627">
        <v>6</v>
      </c>
      <c r="C17" s="627">
        <v>6</v>
      </c>
      <c r="D17" s="627">
        <v>6</v>
      </c>
      <c r="E17" s="627">
        <v>6</v>
      </c>
      <c r="F17" s="676">
        <v>75</v>
      </c>
      <c r="G17" s="656">
        <f t="shared" si="1"/>
        <v>480</v>
      </c>
      <c r="H17" s="657">
        <f t="shared" si="2"/>
        <v>555</v>
      </c>
      <c r="I17" s="649"/>
      <c r="J17" s="649"/>
      <c r="K17" s="78"/>
      <c r="L17" s="78"/>
      <c r="M17" s="78"/>
      <c r="N17" s="78"/>
      <c r="O17" s="78"/>
      <c r="P17" s="78"/>
      <c r="Q17" s="78"/>
      <c r="R17" s="78"/>
    </row>
    <row r="18" spans="1:18" ht="15.5" x14ac:dyDescent="0.35">
      <c r="A18" s="637" t="s">
        <v>1000</v>
      </c>
      <c r="B18" s="627">
        <v>6</v>
      </c>
      <c r="C18" s="627">
        <v>6</v>
      </c>
      <c r="D18" s="627">
        <v>6</v>
      </c>
      <c r="E18" s="627">
        <v>6</v>
      </c>
      <c r="F18" s="676">
        <v>75</v>
      </c>
      <c r="G18" s="656">
        <f t="shared" si="1"/>
        <v>480</v>
      </c>
      <c r="H18" s="657">
        <f t="shared" si="2"/>
        <v>555</v>
      </c>
      <c r="I18" s="649"/>
      <c r="J18" s="649"/>
      <c r="K18" s="78"/>
      <c r="L18" s="78"/>
      <c r="M18" s="78"/>
      <c r="N18" s="78"/>
      <c r="O18" s="78"/>
      <c r="P18" s="78"/>
      <c r="Q18" s="78"/>
      <c r="R18" s="78"/>
    </row>
    <row r="19" spans="1:18" ht="15.5" x14ac:dyDescent="0.35">
      <c r="A19" s="637" t="s">
        <v>1042</v>
      </c>
      <c r="B19" s="627">
        <v>6</v>
      </c>
      <c r="C19" s="627">
        <v>6</v>
      </c>
      <c r="D19" s="627">
        <v>6</v>
      </c>
      <c r="E19" s="627">
        <v>6</v>
      </c>
      <c r="F19" s="676">
        <v>75</v>
      </c>
      <c r="G19" s="656">
        <f t="shared" si="1"/>
        <v>480</v>
      </c>
      <c r="H19" s="657">
        <f t="shared" si="2"/>
        <v>555</v>
      </c>
      <c r="I19" s="631"/>
      <c r="J19" s="631"/>
      <c r="K19" s="78"/>
      <c r="L19" s="78"/>
      <c r="M19" s="78"/>
      <c r="N19" s="78"/>
      <c r="O19" s="78"/>
      <c r="P19" s="78"/>
      <c r="Q19" s="78"/>
      <c r="R19" s="78"/>
    </row>
    <row r="20" spans="1:18" ht="15.5" x14ac:dyDescent="0.35">
      <c r="A20" s="629"/>
      <c r="B20" s="629"/>
      <c r="C20" s="629"/>
      <c r="D20" s="629"/>
      <c r="E20" s="629"/>
      <c r="F20" s="629"/>
      <c r="G20" s="656">
        <f>SUM(G4:G19)</f>
        <v>7680</v>
      </c>
      <c r="H20" s="656">
        <f>SUM(H4:H19)</f>
        <v>8880</v>
      </c>
      <c r="I20" s="649"/>
      <c r="J20" s="649"/>
      <c r="K20" s="78">
        <v>6</v>
      </c>
      <c r="L20" s="78">
        <v>6</v>
      </c>
      <c r="M20" s="78"/>
      <c r="N20" s="78">
        <v>6</v>
      </c>
      <c r="O20" s="78">
        <v>6</v>
      </c>
      <c r="P20" s="78">
        <v>6</v>
      </c>
      <c r="Q20" s="78">
        <v>6</v>
      </c>
      <c r="R20" s="78"/>
    </row>
    <row r="21" spans="1:18" ht="15.5" x14ac:dyDescent="0.35">
      <c r="A21" s="78"/>
      <c r="B21" s="78"/>
      <c r="C21" s="78"/>
      <c r="D21" s="78"/>
      <c r="E21" s="78"/>
      <c r="F21" s="78"/>
      <c r="G21" s="78"/>
      <c r="H21" s="649"/>
      <c r="I21" s="649"/>
      <c r="J21" s="649"/>
      <c r="K21" s="78"/>
      <c r="L21" s="78"/>
      <c r="M21" s="78"/>
      <c r="N21" s="78"/>
      <c r="O21" s="78"/>
      <c r="P21" s="78"/>
      <c r="Q21" s="78"/>
      <c r="R21" s="78"/>
    </row>
    <row r="22" spans="1:18" ht="15.5" x14ac:dyDescent="0.35">
      <c r="A22" s="649"/>
      <c r="B22" s="649"/>
      <c r="C22" s="649"/>
      <c r="D22" s="649"/>
      <c r="E22" s="649"/>
      <c r="F22" s="649"/>
      <c r="G22" s="649"/>
      <c r="H22" s="649"/>
      <c r="I22" s="649"/>
      <c r="J22" s="649"/>
      <c r="K22" s="78">
        <v>6</v>
      </c>
      <c r="L22" s="78">
        <v>6</v>
      </c>
      <c r="M22" s="78">
        <v>6</v>
      </c>
      <c r="N22" s="78">
        <v>6</v>
      </c>
      <c r="O22" s="78">
        <v>6</v>
      </c>
      <c r="P22" s="78"/>
      <c r="Q22" s="78">
        <v>6</v>
      </c>
      <c r="R22" s="78"/>
    </row>
    <row r="23" spans="1:18" ht="15.5" x14ac:dyDescent="0.35">
      <c r="A23" s="631"/>
      <c r="B23" s="631"/>
      <c r="C23" s="631"/>
      <c r="D23" s="631"/>
      <c r="E23" s="631"/>
      <c r="F23" s="631"/>
      <c r="G23" s="631"/>
      <c r="H23" s="631"/>
      <c r="I23" s="631"/>
      <c r="J23" s="631"/>
      <c r="K23" s="78"/>
      <c r="L23" s="78"/>
      <c r="M23" s="78"/>
      <c r="N23" s="78"/>
      <c r="O23" s="78"/>
      <c r="P23" s="78"/>
      <c r="Q23" s="78"/>
      <c r="R23" s="78"/>
    </row>
    <row r="24" spans="1:18" ht="15.5" x14ac:dyDescent="0.35">
      <c r="A24" s="78"/>
      <c r="B24" s="78"/>
      <c r="C24" s="649"/>
      <c r="D24" s="649"/>
      <c r="E24" s="649"/>
      <c r="F24" s="649"/>
      <c r="G24" s="649"/>
      <c r="H24" s="649"/>
      <c r="I24" s="649"/>
      <c r="J24" s="649"/>
      <c r="K24" s="78">
        <v>8</v>
      </c>
      <c r="L24" s="78">
        <v>8</v>
      </c>
      <c r="M24" s="78">
        <v>8</v>
      </c>
      <c r="N24" s="78">
        <v>8</v>
      </c>
      <c r="O24" s="78"/>
      <c r="P24" s="78"/>
      <c r="Q24" s="78"/>
      <c r="R24" s="78"/>
    </row>
    <row r="25" spans="1:18" ht="15.5" x14ac:dyDescent="0.35">
      <c r="A25" s="78"/>
      <c r="B25" s="78"/>
      <c r="C25" s="649"/>
      <c r="D25" s="649"/>
      <c r="E25" s="649"/>
      <c r="F25" s="649"/>
      <c r="G25" s="649"/>
      <c r="H25" s="649"/>
      <c r="I25" s="649"/>
      <c r="J25" s="649"/>
      <c r="K25" s="78">
        <v>8</v>
      </c>
      <c r="L25" s="78">
        <v>8</v>
      </c>
      <c r="M25" s="78">
        <v>8</v>
      </c>
      <c r="N25" s="78">
        <v>8</v>
      </c>
      <c r="O25" s="78"/>
      <c r="P25" s="78"/>
      <c r="Q25" s="78"/>
      <c r="R25" s="78"/>
    </row>
    <row r="26" spans="1:18" ht="15.5" x14ac:dyDescent="0.35">
      <c r="A26" s="78"/>
      <c r="B26" s="78"/>
      <c r="C26" s="649"/>
      <c r="D26" s="649"/>
      <c r="E26" s="649"/>
      <c r="F26" s="649"/>
      <c r="G26" s="649"/>
      <c r="H26" s="649"/>
      <c r="I26" s="649"/>
      <c r="J26" s="649"/>
      <c r="K26" s="78">
        <v>8</v>
      </c>
      <c r="L26" s="78">
        <v>8</v>
      </c>
      <c r="M26" s="78">
        <v>8</v>
      </c>
      <c r="N26" s="78">
        <v>8</v>
      </c>
      <c r="O26" s="78"/>
      <c r="P26" s="78"/>
      <c r="Q26" s="78"/>
      <c r="R26" s="78"/>
    </row>
    <row r="27" spans="1:18" ht="15.5" x14ac:dyDescent="0.35">
      <c r="A27" s="78"/>
      <c r="B27" s="78"/>
      <c r="C27" s="649"/>
      <c r="D27" s="649"/>
      <c r="E27" s="649"/>
      <c r="F27" s="649"/>
      <c r="G27" s="649"/>
      <c r="H27" s="649"/>
      <c r="I27" s="649"/>
      <c r="J27" s="649"/>
      <c r="K27" s="78">
        <v>8</v>
      </c>
      <c r="L27" s="78">
        <v>8</v>
      </c>
      <c r="M27" s="78">
        <v>8</v>
      </c>
      <c r="N27" s="78">
        <v>8</v>
      </c>
      <c r="O27" s="78"/>
      <c r="P27" s="78"/>
      <c r="Q27" s="78"/>
      <c r="R27" s="78"/>
    </row>
    <row r="28" spans="1:18" ht="15.5" x14ac:dyDescent="0.35">
      <c r="A28" s="78"/>
      <c r="B28" s="78"/>
      <c r="C28" s="649"/>
      <c r="D28" s="649"/>
      <c r="E28" s="649"/>
      <c r="F28" s="649"/>
      <c r="G28" s="649"/>
      <c r="H28" s="649"/>
      <c r="I28" s="649"/>
      <c r="J28" s="649"/>
      <c r="K28" s="78">
        <v>8</v>
      </c>
      <c r="L28" s="78">
        <v>8</v>
      </c>
      <c r="M28" s="78">
        <v>8</v>
      </c>
      <c r="N28" s="78">
        <v>8</v>
      </c>
      <c r="O28" s="78"/>
      <c r="P28" s="78"/>
      <c r="Q28" s="78"/>
      <c r="R28" s="78"/>
    </row>
    <row r="29" spans="1:18" ht="15.5" x14ac:dyDescent="0.35">
      <c r="A29" s="78"/>
      <c r="B29" s="78"/>
      <c r="C29" s="649"/>
      <c r="D29" s="649"/>
      <c r="E29" s="649"/>
      <c r="F29" s="649"/>
      <c r="G29" s="649"/>
      <c r="H29" s="649"/>
      <c r="I29" s="649"/>
      <c r="J29" s="649"/>
      <c r="K29" s="78">
        <v>8</v>
      </c>
      <c r="L29" s="78">
        <v>8</v>
      </c>
      <c r="M29" s="78">
        <v>8</v>
      </c>
      <c r="N29" s="78">
        <v>8</v>
      </c>
      <c r="O29" s="78"/>
      <c r="P29" s="78"/>
      <c r="Q29" s="78"/>
      <c r="R29" s="78"/>
    </row>
    <row r="30" spans="1:18" ht="15.5" x14ac:dyDescent="0.35">
      <c r="A30" s="78"/>
      <c r="B30" s="78"/>
      <c r="C30" s="649"/>
      <c r="D30" s="649"/>
      <c r="E30" s="649"/>
      <c r="F30" s="649"/>
      <c r="G30" s="649"/>
      <c r="H30" s="649"/>
      <c r="I30" s="649"/>
      <c r="J30" s="649"/>
      <c r="K30" s="78"/>
      <c r="L30" s="78"/>
      <c r="M30" s="78"/>
      <c r="N30" s="78"/>
      <c r="O30" s="78"/>
      <c r="P30" s="78"/>
      <c r="Q30" s="78"/>
      <c r="R30" s="78"/>
    </row>
    <row r="31" spans="1:18" ht="15.5" x14ac:dyDescent="0.35">
      <c r="A31" s="78"/>
      <c r="B31" s="78"/>
      <c r="C31" s="649"/>
      <c r="D31" s="649"/>
      <c r="E31" s="649"/>
      <c r="F31" s="649"/>
      <c r="G31" s="649"/>
      <c r="H31" s="649"/>
      <c r="I31" s="649"/>
      <c r="J31" s="649"/>
      <c r="K31" s="78"/>
      <c r="L31" s="78"/>
      <c r="M31" s="78"/>
      <c r="N31" s="78"/>
      <c r="O31" s="78"/>
      <c r="P31" s="78"/>
      <c r="Q31" s="78"/>
      <c r="R31" s="78"/>
    </row>
    <row r="32" spans="1:18" ht="15.5" x14ac:dyDescent="0.35">
      <c r="A32" s="78"/>
      <c r="B32" s="78"/>
      <c r="C32" s="649"/>
      <c r="D32" s="649"/>
      <c r="E32" s="649"/>
      <c r="F32" s="649"/>
      <c r="G32" s="649"/>
      <c r="H32" s="649"/>
      <c r="I32" s="649"/>
      <c r="J32" s="649"/>
      <c r="K32" s="78"/>
      <c r="L32" s="78"/>
      <c r="M32" s="78"/>
      <c r="N32" s="78"/>
      <c r="O32" s="78"/>
      <c r="P32" s="78"/>
      <c r="Q32" s="78"/>
      <c r="R32" s="78"/>
    </row>
    <row r="33" spans="1:18" ht="15.5" x14ac:dyDescent="0.35">
      <c r="A33" s="78"/>
      <c r="B33" s="78"/>
      <c r="C33" s="649"/>
      <c r="D33" s="649"/>
      <c r="E33" s="649"/>
      <c r="F33" s="649"/>
      <c r="G33" s="649"/>
      <c r="H33" s="649"/>
      <c r="I33" s="649"/>
      <c r="J33" s="649"/>
      <c r="K33" s="78"/>
      <c r="L33" s="78"/>
      <c r="M33" s="78"/>
      <c r="N33" s="78"/>
      <c r="O33" s="78"/>
      <c r="P33" s="78"/>
      <c r="Q33" s="78"/>
      <c r="R33" s="78"/>
    </row>
    <row r="34" spans="1:18" ht="15.5" x14ac:dyDescent="0.35">
      <c r="A34" s="78"/>
      <c r="B34" s="78"/>
      <c r="C34" s="649"/>
      <c r="D34" s="649"/>
      <c r="E34" s="649"/>
      <c r="F34" s="649"/>
      <c r="G34" s="649"/>
      <c r="H34" s="649"/>
      <c r="I34" s="649"/>
      <c r="J34" s="649"/>
      <c r="K34" s="78"/>
      <c r="L34" s="78"/>
      <c r="M34" s="78"/>
      <c r="N34" s="78"/>
      <c r="O34" s="78"/>
      <c r="P34" s="78"/>
      <c r="Q34" s="78"/>
      <c r="R34" s="78"/>
    </row>
    <row r="35" spans="1:18" ht="15.5" x14ac:dyDescent="0.35">
      <c r="A35" s="78"/>
      <c r="B35" s="78"/>
      <c r="C35" s="631"/>
      <c r="D35" s="631"/>
      <c r="E35" s="631"/>
      <c r="F35" s="631"/>
      <c r="G35" s="631"/>
      <c r="H35" s="631"/>
      <c r="I35" s="631"/>
      <c r="J35" s="631"/>
      <c r="K35" s="78"/>
      <c r="L35" s="78"/>
      <c r="M35" s="78"/>
      <c r="N35" s="78"/>
      <c r="O35" s="78"/>
      <c r="P35" s="78"/>
      <c r="Q35" s="78"/>
      <c r="R35" s="78"/>
    </row>
    <row r="36" spans="1:18" ht="15.5" x14ac:dyDescent="0.35">
      <c r="A36" s="78"/>
      <c r="B36" s="78"/>
      <c r="C36" s="649"/>
      <c r="D36" s="649"/>
      <c r="E36" s="649"/>
      <c r="F36" s="649"/>
      <c r="G36" s="649"/>
      <c r="H36" s="649"/>
      <c r="I36" s="649"/>
      <c r="J36" s="649"/>
      <c r="K36" s="78">
        <v>12</v>
      </c>
      <c r="L36" s="78">
        <v>12</v>
      </c>
      <c r="M36" s="78">
        <v>12</v>
      </c>
      <c r="N36" s="78">
        <v>12</v>
      </c>
      <c r="O36" s="78">
        <v>12</v>
      </c>
      <c r="P36" s="78"/>
      <c r="Q36" s="78">
        <v>12</v>
      </c>
      <c r="R36" s="78"/>
    </row>
    <row r="37" spans="1:18" ht="15.5" x14ac:dyDescent="0.35">
      <c r="A37" s="78"/>
      <c r="B37" s="78"/>
      <c r="C37" s="631"/>
      <c r="D37" s="631"/>
      <c r="E37" s="631"/>
      <c r="F37" s="631"/>
      <c r="G37" s="631"/>
      <c r="H37" s="631"/>
      <c r="I37" s="631"/>
      <c r="J37" s="631"/>
      <c r="K37" s="78"/>
      <c r="L37" s="78"/>
      <c r="M37" s="78"/>
      <c r="N37" s="78"/>
      <c r="O37" s="78"/>
      <c r="P37" s="78"/>
      <c r="Q37" s="78"/>
      <c r="R37" s="78"/>
    </row>
    <row r="38" spans="1:18" ht="15.5" x14ac:dyDescent="0.35">
      <c r="A38" s="78"/>
      <c r="B38" s="78"/>
      <c r="C38" s="649"/>
      <c r="D38" s="649"/>
      <c r="E38" s="649"/>
      <c r="F38" s="649"/>
      <c r="G38" s="649"/>
      <c r="H38" s="649"/>
      <c r="I38" s="649"/>
      <c r="J38" s="649"/>
      <c r="K38" s="78">
        <v>4</v>
      </c>
      <c r="L38" s="78">
        <v>4</v>
      </c>
      <c r="M38" s="78">
        <v>4</v>
      </c>
      <c r="N38" s="78">
        <v>4</v>
      </c>
      <c r="O38" s="78"/>
      <c r="P38" s="78"/>
      <c r="Q38" s="78"/>
      <c r="R38" s="78"/>
    </row>
    <row r="39" spans="1:18" ht="15.5" x14ac:dyDescent="0.35">
      <c r="A39" s="78"/>
      <c r="B39" s="78"/>
      <c r="C39" s="649"/>
      <c r="D39" s="649"/>
      <c r="E39" s="649"/>
      <c r="F39" s="649"/>
      <c r="G39" s="649"/>
      <c r="H39" s="649"/>
      <c r="I39" s="649"/>
      <c r="J39" s="649"/>
      <c r="K39" s="78"/>
      <c r="L39" s="78"/>
      <c r="M39" s="78"/>
      <c r="N39" s="78"/>
      <c r="O39" s="78"/>
      <c r="P39" s="78"/>
      <c r="Q39" s="78"/>
      <c r="R39" s="78"/>
    </row>
    <row r="40" spans="1:18" ht="15.5" x14ac:dyDescent="0.35">
      <c r="A40" s="78"/>
      <c r="B40" s="78"/>
      <c r="C40" s="631"/>
      <c r="D40" s="631"/>
      <c r="E40" s="631"/>
      <c r="F40" s="631"/>
      <c r="G40" s="631"/>
      <c r="H40" s="631"/>
      <c r="I40" s="631"/>
      <c r="J40" s="631"/>
      <c r="K40" s="78"/>
      <c r="L40" s="78"/>
      <c r="M40" s="78"/>
      <c r="N40" s="78"/>
      <c r="O40" s="78"/>
      <c r="P40" s="78"/>
      <c r="Q40" s="78"/>
      <c r="R40" s="78"/>
    </row>
    <row r="41" spans="1:18" ht="15.5" x14ac:dyDescent="0.35">
      <c r="A41" s="78"/>
      <c r="B41" s="78"/>
      <c r="C41" s="639"/>
      <c r="D41" s="639"/>
      <c r="E41" s="639"/>
      <c r="F41" s="673"/>
      <c r="G41" s="639"/>
      <c r="H41" s="638"/>
      <c r="I41" s="673"/>
      <c r="J41" s="638"/>
      <c r="K41" s="647">
        <v>6</v>
      </c>
      <c r="L41" s="647">
        <v>6</v>
      </c>
      <c r="M41" s="647">
        <v>6</v>
      </c>
      <c r="N41" s="647">
        <v>6</v>
      </c>
      <c r="O41" s="78"/>
      <c r="P41" s="78"/>
      <c r="Q41" s="78"/>
      <c r="R41" s="78"/>
    </row>
    <row r="42" spans="1:18" ht="15.5" x14ac:dyDescent="0.35">
      <c r="A42" s="78"/>
      <c r="B42" s="78"/>
      <c r="C42" s="639"/>
      <c r="D42" s="639"/>
      <c r="E42" s="639"/>
      <c r="F42" s="673"/>
      <c r="G42" s="639"/>
      <c r="H42" s="638"/>
      <c r="I42" s="673"/>
      <c r="J42" s="638"/>
      <c r="K42" s="78">
        <v>6</v>
      </c>
      <c r="L42" s="78">
        <v>6</v>
      </c>
      <c r="M42" s="78">
        <v>6</v>
      </c>
      <c r="N42" s="78">
        <v>6</v>
      </c>
      <c r="O42" s="78"/>
      <c r="P42" s="78"/>
      <c r="Q42" s="78"/>
      <c r="R42" s="78"/>
    </row>
    <row r="43" spans="1:18" ht="15.5" x14ac:dyDescent="0.35">
      <c r="A43" s="78"/>
      <c r="B43" s="649"/>
      <c r="C43" s="649"/>
      <c r="D43" s="649"/>
      <c r="E43" s="649"/>
      <c r="F43" s="649"/>
      <c r="G43" s="649"/>
      <c r="H43" s="649"/>
      <c r="I43" s="649"/>
      <c r="J43" s="649"/>
      <c r="K43" s="78"/>
      <c r="L43" s="78"/>
      <c r="M43" s="78"/>
      <c r="N43" s="78"/>
      <c r="O43" s="78"/>
      <c r="P43" s="78"/>
      <c r="Q43" s="78"/>
      <c r="R43" s="78"/>
    </row>
    <row r="44" spans="1:18" ht="15.5" x14ac:dyDescent="0.35">
      <c r="A44" s="649"/>
      <c r="B44" s="649"/>
      <c r="C44" s="649"/>
      <c r="D44" s="649"/>
      <c r="E44" s="649"/>
      <c r="F44" s="649"/>
      <c r="G44" s="649"/>
      <c r="H44" s="649"/>
      <c r="I44" s="649"/>
      <c r="J44" s="649"/>
      <c r="K44" s="78">
        <v>8</v>
      </c>
      <c r="L44" s="78">
        <v>8</v>
      </c>
      <c r="M44" s="78">
        <v>8</v>
      </c>
      <c r="N44" s="78">
        <v>8</v>
      </c>
      <c r="O44" s="78"/>
      <c r="P44" s="78"/>
      <c r="Q44" s="78"/>
      <c r="R44" s="78"/>
    </row>
    <row r="45" spans="1:18" ht="15.5" x14ac:dyDescent="0.35">
      <c r="A45" s="631"/>
      <c r="B45" s="631"/>
      <c r="C45" s="631"/>
      <c r="D45" s="631"/>
      <c r="E45" s="631"/>
      <c r="F45" s="631"/>
      <c r="G45" s="631"/>
      <c r="H45" s="631"/>
      <c r="I45" s="631"/>
      <c r="J45" s="631"/>
      <c r="K45" s="78"/>
      <c r="L45" s="78"/>
      <c r="M45" s="78"/>
      <c r="N45" s="78"/>
      <c r="O45" s="78"/>
      <c r="P45" s="78"/>
      <c r="Q45" s="78"/>
      <c r="R45" s="78"/>
    </row>
    <row r="46" spans="1:18" ht="15.5" x14ac:dyDescent="0.35">
      <c r="A46" s="649"/>
      <c r="B46" s="649"/>
      <c r="C46" s="649"/>
      <c r="D46" s="649"/>
      <c r="E46" s="649"/>
      <c r="F46" s="649"/>
      <c r="G46" s="649"/>
      <c r="H46" s="649"/>
      <c r="I46" s="649"/>
      <c r="J46" s="649"/>
      <c r="K46" s="78">
        <v>6</v>
      </c>
      <c r="L46" s="78">
        <v>6</v>
      </c>
      <c r="M46" s="78">
        <v>6</v>
      </c>
      <c r="N46" s="78">
        <v>6</v>
      </c>
      <c r="O46" s="78"/>
      <c r="P46" s="78"/>
      <c r="Q46" s="78"/>
      <c r="R46" s="78"/>
    </row>
    <row r="47" spans="1:18" ht="15.5" x14ac:dyDescent="0.35">
      <c r="A47" s="649"/>
      <c r="B47" s="649"/>
      <c r="C47" s="649"/>
      <c r="D47" s="649"/>
      <c r="E47" s="649"/>
      <c r="F47" s="649"/>
      <c r="G47" s="649"/>
      <c r="H47" s="649"/>
      <c r="I47" s="649"/>
      <c r="J47" s="649"/>
      <c r="K47" s="78">
        <v>6</v>
      </c>
      <c r="L47" s="78">
        <v>6</v>
      </c>
      <c r="M47" s="78">
        <v>6</v>
      </c>
      <c r="N47" s="78">
        <v>6</v>
      </c>
      <c r="O47" s="78"/>
      <c r="P47" s="78"/>
      <c r="Q47" s="78"/>
      <c r="R47" s="78"/>
    </row>
    <row r="48" spans="1:18" ht="15.5" x14ac:dyDescent="0.35">
      <c r="A48" s="649"/>
      <c r="B48" s="649"/>
      <c r="C48" s="649"/>
      <c r="D48" s="649"/>
      <c r="E48" s="649"/>
      <c r="F48" s="649"/>
      <c r="G48" s="649"/>
      <c r="H48" s="649"/>
      <c r="I48" s="649"/>
      <c r="J48" s="649"/>
      <c r="K48" s="78"/>
      <c r="L48" s="78"/>
      <c r="M48" s="78"/>
      <c r="N48" s="78"/>
      <c r="O48" s="78"/>
      <c r="P48" s="78"/>
      <c r="Q48" s="78"/>
      <c r="R48" s="78"/>
    </row>
    <row r="49" spans="1:18" ht="15.5" x14ac:dyDescent="0.35">
      <c r="A49" s="649"/>
      <c r="B49" s="649"/>
      <c r="C49" s="649"/>
      <c r="D49" s="649"/>
      <c r="E49" s="649"/>
      <c r="F49" s="649"/>
      <c r="G49" s="649"/>
      <c r="H49" s="649"/>
      <c r="I49" s="649"/>
      <c r="J49" s="649"/>
      <c r="K49" s="78">
        <v>12</v>
      </c>
      <c r="L49" s="78">
        <v>12</v>
      </c>
      <c r="M49" s="78">
        <v>12</v>
      </c>
      <c r="N49" s="78">
        <v>12</v>
      </c>
      <c r="O49" s="78"/>
      <c r="P49" s="78"/>
      <c r="Q49" s="78"/>
      <c r="R49" s="78"/>
    </row>
    <row r="50" spans="1:18" ht="15.5" x14ac:dyDescent="0.35">
      <c r="A50" s="649"/>
      <c r="B50" s="649"/>
      <c r="C50" s="649"/>
      <c r="D50" s="649"/>
      <c r="E50" s="649"/>
      <c r="F50" s="649"/>
      <c r="G50" s="649"/>
      <c r="H50" s="649"/>
      <c r="I50" s="649"/>
      <c r="J50" s="649"/>
      <c r="K50" s="78">
        <v>12</v>
      </c>
      <c r="L50" s="78">
        <v>12</v>
      </c>
      <c r="M50" s="78">
        <v>12</v>
      </c>
      <c r="N50" s="78">
        <v>12</v>
      </c>
      <c r="O50" s="78"/>
      <c r="P50" s="78"/>
      <c r="Q50" s="78"/>
      <c r="R50" s="78"/>
    </row>
    <row r="51" spans="1:18" ht="15.5" x14ac:dyDescent="0.35">
      <c r="A51" s="649"/>
      <c r="B51" s="649"/>
      <c r="C51" s="649"/>
      <c r="D51" s="649"/>
      <c r="E51" s="649"/>
      <c r="F51" s="649"/>
      <c r="G51" s="649"/>
      <c r="H51" s="649"/>
      <c r="I51" s="649"/>
      <c r="J51" s="649"/>
      <c r="K51" s="78">
        <v>12</v>
      </c>
      <c r="L51" s="78">
        <v>12</v>
      </c>
      <c r="M51" s="78">
        <v>12</v>
      </c>
      <c r="N51" s="78">
        <v>12</v>
      </c>
      <c r="O51" s="78"/>
      <c r="P51" s="78"/>
      <c r="Q51" s="78"/>
      <c r="R51" s="78"/>
    </row>
    <row r="52" spans="1:18" ht="15.5" x14ac:dyDescent="0.35">
      <c r="A52" s="649"/>
      <c r="B52" s="649"/>
      <c r="C52" s="649"/>
      <c r="D52" s="649"/>
      <c r="E52" s="649"/>
      <c r="F52" s="649"/>
      <c r="G52" s="649"/>
      <c r="H52" s="649"/>
      <c r="I52" s="649"/>
      <c r="J52" s="649"/>
      <c r="K52" s="78">
        <v>12</v>
      </c>
      <c r="L52" s="78">
        <v>12</v>
      </c>
      <c r="M52" s="78">
        <v>12</v>
      </c>
      <c r="N52" s="78">
        <v>12</v>
      </c>
      <c r="O52" s="78"/>
      <c r="P52" s="78"/>
      <c r="Q52" s="78"/>
      <c r="R52" s="78"/>
    </row>
    <row r="53" spans="1:18" ht="15.5" x14ac:dyDescent="0.35">
      <c r="A53" s="649"/>
      <c r="B53" s="649"/>
      <c r="C53" s="649"/>
      <c r="D53" s="649"/>
      <c r="E53" s="649"/>
      <c r="F53" s="649"/>
      <c r="G53" s="649"/>
      <c r="H53" s="649"/>
      <c r="I53" s="649"/>
      <c r="J53" s="649"/>
      <c r="K53" s="78"/>
      <c r="L53" s="78"/>
      <c r="M53" s="78"/>
      <c r="N53" s="78"/>
      <c r="O53" s="78"/>
      <c r="P53" s="78"/>
      <c r="Q53" s="78"/>
      <c r="R53" s="78"/>
    </row>
    <row r="54" spans="1:18" ht="15.5" x14ac:dyDescent="0.35">
      <c r="A54" s="649"/>
      <c r="B54" s="649"/>
      <c r="C54" s="649"/>
      <c r="D54" s="649"/>
      <c r="E54" s="649"/>
      <c r="F54" s="649"/>
      <c r="G54" s="649"/>
      <c r="H54" s="649"/>
      <c r="I54" s="649"/>
      <c r="J54" s="649"/>
      <c r="K54" s="78">
        <v>8</v>
      </c>
      <c r="L54" s="78">
        <v>8</v>
      </c>
      <c r="M54" s="78">
        <v>8</v>
      </c>
      <c r="N54" s="78">
        <v>8</v>
      </c>
      <c r="O54" s="631"/>
      <c r="P54" s="631"/>
      <c r="Q54" s="631"/>
      <c r="R54" s="631"/>
    </row>
    <row r="55" spans="1:18" ht="15.5" x14ac:dyDescent="0.35">
      <c r="A55" s="649"/>
      <c r="B55" s="649"/>
      <c r="C55" s="649"/>
      <c r="D55" s="649"/>
      <c r="E55" s="649"/>
      <c r="F55" s="649"/>
      <c r="G55" s="649"/>
      <c r="H55" s="649"/>
      <c r="I55" s="649"/>
      <c r="J55" s="649"/>
      <c r="K55" s="78">
        <v>8</v>
      </c>
      <c r="L55" s="78">
        <v>8</v>
      </c>
      <c r="M55" s="78">
        <v>8</v>
      </c>
      <c r="N55" s="78">
        <v>8</v>
      </c>
      <c r="O55" s="646"/>
      <c r="P55" s="646"/>
      <c r="Q55" s="646"/>
      <c r="R55" s="646"/>
    </row>
    <row r="56" spans="1:18" ht="15.5" x14ac:dyDescent="0.35">
      <c r="A56" s="631"/>
      <c r="B56" s="631"/>
      <c r="C56" s="631"/>
      <c r="D56" s="631"/>
      <c r="E56" s="631"/>
      <c r="F56" s="631"/>
      <c r="G56" s="631"/>
      <c r="H56" s="631"/>
      <c r="I56" s="631"/>
      <c r="J56" s="631"/>
      <c r="K56" s="647"/>
      <c r="L56" s="78"/>
      <c r="M56" s="78"/>
      <c r="N56" s="78"/>
      <c r="O56" s="78"/>
      <c r="P56" s="78"/>
      <c r="Q56" s="78"/>
      <c r="R56" s="78"/>
    </row>
    <row r="57" spans="1:18" ht="15.5" x14ac:dyDescent="0.35">
      <c r="A57" s="649"/>
      <c r="B57" s="649"/>
      <c r="C57" s="649"/>
      <c r="D57" s="649"/>
      <c r="E57" s="649"/>
      <c r="F57" s="649"/>
      <c r="G57" s="649"/>
      <c r="H57" s="649"/>
      <c r="I57" s="649"/>
      <c r="J57" s="649"/>
      <c r="K57" s="647">
        <v>12</v>
      </c>
      <c r="L57" s="647">
        <v>12</v>
      </c>
      <c r="M57" s="647">
        <v>12</v>
      </c>
      <c r="N57" s="647">
        <v>12</v>
      </c>
      <c r="O57" s="78"/>
      <c r="P57" s="78">
        <v>12</v>
      </c>
      <c r="Q57" s="78"/>
      <c r="R57" s="78">
        <v>12</v>
      </c>
    </row>
    <row r="58" spans="1:18" ht="15.5" x14ac:dyDescent="0.35">
      <c r="A58" s="649"/>
      <c r="B58" s="649"/>
      <c r="C58" s="649"/>
      <c r="D58" s="649"/>
      <c r="E58" s="649"/>
      <c r="F58" s="649"/>
      <c r="G58" s="649"/>
      <c r="H58" s="649"/>
      <c r="I58" s="649"/>
      <c r="J58" s="649"/>
      <c r="K58" s="647"/>
      <c r="L58" s="78"/>
      <c r="M58" s="78"/>
      <c r="N58" s="78"/>
      <c r="O58" s="78"/>
      <c r="P58" s="78"/>
      <c r="Q58" s="78"/>
      <c r="R58" s="78"/>
    </row>
    <row r="59" spans="1:18" ht="15.5" x14ac:dyDescent="0.35">
      <c r="A59" s="649"/>
      <c r="B59" s="649"/>
      <c r="C59" s="649"/>
      <c r="D59" s="649"/>
      <c r="E59" s="649"/>
      <c r="F59" s="649"/>
      <c r="G59" s="649"/>
      <c r="H59" s="649"/>
      <c r="I59" s="649"/>
      <c r="J59" s="649"/>
      <c r="K59" s="647"/>
      <c r="L59" s="78"/>
      <c r="M59" s="78"/>
      <c r="N59" s="78"/>
      <c r="O59" s="78"/>
      <c r="P59" s="78"/>
      <c r="Q59" s="78"/>
      <c r="R59" s="78"/>
    </row>
    <row r="60" spans="1:18" ht="15.5" x14ac:dyDescent="0.35">
      <c r="A60" s="649"/>
      <c r="B60" s="649"/>
      <c r="C60" s="649"/>
      <c r="D60" s="649"/>
      <c r="E60" s="649"/>
      <c r="F60" s="649"/>
      <c r="G60" s="649"/>
      <c r="H60" s="649"/>
      <c r="I60" s="649"/>
      <c r="J60" s="649"/>
      <c r="K60" s="647"/>
      <c r="L60" s="78"/>
      <c r="M60" s="78"/>
      <c r="N60" s="78"/>
      <c r="O60" s="78"/>
      <c r="P60" s="78"/>
      <c r="Q60" s="78"/>
      <c r="R60" s="78"/>
    </row>
    <row r="61" spans="1:18" ht="15.5" x14ac:dyDescent="0.35">
      <c r="A61" s="649"/>
      <c r="B61" s="649"/>
      <c r="C61" s="649"/>
      <c r="D61" s="649"/>
      <c r="E61" s="649"/>
      <c r="F61" s="649"/>
      <c r="G61" s="649"/>
      <c r="H61" s="649"/>
      <c r="I61" s="649"/>
      <c r="J61" s="649"/>
      <c r="K61" s="647"/>
      <c r="L61" s="78"/>
      <c r="M61" s="78"/>
      <c r="N61" s="78"/>
      <c r="O61" s="78"/>
      <c r="P61" s="78"/>
      <c r="Q61" s="78"/>
      <c r="R61" s="78"/>
    </row>
    <row r="62" spans="1:18" ht="15.5" x14ac:dyDescent="0.35">
      <c r="A62" s="649"/>
      <c r="B62" s="649"/>
      <c r="C62" s="649"/>
      <c r="D62" s="649"/>
      <c r="E62" s="649"/>
      <c r="F62" s="649"/>
      <c r="G62" s="649"/>
      <c r="H62" s="649"/>
      <c r="I62" s="649"/>
      <c r="J62" s="649"/>
      <c r="K62" s="647">
        <v>8</v>
      </c>
      <c r="L62" s="647">
        <v>8</v>
      </c>
      <c r="M62" s="647">
        <v>8</v>
      </c>
      <c r="N62" s="647">
        <v>8</v>
      </c>
      <c r="O62" s="78"/>
      <c r="P62" s="78"/>
      <c r="Q62" s="78"/>
      <c r="R62" s="78"/>
    </row>
    <row r="63" spans="1:18" ht="15.5" x14ac:dyDescent="0.35">
      <c r="A63" s="631"/>
      <c r="B63" s="631"/>
      <c r="C63" s="631"/>
      <c r="D63" s="631"/>
      <c r="E63" s="631"/>
      <c r="F63" s="631"/>
      <c r="G63" s="631"/>
      <c r="H63" s="631"/>
      <c r="I63" s="631"/>
      <c r="J63" s="631"/>
      <c r="K63" s="78"/>
      <c r="L63" s="78"/>
      <c r="M63" s="78"/>
      <c r="N63" s="78"/>
      <c r="O63" s="78"/>
      <c r="P63" s="78"/>
      <c r="Q63" s="78"/>
      <c r="R63" s="78"/>
    </row>
    <row r="64" spans="1:18" ht="15.5" x14ac:dyDescent="0.35">
      <c r="A64" s="649"/>
      <c r="B64" s="649"/>
      <c r="C64" s="649"/>
      <c r="D64" s="649"/>
      <c r="E64" s="649"/>
      <c r="F64" s="649"/>
      <c r="G64" s="649"/>
      <c r="H64" s="649"/>
      <c r="I64" s="649"/>
      <c r="J64" s="649"/>
      <c r="K64" s="78"/>
      <c r="L64" s="78"/>
      <c r="M64" s="78"/>
      <c r="N64" s="78"/>
      <c r="O64" s="78"/>
      <c r="P64" s="78"/>
      <c r="Q64" s="78"/>
      <c r="R64" s="78"/>
    </row>
    <row r="65" spans="1:18" ht="15.5" x14ac:dyDescent="0.35">
      <c r="A65" s="649"/>
      <c r="B65" s="649"/>
      <c r="C65" s="649"/>
      <c r="D65" s="649"/>
      <c r="E65" s="649"/>
      <c r="F65" s="649"/>
      <c r="G65" s="649"/>
      <c r="H65" s="649"/>
      <c r="I65" s="649"/>
      <c r="J65" s="649"/>
      <c r="K65" s="78"/>
      <c r="L65" s="78"/>
      <c r="M65" s="78"/>
      <c r="N65" s="78"/>
      <c r="O65" s="78"/>
      <c r="P65" s="78"/>
      <c r="Q65" s="78"/>
      <c r="R65" s="78"/>
    </row>
    <row r="66" spans="1:18" ht="15.5" x14ac:dyDescent="0.35">
      <c r="A66" s="649"/>
      <c r="B66" s="649"/>
      <c r="C66" s="649"/>
      <c r="D66" s="649"/>
      <c r="E66" s="649"/>
      <c r="F66" s="649"/>
      <c r="G66" s="649"/>
      <c r="H66" s="649"/>
      <c r="I66" s="649"/>
      <c r="J66" s="649"/>
      <c r="K66" s="78">
        <v>8</v>
      </c>
      <c r="L66" s="78">
        <v>8</v>
      </c>
      <c r="M66" s="78">
        <v>8</v>
      </c>
      <c r="N66" s="78">
        <v>8</v>
      </c>
      <c r="O66" s="78"/>
      <c r="P66" s="78"/>
      <c r="Q66" s="78"/>
      <c r="R66" s="78"/>
    </row>
    <row r="67" spans="1:18" ht="15.5" x14ac:dyDescent="0.35">
      <c r="A67" s="631"/>
      <c r="B67" s="631"/>
      <c r="C67" s="631"/>
      <c r="D67" s="631"/>
      <c r="E67" s="631"/>
      <c r="F67" s="631"/>
      <c r="G67" s="631"/>
      <c r="H67" s="631"/>
      <c r="I67" s="631"/>
      <c r="J67" s="631"/>
      <c r="K67" s="78"/>
      <c r="L67" s="78"/>
      <c r="M67" s="78"/>
      <c r="N67" s="78"/>
      <c r="O67" s="78"/>
      <c r="P67" s="78"/>
      <c r="Q67" s="78"/>
      <c r="R67" s="78"/>
    </row>
    <row r="68" spans="1:18" ht="15.5" x14ac:dyDescent="0.35">
      <c r="A68" s="649"/>
      <c r="B68" s="649"/>
      <c r="C68" s="649"/>
      <c r="D68" s="649"/>
      <c r="E68" s="649"/>
      <c r="F68" s="649"/>
      <c r="G68" s="649"/>
      <c r="H68" s="649"/>
      <c r="I68" s="649"/>
      <c r="J68" s="649"/>
      <c r="K68" s="78">
        <v>4</v>
      </c>
      <c r="L68" s="78">
        <v>4</v>
      </c>
      <c r="M68" s="78">
        <v>4</v>
      </c>
      <c r="N68" s="78">
        <v>4</v>
      </c>
      <c r="O68" s="78"/>
      <c r="P68" s="78"/>
      <c r="Q68" s="78"/>
      <c r="R68" s="78"/>
    </row>
    <row r="69" spans="1:18" ht="15.5" x14ac:dyDescent="0.35">
      <c r="A69" s="649"/>
      <c r="B69" s="649"/>
      <c r="C69" s="649"/>
      <c r="D69" s="649"/>
      <c r="E69" s="649"/>
      <c r="F69" s="649"/>
      <c r="G69" s="649"/>
      <c r="H69" s="649"/>
      <c r="I69" s="649"/>
      <c r="J69" s="649"/>
      <c r="K69" s="78">
        <v>4</v>
      </c>
      <c r="L69" s="78">
        <v>4</v>
      </c>
      <c r="M69" s="78">
        <v>4</v>
      </c>
      <c r="N69" s="78">
        <v>4</v>
      </c>
      <c r="O69" s="78"/>
      <c r="P69" s="78"/>
      <c r="Q69" s="78"/>
      <c r="R69" s="78"/>
    </row>
  </sheetData>
  <mergeCells count="4">
    <mergeCell ref="A1:A3"/>
    <mergeCell ref="F1:F3"/>
    <mergeCell ref="G1:G3"/>
    <mergeCell ref="H1:H3"/>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2.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67"/>
  <sheetViews>
    <sheetView topLeftCell="A52" workbookViewId="0">
      <selection activeCell="W68" sqref="W68"/>
    </sheetView>
  </sheetViews>
  <sheetFormatPr defaultRowHeight="12.5" x14ac:dyDescent="0.25"/>
  <cols>
    <col min="1" max="1" width="18.453125" style="19" customWidth="1"/>
    <col min="2" max="2" width="5" style="19" customWidth="1"/>
    <col min="3" max="3" width="6" style="19" customWidth="1"/>
    <col min="5" max="5" width="20.36328125" bestFit="1" customWidth="1"/>
    <col min="6" max="6" width="5.08984375" bestFit="1" customWidth="1"/>
  </cols>
  <sheetData>
    <row r="1" spans="1:10" ht="15.5" x14ac:dyDescent="0.35">
      <c r="A1" s="788" t="s">
        <v>55</v>
      </c>
      <c r="B1" s="788"/>
      <c r="C1" s="788"/>
      <c r="D1" s="788"/>
      <c r="E1" s="788"/>
      <c r="F1" s="788"/>
      <c r="G1" s="788"/>
      <c r="H1" s="26"/>
      <c r="I1" s="26"/>
      <c r="J1" s="26"/>
    </row>
    <row r="2" spans="1:10" ht="13" x14ac:dyDescent="0.3">
      <c r="A2" s="92"/>
      <c r="B2" s="27" t="s">
        <v>48</v>
      </c>
      <c r="C2" s="28" t="s">
        <v>49</v>
      </c>
      <c r="D2" s="29"/>
      <c r="F2" s="27" t="s">
        <v>96</v>
      </c>
      <c r="G2" s="28" t="s">
        <v>49</v>
      </c>
    </row>
    <row r="3" spans="1:10" x14ac:dyDescent="0.25">
      <c r="A3" s="17" t="s">
        <v>26</v>
      </c>
      <c r="B3" s="282">
        <v>1990</v>
      </c>
      <c r="C3" s="261">
        <v>119.5</v>
      </c>
      <c r="E3" s="17" t="s">
        <v>20</v>
      </c>
      <c r="F3" s="282">
        <v>1990</v>
      </c>
      <c r="G3" s="261">
        <v>334</v>
      </c>
    </row>
    <row r="4" spans="1:10" x14ac:dyDescent="0.25">
      <c r="B4" s="282">
        <v>1991</v>
      </c>
      <c r="C4" s="261">
        <v>270</v>
      </c>
      <c r="E4" s="19"/>
      <c r="F4" s="282">
        <v>1991</v>
      </c>
      <c r="G4" s="261">
        <v>267</v>
      </c>
    </row>
    <row r="5" spans="1:10" x14ac:dyDescent="0.25">
      <c r="B5" s="282">
        <v>1992</v>
      </c>
      <c r="C5" s="261">
        <v>201</v>
      </c>
      <c r="E5" s="19"/>
      <c r="F5" s="282">
        <v>1992</v>
      </c>
      <c r="G5" s="261">
        <v>277</v>
      </c>
    </row>
    <row r="6" spans="1:10" x14ac:dyDescent="0.25">
      <c r="B6" s="282">
        <v>1993</v>
      </c>
      <c r="C6" s="261">
        <v>240</v>
      </c>
      <c r="E6" s="19"/>
      <c r="F6" s="282">
        <v>1993</v>
      </c>
      <c r="G6" s="261">
        <v>216</v>
      </c>
    </row>
    <row r="7" spans="1:10" x14ac:dyDescent="0.25">
      <c r="B7" s="282">
        <v>1994</v>
      </c>
      <c r="C7" s="93">
        <v>100</v>
      </c>
      <c r="E7" s="19"/>
      <c r="F7" s="282">
        <v>1994</v>
      </c>
      <c r="G7" s="93">
        <v>122</v>
      </c>
    </row>
    <row r="8" spans="1:10" x14ac:dyDescent="0.25">
      <c r="B8" s="283">
        <v>1995</v>
      </c>
      <c r="C8" s="93">
        <v>52</v>
      </c>
      <c r="E8" s="19"/>
      <c r="F8" s="283">
        <v>1995</v>
      </c>
      <c r="G8" s="93">
        <v>73</v>
      </c>
    </row>
    <row r="9" spans="1:10" x14ac:dyDescent="0.25">
      <c r="B9" s="282">
        <v>1996</v>
      </c>
      <c r="C9" s="263">
        <v>66.1875</v>
      </c>
      <c r="E9" s="19"/>
      <c r="F9" s="282">
        <v>1996</v>
      </c>
      <c r="G9" s="263">
        <v>58.5</v>
      </c>
    </row>
    <row r="10" spans="1:10" x14ac:dyDescent="0.25">
      <c r="B10" s="282">
        <v>1997</v>
      </c>
      <c r="C10" s="261">
        <v>85.579818007202547</v>
      </c>
      <c r="E10" s="19"/>
      <c r="F10" s="282">
        <v>1997</v>
      </c>
      <c r="G10" s="261">
        <v>63.093039493995008</v>
      </c>
    </row>
    <row r="11" spans="1:10" x14ac:dyDescent="0.25">
      <c r="B11" s="282">
        <v>1998</v>
      </c>
      <c r="C11" s="261">
        <v>69.2</v>
      </c>
      <c r="E11" s="19"/>
      <c r="F11" s="282">
        <v>1998</v>
      </c>
      <c r="G11" s="261">
        <v>40.799999999999997</v>
      </c>
    </row>
    <row r="12" spans="1:10" x14ac:dyDescent="0.25">
      <c r="B12" s="282">
        <v>1999</v>
      </c>
      <c r="C12" s="261">
        <v>54</v>
      </c>
      <c r="E12" s="19"/>
      <c r="F12" s="282">
        <v>1999</v>
      </c>
      <c r="G12" s="261">
        <v>38</v>
      </c>
    </row>
    <row r="13" spans="1:10" x14ac:dyDescent="0.25">
      <c r="B13" s="282">
        <v>2000</v>
      </c>
      <c r="C13" s="261">
        <v>56</v>
      </c>
      <c r="E13" s="19"/>
      <c r="F13" s="282">
        <v>2000</v>
      </c>
      <c r="G13" s="261">
        <v>37</v>
      </c>
    </row>
    <row r="14" spans="1:10" x14ac:dyDescent="0.25">
      <c r="B14" s="282">
        <v>2001</v>
      </c>
      <c r="C14" s="261">
        <v>64</v>
      </c>
      <c r="E14" s="19"/>
      <c r="F14" s="282">
        <v>2001</v>
      </c>
      <c r="G14" s="261">
        <v>22</v>
      </c>
    </row>
    <row r="15" spans="1:10" x14ac:dyDescent="0.25">
      <c r="B15" s="282">
        <v>2002</v>
      </c>
      <c r="C15" s="261">
        <v>55.5</v>
      </c>
      <c r="E15" s="19"/>
      <c r="F15" s="282">
        <v>2002</v>
      </c>
      <c r="G15" s="261">
        <v>137.30000000000001</v>
      </c>
    </row>
    <row r="16" spans="1:10" ht="13" x14ac:dyDescent="0.3">
      <c r="B16" s="282">
        <v>2003</v>
      </c>
      <c r="C16" s="261">
        <v>52.9</v>
      </c>
      <c r="F16" s="282">
        <v>2003</v>
      </c>
      <c r="G16" s="261">
        <v>113.3</v>
      </c>
      <c r="I16" s="23"/>
    </row>
    <row r="17" spans="1:9" ht="13" x14ac:dyDescent="0.3">
      <c r="B17" s="282">
        <v>2004</v>
      </c>
      <c r="C17" s="261">
        <v>44.3</v>
      </c>
      <c r="F17" s="282">
        <v>2004</v>
      </c>
      <c r="G17" s="261">
        <v>34.1</v>
      </c>
      <c r="I17" s="23"/>
    </row>
    <row r="18" spans="1:9" ht="13" x14ac:dyDescent="0.3">
      <c r="B18" s="282">
        <v>2005</v>
      </c>
      <c r="C18" s="261">
        <v>47</v>
      </c>
      <c r="F18" s="282">
        <v>2005</v>
      </c>
      <c r="G18" s="261">
        <v>44</v>
      </c>
      <c r="I18" s="23"/>
    </row>
    <row r="19" spans="1:9" ht="13" x14ac:dyDescent="0.3">
      <c r="B19" s="282">
        <v>2006</v>
      </c>
      <c r="C19" s="261">
        <v>26</v>
      </c>
      <c r="F19" s="282">
        <v>2006</v>
      </c>
      <c r="G19" s="261">
        <v>21.3</v>
      </c>
      <c r="I19" s="23"/>
    </row>
    <row r="20" spans="1:9" ht="13" x14ac:dyDescent="0.3">
      <c r="B20" s="282">
        <v>2007</v>
      </c>
      <c r="C20" s="261">
        <v>31</v>
      </c>
      <c r="F20" s="282">
        <v>2007</v>
      </c>
      <c r="G20" s="261">
        <v>41</v>
      </c>
      <c r="I20" s="23"/>
    </row>
    <row r="21" spans="1:9" ht="13" x14ac:dyDescent="0.3">
      <c r="B21" s="282">
        <v>2008</v>
      </c>
      <c r="C21" s="261">
        <v>62.2</v>
      </c>
      <c r="F21" s="282">
        <v>2008</v>
      </c>
      <c r="G21" s="261">
        <v>37.700000000000003</v>
      </c>
      <c r="I21" s="23"/>
    </row>
    <row r="22" spans="1:9" ht="13" x14ac:dyDescent="0.3">
      <c r="B22" s="282">
        <v>2009</v>
      </c>
      <c r="C22" s="261">
        <v>35.299999999999997</v>
      </c>
      <c r="F22" s="282">
        <v>2009</v>
      </c>
      <c r="G22" s="261">
        <v>19.100000000000001</v>
      </c>
      <c r="I22" s="23"/>
    </row>
    <row r="23" spans="1:9" ht="13" x14ac:dyDescent="0.3">
      <c r="B23" s="282">
        <v>2010</v>
      </c>
      <c r="C23" s="261">
        <v>38.9</v>
      </c>
      <c r="F23" s="282">
        <v>2010</v>
      </c>
      <c r="G23" s="261">
        <v>45.9</v>
      </c>
      <c r="I23" s="23"/>
    </row>
    <row r="24" spans="1:9" ht="13" x14ac:dyDescent="0.3">
      <c r="B24" s="282">
        <v>2011</v>
      </c>
      <c r="C24" s="261">
        <v>47.9</v>
      </c>
      <c r="F24" s="282">
        <v>2011</v>
      </c>
      <c r="G24" s="261">
        <v>36.9</v>
      </c>
      <c r="I24" s="23"/>
    </row>
    <row r="25" spans="1:9" ht="13" x14ac:dyDescent="0.3">
      <c r="B25" s="282">
        <v>2012</v>
      </c>
      <c r="C25" s="261">
        <v>69.8</v>
      </c>
      <c r="F25" s="282">
        <v>2012</v>
      </c>
      <c r="G25" s="261">
        <v>61.7</v>
      </c>
      <c r="I25" s="23"/>
    </row>
    <row r="26" spans="1:9" ht="13" x14ac:dyDescent="0.3">
      <c r="B26" s="282"/>
      <c r="C26" s="261"/>
      <c r="F26" s="282"/>
      <c r="G26" s="261"/>
      <c r="I26" s="23"/>
    </row>
    <row r="27" spans="1:9" ht="13" x14ac:dyDescent="0.3">
      <c r="A27" s="17" t="s">
        <v>25</v>
      </c>
      <c r="B27" s="17">
        <v>1990</v>
      </c>
      <c r="C27" s="261">
        <v>124.5</v>
      </c>
      <c r="E27" s="17" t="s">
        <v>22</v>
      </c>
      <c r="F27" s="17">
        <v>1991</v>
      </c>
      <c r="G27" s="93"/>
      <c r="I27" s="23"/>
    </row>
    <row r="28" spans="1:9" ht="13" x14ac:dyDescent="0.3">
      <c r="B28" s="17">
        <v>1991</v>
      </c>
      <c r="C28" s="261">
        <v>137.19999999999999</v>
      </c>
      <c r="E28" s="19"/>
      <c r="F28" s="17">
        <v>1992</v>
      </c>
      <c r="G28" s="261">
        <v>121</v>
      </c>
      <c r="I28" s="23"/>
    </row>
    <row r="29" spans="1:9" ht="13" x14ac:dyDescent="0.3">
      <c r="B29" s="17">
        <v>1992</v>
      </c>
      <c r="C29" s="261">
        <v>140.21430000000001</v>
      </c>
      <c r="E29" s="19"/>
      <c r="F29" s="17">
        <v>1993</v>
      </c>
      <c r="G29" s="261">
        <v>146</v>
      </c>
      <c r="I29" s="23"/>
    </row>
    <row r="30" spans="1:9" ht="13" x14ac:dyDescent="0.3">
      <c r="B30" s="17">
        <v>1993</v>
      </c>
      <c r="C30" s="261">
        <v>164</v>
      </c>
      <c r="E30" s="19"/>
      <c r="F30" s="17">
        <v>1994</v>
      </c>
      <c r="G30" s="93">
        <v>69.625</v>
      </c>
      <c r="I30" s="23"/>
    </row>
    <row r="31" spans="1:9" ht="13" x14ac:dyDescent="0.3">
      <c r="B31" s="17">
        <v>1994</v>
      </c>
      <c r="C31" s="93">
        <v>79</v>
      </c>
      <c r="E31" s="19"/>
      <c r="F31" s="262">
        <v>1995</v>
      </c>
      <c r="G31" s="93">
        <v>73</v>
      </c>
      <c r="I31" s="23"/>
    </row>
    <row r="32" spans="1:9" ht="13" x14ac:dyDescent="0.3">
      <c r="B32" s="262">
        <v>1995</v>
      </c>
      <c r="C32" s="93">
        <v>37</v>
      </c>
      <c r="E32" s="19"/>
      <c r="F32" s="17">
        <v>1996</v>
      </c>
      <c r="G32" s="263">
        <v>32.5625</v>
      </c>
      <c r="I32" s="23"/>
    </row>
    <row r="33" spans="1:9" ht="13" x14ac:dyDescent="0.3">
      <c r="B33" s="17">
        <v>1996</v>
      </c>
      <c r="C33" s="263">
        <v>33.0625</v>
      </c>
      <c r="E33" s="19"/>
      <c r="F33" s="17">
        <v>1997</v>
      </c>
      <c r="G33" s="261">
        <v>45.862384843073144</v>
      </c>
      <c r="I33" s="23"/>
    </row>
    <row r="34" spans="1:9" ht="13" x14ac:dyDescent="0.3">
      <c r="B34" s="17">
        <v>1997</v>
      </c>
      <c r="C34" s="261">
        <v>44.577577959420516</v>
      </c>
      <c r="E34" s="19"/>
      <c r="F34" s="17">
        <v>1998</v>
      </c>
      <c r="G34" s="93">
        <v>35</v>
      </c>
      <c r="I34" s="23"/>
    </row>
    <row r="35" spans="1:9" ht="13" x14ac:dyDescent="0.3">
      <c r="B35" s="17">
        <v>1998</v>
      </c>
      <c r="C35" s="261">
        <v>39.799999999999997</v>
      </c>
      <c r="E35" s="19"/>
      <c r="F35" s="17">
        <v>1999</v>
      </c>
      <c r="G35" s="93">
        <v>36</v>
      </c>
      <c r="I35" s="23"/>
    </row>
    <row r="36" spans="1:9" ht="13" x14ac:dyDescent="0.3">
      <c r="B36" s="17">
        <v>1999</v>
      </c>
      <c r="C36" s="261">
        <v>37</v>
      </c>
      <c r="E36" s="19"/>
      <c r="F36" s="17">
        <v>2000</v>
      </c>
      <c r="G36" s="93">
        <v>55</v>
      </c>
      <c r="I36" s="23"/>
    </row>
    <row r="37" spans="1:9" ht="13" x14ac:dyDescent="0.3">
      <c r="B37" s="17">
        <v>2000</v>
      </c>
      <c r="C37" s="261">
        <v>57</v>
      </c>
      <c r="E37" s="19"/>
      <c r="F37" s="17">
        <v>2001</v>
      </c>
      <c r="G37" s="93">
        <v>42</v>
      </c>
      <c r="I37" s="23"/>
    </row>
    <row r="38" spans="1:9" ht="13" x14ac:dyDescent="0.3">
      <c r="B38" s="17">
        <v>2001</v>
      </c>
      <c r="C38" s="261">
        <v>42</v>
      </c>
      <c r="E38" s="19"/>
      <c r="F38" s="17">
        <v>2002</v>
      </c>
      <c r="G38" s="93">
        <v>34</v>
      </c>
      <c r="I38" s="23"/>
    </row>
    <row r="39" spans="1:9" ht="13" x14ac:dyDescent="0.3">
      <c r="B39" s="17">
        <v>2002</v>
      </c>
      <c r="C39" s="261">
        <v>49</v>
      </c>
      <c r="F39" s="17">
        <v>2003</v>
      </c>
      <c r="G39" s="93">
        <v>47.8</v>
      </c>
      <c r="I39" s="23"/>
    </row>
    <row r="40" spans="1:9" ht="13" x14ac:dyDescent="0.3">
      <c r="B40" s="17">
        <v>2003</v>
      </c>
      <c r="C40" s="261">
        <v>46.6</v>
      </c>
      <c r="F40" s="17">
        <v>2004</v>
      </c>
      <c r="G40" s="93">
        <v>30.1</v>
      </c>
      <c r="I40" s="23"/>
    </row>
    <row r="41" spans="1:9" ht="13" x14ac:dyDescent="0.3">
      <c r="B41" s="17">
        <v>2004</v>
      </c>
      <c r="C41" s="261">
        <v>26.9</v>
      </c>
      <c r="E41" s="41" t="s">
        <v>133</v>
      </c>
      <c r="F41" s="17">
        <v>2005</v>
      </c>
      <c r="G41" s="93">
        <v>37</v>
      </c>
      <c r="I41" s="23"/>
    </row>
    <row r="42" spans="1:9" ht="13" x14ac:dyDescent="0.3">
      <c r="B42" s="17">
        <v>2005</v>
      </c>
      <c r="C42" s="261">
        <v>34</v>
      </c>
      <c r="F42" s="264">
        <v>2006</v>
      </c>
      <c r="G42" s="93">
        <v>19.5</v>
      </c>
      <c r="I42" s="23"/>
    </row>
    <row r="43" spans="1:9" ht="13" x14ac:dyDescent="0.3">
      <c r="B43" s="264">
        <v>2006</v>
      </c>
      <c r="C43" s="261">
        <v>24.3</v>
      </c>
      <c r="F43" s="17">
        <v>2007</v>
      </c>
      <c r="G43" s="93">
        <v>36</v>
      </c>
      <c r="I43" s="23"/>
    </row>
    <row r="44" spans="1:9" ht="13" x14ac:dyDescent="0.3">
      <c r="B44" s="17">
        <v>2007</v>
      </c>
      <c r="C44" s="261">
        <v>31</v>
      </c>
      <c r="F44" s="17">
        <v>2008</v>
      </c>
      <c r="I44" s="23"/>
    </row>
    <row r="45" spans="1:9" ht="13" x14ac:dyDescent="0.3">
      <c r="B45" s="17"/>
      <c r="C45" s="261"/>
      <c r="F45" s="17">
        <v>2009</v>
      </c>
      <c r="I45" s="23"/>
    </row>
    <row r="46" spans="1:9" ht="13" x14ac:dyDescent="0.3">
      <c r="B46" s="17"/>
      <c r="C46" s="261"/>
      <c r="I46" s="23"/>
    </row>
    <row r="47" spans="1:9" ht="13" x14ac:dyDescent="0.3">
      <c r="B47" s="17"/>
      <c r="C47" s="261"/>
      <c r="I47" s="23"/>
    </row>
    <row r="48" spans="1:9" ht="13" x14ac:dyDescent="0.3">
      <c r="A48" s="17" t="s">
        <v>24</v>
      </c>
      <c r="B48" s="282">
        <v>1990</v>
      </c>
      <c r="C48" s="261">
        <v>129</v>
      </c>
      <c r="E48" s="17" t="s">
        <v>19</v>
      </c>
      <c r="F48" s="282">
        <v>1990</v>
      </c>
      <c r="G48" s="265">
        <v>537</v>
      </c>
      <c r="I48" s="23"/>
    </row>
    <row r="49" spans="2:9" ht="13" x14ac:dyDescent="0.3">
      <c r="B49" s="282">
        <v>1991</v>
      </c>
      <c r="C49" s="261">
        <v>144</v>
      </c>
      <c r="E49" s="19"/>
      <c r="F49" s="282">
        <v>1991</v>
      </c>
      <c r="G49" s="261">
        <v>383</v>
      </c>
      <c r="I49" s="23"/>
    </row>
    <row r="50" spans="2:9" ht="13" x14ac:dyDescent="0.3">
      <c r="B50" s="282">
        <v>1992</v>
      </c>
      <c r="C50" s="261">
        <v>146</v>
      </c>
      <c r="E50" s="19"/>
      <c r="F50" s="282">
        <v>1992</v>
      </c>
      <c r="G50" s="261">
        <v>362</v>
      </c>
      <c r="I50" s="23"/>
    </row>
    <row r="51" spans="2:9" ht="13" x14ac:dyDescent="0.3">
      <c r="B51" s="282">
        <v>1993</v>
      </c>
      <c r="C51" s="261">
        <v>175</v>
      </c>
      <c r="E51" s="19"/>
      <c r="F51" s="282">
        <v>1993</v>
      </c>
      <c r="G51" s="261">
        <v>269</v>
      </c>
      <c r="I51" s="23"/>
    </row>
    <row r="52" spans="2:9" ht="13" x14ac:dyDescent="0.3">
      <c r="B52" s="282">
        <v>1994</v>
      </c>
      <c r="C52" s="93">
        <v>83</v>
      </c>
      <c r="E52" s="19"/>
      <c r="F52" s="282">
        <v>1994</v>
      </c>
      <c r="G52" s="93">
        <v>91</v>
      </c>
      <c r="I52" s="23"/>
    </row>
    <row r="53" spans="2:9" ht="13" x14ac:dyDescent="0.3">
      <c r="B53" s="283">
        <v>1995</v>
      </c>
      <c r="C53" s="93">
        <v>34</v>
      </c>
      <c r="E53" s="19"/>
      <c r="F53" s="283">
        <v>1995</v>
      </c>
      <c r="G53" s="93">
        <v>47</v>
      </c>
      <c r="I53" s="23"/>
    </row>
    <row r="54" spans="2:9" ht="13" x14ac:dyDescent="0.3">
      <c r="B54" s="282">
        <v>1996</v>
      </c>
      <c r="C54" s="263">
        <v>29.4375</v>
      </c>
      <c r="E54" s="19"/>
      <c r="F54" s="282">
        <v>1996</v>
      </c>
      <c r="G54" s="263">
        <v>16.0625</v>
      </c>
      <c r="I54" s="23"/>
    </row>
    <row r="55" spans="2:9" ht="13" x14ac:dyDescent="0.3">
      <c r="B55" s="282">
        <v>1997</v>
      </c>
      <c r="C55" s="155">
        <v>38</v>
      </c>
      <c r="E55" s="19"/>
      <c r="F55" s="282">
        <v>1997</v>
      </c>
      <c r="G55" s="155">
        <v>80</v>
      </c>
      <c r="I55" s="23"/>
    </row>
    <row r="56" spans="2:9" ht="13" x14ac:dyDescent="0.3">
      <c r="B56" s="282">
        <v>1998</v>
      </c>
      <c r="C56" s="155">
        <v>33.299999999999997</v>
      </c>
      <c r="E56" s="19"/>
      <c r="F56" s="282">
        <v>1998</v>
      </c>
      <c r="G56" s="155">
        <v>33</v>
      </c>
      <c r="I56" s="23"/>
    </row>
    <row r="57" spans="2:9" ht="13" x14ac:dyDescent="0.3">
      <c r="B57" s="282">
        <v>1999</v>
      </c>
      <c r="C57" s="155">
        <v>34</v>
      </c>
      <c r="E57" s="19"/>
      <c r="F57" s="282">
        <v>1999</v>
      </c>
      <c r="G57" s="155">
        <v>47</v>
      </c>
      <c r="I57" s="23"/>
    </row>
    <row r="58" spans="2:9" ht="13" x14ac:dyDescent="0.3">
      <c r="B58" s="282">
        <v>2000</v>
      </c>
      <c r="C58" s="155">
        <v>59</v>
      </c>
      <c r="E58" s="19"/>
      <c r="F58" s="282">
        <v>2000</v>
      </c>
      <c r="G58" s="155">
        <v>19</v>
      </c>
      <c r="I58" s="23"/>
    </row>
    <row r="59" spans="2:9" ht="13" x14ac:dyDescent="0.3">
      <c r="B59" s="282">
        <v>2001</v>
      </c>
      <c r="C59" s="155">
        <v>42</v>
      </c>
      <c r="E59" s="19"/>
      <c r="F59" s="282">
        <v>2001</v>
      </c>
      <c r="G59" s="155">
        <v>22</v>
      </c>
      <c r="I59" s="23"/>
    </row>
    <row r="60" spans="2:9" ht="13" x14ac:dyDescent="0.3">
      <c r="B60" s="282">
        <v>2002</v>
      </c>
      <c r="C60" s="155">
        <v>46.1</v>
      </c>
      <c r="E60" s="19"/>
      <c r="F60" s="282">
        <v>2002</v>
      </c>
      <c r="G60" s="155">
        <v>14.9</v>
      </c>
      <c r="I60" s="23"/>
    </row>
    <row r="61" spans="2:9" ht="13" x14ac:dyDescent="0.3">
      <c r="B61" s="282">
        <v>2003</v>
      </c>
      <c r="C61" s="155">
        <v>49.1</v>
      </c>
      <c r="F61" s="282">
        <v>2003</v>
      </c>
      <c r="G61" s="155">
        <v>22.6</v>
      </c>
      <c r="I61" s="23"/>
    </row>
    <row r="62" spans="2:9" ht="13" x14ac:dyDescent="0.3">
      <c r="B62" s="282">
        <v>2004</v>
      </c>
      <c r="C62" s="155">
        <v>24.3</v>
      </c>
      <c r="F62" s="282">
        <v>2004</v>
      </c>
      <c r="G62" s="155">
        <v>21.7</v>
      </c>
      <c r="I62" s="23"/>
    </row>
    <row r="63" spans="2:9" ht="13" x14ac:dyDescent="0.3">
      <c r="B63" s="282">
        <v>2005</v>
      </c>
      <c r="C63" s="155">
        <v>33</v>
      </c>
      <c r="F63" s="282">
        <v>2005</v>
      </c>
      <c r="G63" s="155">
        <v>23</v>
      </c>
      <c r="I63" s="23"/>
    </row>
    <row r="64" spans="2:9" ht="13" x14ac:dyDescent="0.3">
      <c r="B64" s="282">
        <v>2006</v>
      </c>
      <c r="C64" s="155">
        <v>21.6</v>
      </c>
      <c r="F64" s="282">
        <v>2006</v>
      </c>
      <c r="G64" s="155">
        <v>7.6</v>
      </c>
      <c r="I64" s="23"/>
    </row>
    <row r="65" spans="1:9" ht="13" x14ac:dyDescent="0.3">
      <c r="B65" s="282">
        <v>2007</v>
      </c>
      <c r="C65" s="155">
        <v>30</v>
      </c>
      <c r="F65" s="282">
        <v>2007</v>
      </c>
      <c r="G65" s="155">
        <v>23</v>
      </c>
      <c r="I65" s="23"/>
    </row>
    <row r="66" spans="1:9" ht="13" x14ac:dyDescent="0.3">
      <c r="B66" s="282">
        <v>2008</v>
      </c>
      <c r="C66" s="155">
        <v>39.799999999999997</v>
      </c>
      <c r="F66" s="282">
        <v>2008</v>
      </c>
      <c r="G66" s="155">
        <v>14.8</v>
      </c>
      <c r="I66" s="23"/>
    </row>
    <row r="67" spans="1:9" ht="13" x14ac:dyDescent="0.3">
      <c r="B67" s="282">
        <v>2009</v>
      </c>
      <c r="C67" s="155">
        <v>34.200000000000003</v>
      </c>
      <c r="F67" s="282">
        <v>2009</v>
      </c>
      <c r="G67" s="155">
        <v>35.5</v>
      </c>
      <c r="I67" s="23"/>
    </row>
    <row r="68" spans="1:9" ht="13" x14ac:dyDescent="0.3">
      <c r="B68" s="282">
        <v>2010</v>
      </c>
      <c r="C68" s="155">
        <v>28.3</v>
      </c>
      <c r="F68" s="282">
        <v>2010</v>
      </c>
      <c r="G68" s="155">
        <v>19.3</v>
      </c>
      <c r="I68" s="23"/>
    </row>
    <row r="69" spans="1:9" ht="13" x14ac:dyDescent="0.3">
      <c r="B69" s="282">
        <v>2011</v>
      </c>
      <c r="C69" s="155">
        <v>33.700000000000003</v>
      </c>
      <c r="F69" s="282">
        <v>2011</v>
      </c>
      <c r="G69" s="155">
        <v>12.5</v>
      </c>
      <c r="I69" s="23"/>
    </row>
    <row r="70" spans="1:9" ht="13" x14ac:dyDescent="0.3">
      <c r="B70" s="282">
        <v>2012</v>
      </c>
      <c r="C70" s="155">
        <v>53.4</v>
      </c>
      <c r="F70" s="282">
        <v>2012</v>
      </c>
      <c r="G70" s="155">
        <v>32.299999999999997</v>
      </c>
      <c r="I70" s="23"/>
    </row>
    <row r="71" spans="1:9" ht="13" x14ac:dyDescent="0.3">
      <c r="B71" s="282"/>
      <c r="C71" s="155"/>
      <c r="F71" s="282"/>
      <c r="G71" s="155"/>
      <c r="I71" s="23"/>
    </row>
    <row r="72" spans="1:9" ht="15.5" x14ac:dyDescent="0.35">
      <c r="A72" s="788" t="s">
        <v>55</v>
      </c>
      <c r="B72" s="788"/>
      <c r="C72" s="788"/>
      <c r="D72" s="788"/>
      <c r="E72" s="788"/>
      <c r="F72" s="788"/>
      <c r="G72" s="788"/>
      <c r="I72" s="23"/>
    </row>
    <row r="73" spans="1:9" ht="13" x14ac:dyDescent="0.3">
      <c r="B73" s="27" t="s">
        <v>96</v>
      </c>
      <c r="C73" s="28" t="s">
        <v>49</v>
      </c>
      <c r="F73" s="27" t="s">
        <v>96</v>
      </c>
      <c r="G73" s="28" t="s">
        <v>49</v>
      </c>
      <c r="I73" s="23"/>
    </row>
    <row r="74" spans="1:9" ht="13" x14ac:dyDescent="0.3">
      <c r="A74" s="17" t="s">
        <v>21</v>
      </c>
      <c r="B74" s="282">
        <v>1990</v>
      </c>
      <c r="C74" s="261">
        <v>128</v>
      </c>
      <c r="E74" s="17" t="s">
        <v>53</v>
      </c>
      <c r="F74" s="282">
        <v>1990</v>
      </c>
      <c r="G74" s="93">
        <f t="shared" ref="G74:G96" si="0">(G48+G3)/2</f>
        <v>435.5</v>
      </c>
      <c r="I74" s="23"/>
    </row>
    <row r="75" spans="1:9" ht="13" x14ac:dyDescent="0.3">
      <c r="B75" s="282">
        <v>1991</v>
      </c>
      <c r="C75" s="261">
        <v>181</v>
      </c>
      <c r="E75" s="19"/>
      <c r="F75" s="282">
        <v>1991</v>
      </c>
      <c r="G75" s="93">
        <f t="shared" si="0"/>
        <v>325</v>
      </c>
      <c r="I75" s="23"/>
    </row>
    <row r="76" spans="1:9" ht="13" x14ac:dyDescent="0.3">
      <c r="B76" s="282">
        <v>1992</v>
      </c>
      <c r="C76" s="261">
        <v>157</v>
      </c>
      <c r="E76" s="19"/>
      <c r="F76" s="282">
        <v>1992</v>
      </c>
      <c r="G76" s="93">
        <f t="shared" si="0"/>
        <v>319.5</v>
      </c>
      <c r="I76" s="23"/>
    </row>
    <row r="77" spans="1:9" ht="13" x14ac:dyDescent="0.3">
      <c r="B77" s="282">
        <v>1993</v>
      </c>
      <c r="C77" s="261">
        <v>177</v>
      </c>
      <c r="E77" s="19"/>
      <c r="F77" s="282">
        <v>1993</v>
      </c>
      <c r="G77" s="93">
        <f t="shared" si="0"/>
        <v>242.5</v>
      </c>
      <c r="I77" s="23"/>
    </row>
    <row r="78" spans="1:9" ht="13" x14ac:dyDescent="0.3">
      <c r="B78" s="282">
        <v>1994</v>
      </c>
      <c r="C78" s="93">
        <v>92</v>
      </c>
      <c r="E78" s="19"/>
      <c r="F78" s="282">
        <v>1994</v>
      </c>
      <c r="G78" s="93">
        <f t="shared" si="0"/>
        <v>106.5</v>
      </c>
      <c r="I78" s="23"/>
    </row>
    <row r="79" spans="1:9" ht="13" x14ac:dyDescent="0.3">
      <c r="B79" s="283">
        <v>1995</v>
      </c>
      <c r="C79" s="93">
        <v>36</v>
      </c>
      <c r="E79" s="19"/>
      <c r="F79" s="282">
        <v>1995</v>
      </c>
      <c r="G79" s="93">
        <f t="shared" si="0"/>
        <v>60</v>
      </c>
      <c r="I79" s="23"/>
    </row>
    <row r="80" spans="1:9" ht="13" x14ac:dyDescent="0.3">
      <c r="B80" s="282">
        <v>1996</v>
      </c>
      <c r="C80" s="263">
        <v>34.9375</v>
      </c>
      <c r="E80" s="19"/>
      <c r="F80" s="282">
        <v>1996</v>
      </c>
      <c r="G80" s="93">
        <f t="shared" si="0"/>
        <v>37.28125</v>
      </c>
      <c r="I80" s="23"/>
    </row>
    <row r="81" spans="2:9" ht="13" x14ac:dyDescent="0.3">
      <c r="B81" s="282">
        <v>1997</v>
      </c>
      <c r="C81" s="261">
        <v>39</v>
      </c>
      <c r="E81" s="19"/>
      <c r="F81" s="282">
        <v>1997</v>
      </c>
      <c r="G81" s="93">
        <f t="shared" si="0"/>
        <v>71.546519746997504</v>
      </c>
      <c r="I81" s="23"/>
    </row>
    <row r="82" spans="2:9" ht="13" x14ac:dyDescent="0.3">
      <c r="B82" s="282">
        <v>1998</v>
      </c>
      <c r="C82" s="261">
        <v>34.5</v>
      </c>
      <c r="E82" s="19"/>
      <c r="F82" s="282">
        <v>1998</v>
      </c>
      <c r="G82" s="93">
        <f t="shared" si="0"/>
        <v>36.9</v>
      </c>
      <c r="I82" s="23"/>
    </row>
    <row r="83" spans="2:9" ht="13" x14ac:dyDescent="0.3">
      <c r="B83" s="282">
        <v>1999</v>
      </c>
      <c r="C83" s="261">
        <v>35</v>
      </c>
      <c r="E83" s="19"/>
      <c r="F83" s="282">
        <v>1999</v>
      </c>
      <c r="G83" s="93">
        <f t="shared" si="0"/>
        <v>42.5</v>
      </c>
      <c r="I83" s="23"/>
    </row>
    <row r="84" spans="2:9" ht="13" x14ac:dyDescent="0.3">
      <c r="B84" s="282">
        <v>2000</v>
      </c>
      <c r="C84" s="261">
        <v>58</v>
      </c>
      <c r="E84" s="19"/>
      <c r="F84" s="282">
        <v>2000</v>
      </c>
      <c r="G84" s="93">
        <f t="shared" si="0"/>
        <v>28</v>
      </c>
      <c r="I84" s="23"/>
    </row>
    <row r="85" spans="2:9" ht="13" x14ac:dyDescent="0.3">
      <c r="B85" s="282">
        <v>2001</v>
      </c>
      <c r="C85" s="261">
        <v>46</v>
      </c>
      <c r="E85" s="19"/>
      <c r="F85" s="282">
        <v>2001</v>
      </c>
      <c r="G85" s="93">
        <f t="shared" si="0"/>
        <v>22</v>
      </c>
      <c r="I85" s="23"/>
    </row>
    <row r="86" spans="2:9" ht="13" x14ac:dyDescent="0.3">
      <c r="B86" s="282">
        <v>2002</v>
      </c>
      <c r="C86" s="261">
        <v>46.9</v>
      </c>
      <c r="E86" s="19"/>
      <c r="F86" s="282">
        <v>2002</v>
      </c>
      <c r="G86" s="93">
        <f t="shared" si="0"/>
        <v>76.100000000000009</v>
      </c>
      <c r="I86" s="23"/>
    </row>
    <row r="87" spans="2:9" ht="13" x14ac:dyDescent="0.3">
      <c r="B87" s="282">
        <v>2003</v>
      </c>
      <c r="C87" s="261">
        <v>63.3</v>
      </c>
      <c r="F87" s="282">
        <v>2003</v>
      </c>
      <c r="G87" s="93">
        <f t="shared" si="0"/>
        <v>67.95</v>
      </c>
      <c r="I87" s="23"/>
    </row>
    <row r="88" spans="2:9" ht="13" x14ac:dyDescent="0.3">
      <c r="B88" s="282">
        <v>2004</v>
      </c>
      <c r="C88" s="261">
        <v>30.1</v>
      </c>
      <c r="F88" s="282">
        <v>2004</v>
      </c>
      <c r="G88" s="93">
        <f t="shared" si="0"/>
        <v>27.9</v>
      </c>
      <c r="I88" s="23"/>
    </row>
    <row r="89" spans="2:9" ht="13" x14ac:dyDescent="0.3">
      <c r="B89" s="282">
        <v>2005</v>
      </c>
      <c r="C89" s="261">
        <v>32</v>
      </c>
      <c r="F89" s="282">
        <v>2005</v>
      </c>
      <c r="G89" s="93">
        <f t="shared" si="0"/>
        <v>33.5</v>
      </c>
      <c r="I89" s="23"/>
    </row>
    <row r="90" spans="2:9" ht="13" x14ac:dyDescent="0.3">
      <c r="B90" s="282">
        <v>2006</v>
      </c>
      <c r="C90" s="261">
        <v>22.8</v>
      </c>
      <c r="F90" s="282">
        <v>2006</v>
      </c>
      <c r="G90" s="93">
        <f t="shared" si="0"/>
        <v>14.45</v>
      </c>
      <c r="I90" s="23"/>
    </row>
    <row r="91" spans="2:9" ht="13" x14ac:dyDescent="0.3">
      <c r="B91" s="282">
        <v>2007</v>
      </c>
      <c r="C91" s="261">
        <v>31</v>
      </c>
      <c r="F91" s="282">
        <v>2007</v>
      </c>
      <c r="G91" s="93">
        <f t="shared" si="0"/>
        <v>32</v>
      </c>
      <c r="I91" s="23"/>
    </row>
    <row r="92" spans="2:9" ht="13" x14ac:dyDescent="0.3">
      <c r="B92" s="282">
        <v>2008</v>
      </c>
      <c r="C92" s="261">
        <v>29</v>
      </c>
      <c r="F92" s="282">
        <v>2008</v>
      </c>
      <c r="G92" s="93">
        <f t="shared" si="0"/>
        <v>26.25</v>
      </c>
      <c r="I92" s="23"/>
    </row>
    <row r="93" spans="2:9" ht="13" x14ac:dyDescent="0.3">
      <c r="B93" s="282">
        <v>2009</v>
      </c>
      <c r="C93" s="261">
        <v>24.2</v>
      </c>
      <c r="F93" s="282">
        <v>2009</v>
      </c>
      <c r="G93" s="93">
        <f t="shared" si="0"/>
        <v>27.3</v>
      </c>
      <c r="I93" s="23"/>
    </row>
    <row r="94" spans="2:9" ht="13" x14ac:dyDescent="0.3">
      <c r="B94" s="282">
        <v>2010</v>
      </c>
      <c r="C94" s="261">
        <v>31.1</v>
      </c>
      <c r="F94" s="282">
        <v>2010</v>
      </c>
      <c r="G94" s="93">
        <f t="shared" si="0"/>
        <v>32.6</v>
      </c>
      <c r="I94" s="23"/>
    </row>
    <row r="95" spans="2:9" ht="13" x14ac:dyDescent="0.3">
      <c r="B95" s="282">
        <v>2011</v>
      </c>
      <c r="C95" s="261">
        <v>39.5</v>
      </c>
      <c r="F95" s="282">
        <v>2011</v>
      </c>
      <c r="G95" s="93">
        <f t="shared" si="0"/>
        <v>24.7</v>
      </c>
      <c r="I95" s="23"/>
    </row>
    <row r="96" spans="2:9" ht="13" x14ac:dyDescent="0.3">
      <c r="B96" s="282">
        <v>2012</v>
      </c>
      <c r="C96" s="261">
        <v>55.9</v>
      </c>
      <c r="F96" s="282">
        <v>2012</v>
      </c>
      <c r="G96" s="93">
        <f t="shared" si="0"/>
        <v>47</v>
      </c>
      <c r="I96" s="23"/>
    </row>
    <row r="97" spans="1:9" ht="13" x14ac:dyDescent="0.3">
      <c r="B97" s="282"/>
      <c r="C97" s="261"/>
      <c r="F97" s="282"/>
      <c r="G97" s="93"/>
      <c r="I97" s="23"/>
    </row>
    <row r="98" spans="1:9" ht="13" x14ac:dyDescent="0.3">
      <c r="A98" s="17" t="s">
        <v>18</v>
      </c>
      <c r="B98" s="282">
        <v>1990</v>
      </c>
      <c r="C98" s="93">
        <f t="shared" ref="C98:C112" si="1">(C3+C27+C48)/3</f>
        <v>124.33333333333333</v>
      </c>
      <c r="E98" s="17" t="s">
        <v>54</v>
      </c>
      <c r="F98" s="282">
        <v>1990</v>
      </c>
      <c r="G98" s="92">
        <f t="shared" ref="G98:G120" si="2">+G74-C74</f>
        <v>307.5</v>
      </c>
      <c r="I98" s="23"/>
    </row>
    <row r="99" spans="1:9" ht="13" x14ac:dyDescent="0.3">
      <c r="B99" s="282">
        <v>1991</v>
      </c>
      <c r="C99" s="93">
        <f t="shared" si="1"/>
        <v>183.73333333333335</v>
      </c>
      <c r="E99" s="19"/>
      <c r="F99" s="282">
        <v>1991</v>
      </c>
      <c r="G99" s="93">
        <f t="shared" si="2"/>
        <v>144</v>
      </c>
      <c r="I99" s="23"/>
    </row>
    <row r="100" spans="1:9" ht="13" x14ac:dyDescent="0.3">
      <c r="B100" s="282">
        <v>1992</v>
      </c>
      <c r="C100" s="93">
        <f t="shared" si="1"/>
        <v>162.40476666666666</v>
      </c>
      <c r="E100" s="19"/>
      <c r="F100" s="282">
        <v>1992</v>
      </c>
      <c r="G100" s="93">
        <f t="shared" si="2"/>
        <v>162.5</v>
      </c>
      <c r="I100" s="23"/>
    </row>
    <row r="101" spans="1:9" ht="13" x14ac:dyDescent="0.3">
      <c r="B101" s="282">
        <v>1993</v>
      </c>
      <c r="C101" s="93">
        <f t="shared" si="1"/>
        <v>193</v>
      </c>
      <c r="E101" s="19"/>
      <c r="F101" s="282">
        <v>1993</v>
      </c>
      <c r="G101" s="93">
        <f t="shared" si="2"/>
        <v>65.5</v>
      </c>
      <c r="I101" s="23"/>
    </row>
    <row r="102" spans="1:9" ht="13" x14ac:dyDescent="0.3">
      <c r="B102" s="282">
        <v>1994</v>
      </c>
      <c r="C102" s="93">
        <f t="shared" si="1"/>
        <v>87.333333333333329</v>
      </c>
      <c r="E102" s="19"/>
      <c r="F102" s="282">
        <v>1994</v>
      </c>
      <c r="G102" s="93">
        <f t="shared" si="2"/>
        <v>14.5</v>
      </c>
      <c r="I102" s="23"/>
    </row>
    <row r="103" spans="1:9" ht="13" x14ac:dyDescent="0.3">
      <c r="B103" s="282">
        <v>1995</v>
      </c>
      <c r="C103" s="93">
        <f t="shared" si="1"/>
        <v>41</v>
      </c>
      <c r="E103" s="19"/>
      <c r="F103" s="282">
        <v>1995</v>
      </c>
      <c r="G103" s="93">
        <f t="shared" si="2"/>
        <v>24</v>
      </c>
      <c r="I103" s="23"/>
    </row>
    <row r="104" spans="1:9" ht="13" x14ac:dyDescent="0.3">
      <c r="B104" s="282">
        <v>1996</v>
      </c>
      <c r="C104" s="93">
        <f t="shared" si="1"/>
        <v>42.895833333333336</v>
      </c>
      <c r="E104" s="19"/>
      <c r="F104" s="282">
        <v>1996</v>
      </c>
      <c r="G104" s="93">
        <f t="shared" si="2"/>
        <v>2.34375</v>
      </c>
      <c r="I104" s="23"/>
    </row>
    <row r="105" spans="1:9" ht="13" x14ac:dyDescent="0.3">
      <c r="B105" s="282">
        <v>1997</v>
      </c>
      <c r="C105" s="93">
        <f t="shared" si="1"/>
        <v>56.052465322207688</v>
      </c>
      <c r="E105" s="19"/>
      <c r="F105" s="282">
        <v>1997</v>
      </c>
      <c r="G105" s="93">
        <f t="shared" si="2"/>
        <v>32.546519746997504</v>
      </c>
      <c r="I105" s="23"/>
    </row>
    <row r="106" spans="1:9" ht="13" x14ac:dyDescent="0.3">
      <c r="B106" s="282">
        <v>1998</v>
      </c>
      <c r="C106" s="93">
        <f t="shared" si="1"/>
        <v>47.433333333333337</v>
      </c>
      <c r="E106" s="19"/>
      <c r="F106" s="282">
        <v>1998</v>
      </c>
      <c r="G106" s="93">
        <f t="shared" si="2"/>
        <v>2.3999999999999986</v>
      </c>
      <c r="I106" s="23"/>
    </row>
    <row r="107" spans="1:9" ht="13" x14ac:dyDescent="0.3">
      <c r="B107" s="282">
        <v>1999</v>
      </c>
      <c r="C107" s="93">
        <f t="shared" si="1"/>
        <v>41.666666666666664</v>
      </c>
      <c r="E107" s="19"/>
      <c r="F107" s="282">
        <v>1999</v>
      </c>
      <c r="G107" s="93">
        <f t="shared" si="2"/>
        <v>7.5</v>
      </c>
      <c r="I107" s="23"/>
    </row>
    <row r="108" spans="1:9" ht="13" x14ac:dyDescent="0.3">
      <c r="B108" s="282">
        <v>2000</v>
      </c>
      <c r="C108" s="93">
        <f t="shared" si="1"/>
        <v>57.333333333333336</v>
      </c>
      <c r="E108" s="19"/>
      <c r="F108" s="282">
        <v>2000</v>
      </c>
      <c r="G108" s="93">
        <f t="shared" si="2"/>
        <v>-30</v>
      </c>
      <c r="I108" s="23"/>
    </row>
    <row r="109" spans="1:9" ht="13" x14ac:dyDescent="0.3">
      <c r="B109" s="282">
        <v>2001</v>
      </c>
      <c r="C109" s="93">
        <f t="shared" si="1"/>
        <v>49.333333333333336</v>
      </c>
      <c r="E109" s="19"/>
      <c r="F109" s="282">
        <v>2001</v>
      </c>
      <c r="G109" s="93">
        <f t="shared" si="2"/>
        <v>-24</v>
      </c>
      <c r="I109" s="23"/>
    </row>
    <row r="110" spans="1:9" ht="13" x14ac:dyDescent="0.3">
      <c r="B110" s="282">
        <v>2002</v>
      </c>
      <c r="C110" s="93">
        <f t="shared" si="1"/>
        <v>50.199999999999996</v>
      </c>
      <c r="E110" s="19"/>
      <c r="F110" s="282">
        <v>2002</v>
      </c>
      <c r="G110" s="93">
        <f t="shared" si="2"/>
        <v>29.20000000000001</v>
      </c>
      <c r="I110" s="23"/>
    </row>
    <row r="111" spans="1:9" ht="13" x14ac:dyDescent="0.3">
      <c r="B111" s="282">
        <v>2003</v>
      </c>
      <c r="C111" s="93">
        <f t="shared" si="1"/>
        <v>49.533333333333331</v>
      </c>
      <c r="F111" s="282">
        <v>2003</v>
      </c>
      <c r="G111" s="93">
        <f t="shared" si="2"/>
        <v>4.6500000000000057</v>
      </c>
      <c r="I111" s="23"/>
    </row>
    <row r="112" spans="1:9" ht="13" x14ac:dyDescent="0.3">
      <c r="B112" s="282">
        <v>2004</v>
      </c>
      <c r="C112" s="93">
        <f t="shared" si="1"/>
        <v>31.833333333333329</v>
      </c>
      <c r="F112" s="282">
        <v>2004</v>
      </c>
      <c r="G112" s="93">
        <f t="shared" si="2"/>
        <v>-2.2000000000000028</v>
      </c>
      <c r="I112" s="23"/>
    </row>
    <row r="113" spans="2:9" ht="13" x14ac:dyDescent="0.3">
      <c r="B113" s="282">
        <v>2005</v>
      </c>
      <c r="C113" s="93">
        <v>39</v>
      </c>
      <c r="F113" s="282">
        <v>2005</v>
      </c>
      <c r="G113" s="93">
        <f t="shared" si="2"/>
        <v>1.5</v>
      </c>
      <c r="I113" s="23"/>
    </row>
    <row r="114" spans="2:9" ht="13" x14ac:dyDescent="0.3">
      <c r="B114" s="282">
        <v>2006</v>
      </c>
      <c r="C114" s="19">
        <v>24</v>
      </c>
      <c r="F114" s="282">
        <v>2006</v>
      </c>
      <c r="G114" s="93">
        <f t="shared" si="2"/>
        <v>-8.3500000000000014</v>
      </c>
      <c r="I114" s="23"/>
    </row>
    <row r="115" spans="2:9" ht="13" x14ac:dyDescent="0.3">
      <c r="B115" s="282">
        <v>2007</v>
      </c>
      <c r="C115" s="19">
        <v>30.7</v>
      </c>
      <c r="F115" s="282">
        <v>2007</v>
      </c>
      <c r="G115" s="93">
        <f t="shared" si="2"/>
        <v>1</v>
      </c>
      <c r="I115" s="23"/>
    </row>
    <row r="116" spans="2:9" ht="13" x14ac:dyDescent="0.3">
      <c r="B116" s="282">
        <v>2008</v>
      </c>
      <c r="C116" s="93">
        <v>50.6</v>
      </c>
      <c r="F116" s="282">
        <v>2008</v>
      </c>
      <c r="G116" s="93">
        <f t="shared" si="2"/>
        <v>-2.75</v>
      </c>
      <c r="I116" s="23"/>
    </row>
    <row r="117" spans="2:9" ht="13" x14ac:dyDescent="0.3">
      <c r="B117" s="282">
        <v>2009</v>
      </c>
      <c r="C117" s="93">
        <v>34.799999999999997</v>
      </c>
      <c r="F117" s="282">
        <v>2009</v>
      </c>
      <c r="G117" s="93">
        <f t="shared" si="2"/>
        <v>3.1000000000000014</v>
      </c>
      <c r="I117" s="23"/>
    </row>
    <row r="118" spans="2:9" ht="13" x14ac:dyDescent="0.3">
      <c r="B118" s="282">
        <v>2010</v>
      </c>
      <c r="C118" s="93">
        <v>33.6</v>
      </c>
      <c r="F118" s="282">
        <v>2010</v>
      </c>
      <c r="G118" s="93">
        <f t="shared" si="2"/>
        <v>1.5</v>
      </c>
      <c r="I118" s="23"/>
    </row>
    <row r="119" spans="2:9" ht="13" x14ac:dyDescent="0.3">
      <c r="B119" s="282">
        <v>2011</v>
      </c>
      <c r="C119" s="93">
        <v>40.799999999999997</v>
      </c>
      <c r="F119" s="282">
        <v>2011</v>
      </c>
      <c r="G119" s="93">
        <f t="shared" si="2"/>
        <v>-14.8</v>
      </c>
      <c r="I119" s="23"/>
    </row>
    <row r="120" spans="2:9" ht="13" x14ac:dyDescent="0.3">
      <c r="B120" s="282">
        <v>2012</v>
      </c>
      <c r="C120" s="93">
        <v>69.8</v>
      </c>
      <c r="F120" s="282">
        <v>2012</v>
      </c>
      <c r="G120" s="93">
        <f t="shared" si="2"/>
        <v>-8.8999999999999986</v>
      </c>
      <c r="I120" s="23"/>
    </row>
    <row r="121" spans="2:9" ht="13" x14ac:dyDescent="0.3">
      <c r="I121" s="23"/>
    </row>
    <row r="122" spans="2:9" ht="13" x14ac:dyDescent="0.3">
      <c r="I122" s="23"/>
    </row>
    <row r="123" spans="2:9" ht="13" x14ac:dyDescent="0.3">
      <c r="I123" s="23"/>
    </row>
    <row r="124" spans="2:9" ht="13" x14ac:dyDescent="0.3">
      <c r="I124" s="23"/>
    </row>
    <row r="125" spans="2:9" ht="13" x14ac:dyDescent="0.3">
      <c r="I125" s="23"/>
    </row>
    <row r="126" spans="2:9" ht="13" x14ac:dyDescent="0.3">
      <c r="I126" s="23"/>
    </row>
    <row r="127" spans="2:9" ht="13" x14ac:dyDescent="0.3">
      <c r="I127" s="23"/>
    </row>
    <row r="128" spans="2:9" ht="13" x14ac:dyDescent="0.3">
      <c r="I128" s="23"/>
    </row>
    <row r="129" spans="9:9" ht="13" x14ac:dyDescent="0.3">
      <c r="I129" s="23"/>
    </row>
    <row r="130" spans="9:9" ht="13" x14ac:dyDescent="0.3">
      <c r="I130" s="23"/>
    </row>
    <row r="131" spans="9:9" ht="13" x14ac:dyDescent="0.3">
      <c r="I131" s="23"/>
    </row>
    <row r="132" spans="9:9" ht="13" x14ac:dyDescent="0.3">
      <c r="I132" s="23"/>
    </row>
    <row r="133" spans="9:9" ht="13" x14ac:dyDescent="0.3">
      <c r="I133" s="23"/>
    </row>
    <row r="134" spans="9:9" ht="13" x14ac:dyDescent="0.3">
      <c r="I134" s="23"/>
    </row>
    <row r="135" spans="9:9" ht="13" x14ac:dyDescent="0.3">
      <c r="I135" s="23"/>
    </row>
    <row r="136" spans="9:9" ht="13" x14ac:dyDescent="0.3">
      <c r="I136" s="23"/>
    </row>
    <row r="137" spans="9:9" ht="13" x14ac:dyDescent="0.3">
      <c r="I137" s="23"/>
    </row>
    <row r="138" spans="9:9" ht="13" x14ac:dyDescent="0.3">
      <c r="I138" s="23"/>
    </row>
    <row r="139" spans="9:9" ht="13" x14ac:dyDescent="0.3">
      <c r="I139" s="23"/>
    </row>
    <row r="140" spans="9:9" ht="13" x14ac:dyDescent="0.3">
      <c r="I140" s="23"/>
    </row>
    <row r="141" spans="9:9" ht="13" x14ac:dyDescent="0.3">
      <c r="I141" s="23"/>
    </row>
    <row r="142" spans="9:9" ht="13" x14ac:dyDescent="0.3">
      <c r="I142" s="23"/>
    </row>
    <row r="143" spans="9:9" ht="13" x14ac:dyDescent="0.3">
      <c r="I143" s="23"/>
    </row>
    <row r="144" spans="9:9" ht="13" x14ac:dyDescent="0.3">
      <c r="I144" s="23"/>
    </row>
    <row r="145" spans="9:9" ht="13" x14ac:dyDescent="0.3">
      <c r="I145" s="23"/>
    </row>
    <row r="146" spans="9:9" ht="13" x14ac:dyDescent="0.3">
      <c r="I146" s="23"/>
    </row>
    <row r="147" spans="9:9" ht="13" x14ac:dyDescent="0.3">
      <c r="I147" s="23"/>
    </row>
    <row r="148" spans="9:9" ht="13" x14ac:dyDescent="0.3">
      <c r="I148" s="23"/>
    </row>
    <row r="149" spans="9:9" ht="13" x14ac:dyDescent="0.3">
      <c r="I149" s="23"/>
    </row>
    <row r="150" spans="9:9" ht="13" x14ac:dyDescent="0.3">
      <c r="I150" s="23"/>
    </row>
    <row r="151" spans="9:9" ht="13" x14ac:dyDescent="0.3">
      <c r="I151" s="23"/>
    </row>
    <row r="152" spans="9:9" ht="13" x14ac:dyDescent="0.3">
      <c r="I152" s="23"/>
    </row>
    <row r="153" spans="9:9" ht="13" x14ac:dyDescent="0.3">
      <c r="I153" s="23"/>
    </row>
    <row r="154" spans="9:9" ht="13" x14ac:dyDescent="0.3">
      <c r="I154" s="23"/>
    </row>
    <row r="155" spans="9:9" ht="13" x14ac:dyDescent="0.3">
      <c r="I155" s="23"/>
    </row>
    <row r="156" spans="9:9" ht="13" x14ac:dyDescent="0.3">
      <c r="I156" s="23"/>
    </row>
    <row r="157" spans="9:9" ht="13" x14ac:dyDescent="0.3">
      <c r="I157" s="23"/>
    </row>
    <row r="158" spans="9:9" ht="13" x14ac:dyDescent="0.3">
      <c r="I158" s="23"/>
    </row>
    <row r="159" spans="9:9" ht="13" x14ac:dyDescent="0.3">
      <c r="I159" s="23"/>
    </row>
    <row r="160" spans="9:9" ht="13" x14ac:dyDescent="0.3">
      <c r="I160" s="23"/>
    </row>
    <row r="161" spans="3:9" ht="13" x14ac:dyDescent="0.3">
      <c r="I161" s="23"/>
    </row>
    <row r="162" spans="3:9" ht="13" x14ac:dyDescent="0.3">
      <c r="C162" s="92"/>
      <c r="I162" s="23"/>
    </row>
    <row r="163" spans="3:9" ht="13" x14ac:dyDescent="0.3">
      <c r="C163" s="92"/>
      <c r="I163" s="23"/>
    </row>
    <row r="164" spans="3:9" ht="13" x14ac:dyDescent="0.3">
      <c r="C164" s="92"/>
      <c r="I164" s="23"/>
    </row>
    <row r="165" spans="3:9" ht="13" x14ac:dyDescent="0.3">
      <c r="C165" s="92"/>
      <c r="I165" s="23"/>
    </row>
    <row r="166" spans="3:9" ht="13" x14ac:dyDescent="0.3">
      <c r="C166" s="92"/>
      <c r="I166" s="23"/>
    </row>
    <row r="167" spans="3:9" ht="13" x14ac:dyDescent="0.3">
      <c r="C167" s="92"/>
      <c r="I167" s="23"/>
    </row>
  </sheetData>
  <mergeCells count="2">
    <mergeCell ref="A1:G1"/>
    <mergeCell ref="A72:G72"/>
  </mergeCells>
  <phoneticPr fontId="8"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79"/>
  <sheetViews>
    <sheetView topLeftCell="A22" workbookViewId="0">
      <selection activeCell="G96" sqref="G96"/>
    </sheetView>
  </sheetViews>
  <sheetFormatPr defaultRowHeight="12.5" x14ac:dyDescent="0.25"/>
  <cols>
    <col min="1" max="1" width="34.90625" style="30" customWidth="1"/>
    <col min="2" max="2" width="9" bestFit="1" customWidth="1"/>
    <col min="3" max="7" width="7.36328125" bestFit="1" customWidth="1"/>
    <col min="8" max="8" width="8.453125" bestFit="1" customWidth="1"/>
    <col min="9" max="9" width="7.36328125" bestFit="1" customWidth="1"/>
    <col min="10" max="10" width="8.453125" bestFit="1" customWidth="1"/>
    <col min="11" max="13" width="7.36328125" bestFit="1" customWidth="1"/>
    <col min="14" max="14" width="14.6328125" bestFit="1" customWidth="1"/>
    <col min="15" max="15" width="10" customWidth="1"/>
    <col min="16" max="16" width="9.54296875" customWidth="1"/>
    <col min="18" max="18" width="9.36328125" bestFit="1" customWidth="1"/>
    <col min="19" max="19" width="7" bestFit="1" customWidth="1"/>
  </cols>
  <sheetData>
    <row r="1" spans="1:20" ht="14" x14ac:dyDescent="0.3">
      <c r="A1" s="789" t="s">
        <v>95</v>
      </c>
      <c r="B1" s="789"/>
      <c r="C1" s="789"/>
      <c r="D1" s="789"/>
      <c r="E1" s="789"/>
      <c r="F1" s="789"/>
      <c r="G1" s="789"/>
      <c r="H1" s="789"/>
      <c r="I1" s="789"/>
      <c r="J1" s="789"/>
      <c r="K1" s="789"/>
      <c r="L1" s="789"/>
      <c r="M1" s="789"/>
      <c r="N1" s="789"/>
      <c r="O1" s="30"/>
      <c r="P1" s="30"/>
      <c r="Q1" s="30"/>
      <c r="R1" s="31"/>
      <c r="S1" s="30"/>
      <c r="T1" s="30"/>
    </row>
    <row r="2" spans="1:20" ht="14" x14ac:dyDescent="0.3">
      <c r="A2" s="681"/>
      <c r="B2" s="790" t="s">
        <v>87</v>
      </c>
      <c r="C2" s="790"/>
      <c r="D2" s="790"/>
      <c r="E2" s="790"/>
      <c r="F2" s="790"/>
      <c r="G2" s="790"/>
      <c r="H2" s="790"/>
      <c r="I2" s="790"/>
      <c r="J2" s="790"/>
      <c r="K2" s="790"/>
      <c r="L2" s="790"/>
      <c r="M2" s="790"/>
      <c r="N2" s="387"/>
      <c r="O2" s="30"/>
      <c r="P2" s="30"/>
      <c r="Q2" s="30"/>
      <c r="R2" s="31"/>
      <c r="S2" s="30"/>
      <c r="T2" s="30"/>
    </row>
    <row r="3" spans="1:20" ht="14" x14ac:dyDescent="0.3">
      <c r="A3" s="682"/>
      <c r="B3" s="683" t="s">
        <v>69</v>
      </c>
      <c r="C3" s="683" t="s">
        <v>70</v>
      </c>
      <c r="D3" s="683" t="s">
        <v>71</v>
      </c>
      <c r="E3" s="683" t="s">
        <v>72</v>
      </c>
      <c r="F3" s="683" t="s">
        <v>73</v>
      </c>
      <c r="G3" s="683" t="s">
        <v>74</v>
      </c>
      <c r="H3" s="683" t="s">
        <v>75</v>
      </c>
      <c r="I3" s="683" t="s">
        <v>76</v>
      </c>
      <c r="J3" s="683" t="s">
        <v>77</v>
      </c>
      <c r="K3" s="683" t="s">
        <v>78</v>
      </c>
      <c r="L3" s="683" t="s">
        <v>79</v>
      </c>
      <c r="M3" s="683" t="s">
        <v>80</v>
      </c>
      <c r="N3" s="684" t="s">
        <v>88</v>
      </c>
      <c r="O3" s="30"/>
      <c r="P3" s="30"/>
      <c r="Q3" s="30"/>
      <c r="R3" s="31"/>
      <c r="S3" s="30"/>
      <c r="T3" s="30"/>
    </row>
    <row r="4" spans="1:20" ht="14" x14ac:dyDescent="0.3">
      <c r="A4" s="685" t="s">
        <v>857</v>
      </c>
      <c r="B4" s="680">
        <v>79.914900000000003</v>
      </c>
      <c r="C4" s="680">
        <v>109.2633</v>
      </c>
      <c r="D4" s="680">
        <v>202.24617000000001</v>
      </c>
      <c r="E4" s="680">
        <v>156.45870000000002</v>
      </c>
      <c r="F4" s="680">
        <v>274.78431</v>
      </c>
      <c r="G4" s="680">
        <v>99.943200000000004</v>
      </c>
      <c r="H4" s="680">
        <v>239.43733500000002</v>
      </c>
      <c r="I4" s="680">
        <v>59.936174999999999</v>
      </c>
      <c r="J4" s="680">
        <v>28.852650000000001</v>
      </c>
      <c r="K4" s="680">
        <v>19.056629999999998</v>
      </c>
      <c r="L4" s="680">
        <v>24.985800000000001</v>
      </c>
      <c r="M4" s="680">
        <v>21.515549999999998</v>
      </c>
      <c r="N4" s="686">
        <f>SUM(B4:M4)</f>
        <v>1316.3947200000002</v>
      </c>
      <c r="O4" s="33"/>
      <c r="P4" s="30"/>
      <c r="Q4" s="30"/>
      <c r="R4" s="31"/>
      <c r="S4" s="30"/>
      <c r="T4" s="30"/>
    </row>
    <row r="5" spans="1:20" ht="14" x14ac:dyDescent="0.3">
      <c r="A5" s="685" t="s">
        <v>856</v>
      </c>
      <c r="B5" s="680">
        <v>1038.2789700000001</v>
      </c>
      <c r="C5" s="680">
        <v>798.19716000000005</v>
      </c>
      <c r="D5" s="680">
        <v>470.26845000000003</v>
      </c>
      <c r="E5" s="680">
        <v>204.05070000000001</v>
      </c>
      <c r="F5" s="680">
        <v>451.82655</v>
      </c>
      <c r="G5" s="680">
        <v>140.3964</v>
      </c>
      <c r="H5" s="680">
        <v>432.46255500000007</v>
      </c>
      <c r="I5" s="680">
        <v>296.91458999999998</v>
      </c>
      <c r="J5" s="680">
        <v>80.311500000000009</v>
      </c>
      <c r="K5" s="680">
        <v>416.78694000000002</v>
      </c>
      <c r="L5" s="680">
        <v>109.46160000000002</v>
      </c>
      <c r="M5" s="680">
        <v>113.11032000000002</v>
      </c>
      <c r="N5" s="686">
        <f>SUM(B5:M5)</f>
        <v>4552.0657349999992</v>
      </c>
      <c r="O5" s="30"/>
      <c r="P5" s="30"/>
      <c r="Q5" s="30"/>
      <c r="R5" s="30"/>
      <c r="S5" s="30"/>
      <c r="T5" s="30"/>
    </row>
    <row r="6" spans="1:20" ht="14" x14ac:dyDescent="0.3">
      <c r="A6" s="682" t="s">
        <v>23</v>
      </c>
      <c r="B6" s="687">
        <v>1118.1938700000001</v>
      </c>
      <c r="C6" s="687">
        <v>907.46046000000001</v>
      </c>
      <c r="D6" s="687">
        <v>672.51462000000004</v>
      </c>
      <c r="E6" s="687">
        <v>360.50940000000003</v>
      </c>
      <c r="F6" s="687">
        <v>726.61086</v>
      </c>
      <c r="G6" s="687">
        <v>240.33960000000002</v>
      </c>
      <c r="H6" s="687">
        <v>671.89989000000014</v>
      </c>
      <c r="I6" s="687">
        <v>356.85076499999997</v>
      </c>
      <c r="J6" s="687">
        <v>109.16415000000001</v>
      </c>
      <c r="K6" s="687">
        <v>435.84357</v>
      </c>
      <c r="L6" s="687">
        <v>435.84357</v>
      </c>
      <c r="M6" s="687">
        <v>435.84357</v>
      </c>
      <c r="N6" s="686">
        <f>SUM(N4:N5)</f>
        <v>5868.4604549999995</v>
      </c>
      <c r="O6" s="30"/>
      <c r="P6" s="30"/>
      <c r="Q6" s="30"/>
      <c r="R6" s="30"/>
      <c r="S6" s="30"/>
      <c r="T6" s="30"/>
    </row>
    <row r="7" spans="1:20" ht="14" x14ac:dyDescent="0.3">
      <c r="A7" s="682" t="s">
        <v>1139</v>
      </c>
      <c r="B7" s="723">
        <v>983.5680000000001</v>
      </c>
      <c r="C7" s="723">
        <v>830.97615000000008</v>
      </c>
      <c r="D7" s="723">
        <v>783.78075000000013</v>
      </c>
      <c r="E7" s="723">
        <v>327.19500000000005</v>
      </c>
      <c r="F7" s="723">
        <v>966.97029000000009</v>
      </c>
      <c r="G7" s="723">
        <v>83.285999999999987</v>
      </c>
      <c r="H7" s="723">
        <v>12.294600000000003</v>
      </c>
      <c r="I7" s="723">
        <v>27.662850000000002</v>
      </c>
      <c r="J7" s="723">
        <v>136.827</v>
      </c>
      <c r="K7" s="723">
        <v>30.736500000000003</v>
      </c>
      <c r="L7" s="723">
        <v>11.898000000000001</v>
      </c>
      <c r="M7" s="723">
        <v>12.294600000000003</v>
      </c>
      <c r="N7" s="696">
        <f>SUM(B7:M7)</f>
        <v>4207.4897400000018</v>
      </c>
      <c r="O7" s="30"/>
      <c r="P7" s="30"/>
      <c r="Q7" s="30"/>
      <c r="R7" s="30"/>
      <c r="S7" s="30"/>
      <c r="T7" s="30"/>
    </row>
    <row r="8" spans="1:20" ht="14" x14ac:dyDescent="0.3">
      <c r="A8" s="718" t="s">
        <v>1141</v>
      </c>
      <c r="B8" s="723">
        <f>B6-B7</f>
        <v>134.62586999999996</v>
      </c>
      <c r="C8" s="723">
        <f t="shared" ref="C8:M8" si="0">C6-C7</f>
        <v>76.484309999999937</v>
      </c>
      <c r="D8" s="723">
        <f t="shared" si="0"/>
        <v>-111.26613000000009</v>
      </c>
      <c r="E8" s="723">
        <f t="shared" si="0"/>
        <v>33.314399999999978</v>
      </c>
      <c r="F8" s="723">
        <f t="shared" si="0"/>
        <v>-240.35943000000009</v>
      </c>
      <c r="G8" s="723">
        <f t="shared" si="0"/>
        <v>157.05360000000002</v>
      </c>
      <c r="H8" s="723">
        <f t="shared" si="0"/>
        <v>659.6052900000002</v>
      </c>
      <c r="I8" s="723">
        <f t="shared" si="0"/>
        <v>329.18791499999998</v>
      </c>
      <c r="J8" s="723">
        <f t="shared" si="0"/>
        <v>-27.662849999999992</v>
      </c>
      <c r="K8" s="723">
        <f t="shared" si="0"/>
        <v>405.10707000000002</v>
      </c>
      <c r="L8" s="723">
        <f t="shared" si="0"/>
        <v>423.94556999999998</v>
      </c>
      <c r="M8" s="723">
        <f t="shared" si="0"/>
        <v>423.54897</v>
      </c>
      <c r="N8" s="696">
        <f>SUM(B8:M8)</f>
        <v>2263.5845849999996</v>
      </c>
      <c r="O8" s="30"/>
      <c r="P8" s="30"/>
      <c r="Q8" s="30"/>
      <c r="R8" s="30"/>
      <c r="S8" s="30"/>
      <c r="T8" s="30"/>
    </row>
    <row r="9" spans="1:20" ht="14" x14ac:dyDescent="0.3">
      <c r="A9" s="387"/>
      <c r="B9" s="387"/>
      <c r="C9" s="387"/>
      <c r="D9" s="387"/>
      <c r="E9" s="387"/>
      <c r="F9" s="387"/>
      <c r="G9" s="387"/>
      <c r="H9" s="387"/>
      <c r="I9" s="387"/>
      <c r="J9" s="387"/>
      <c r="K9" s="387"/>
      <c r="L9" s="387"/>
      <c r="M9" s="387"/>
      <c r="N9" s="387"/>
      <c r="O9" s="30"/>
      <c r="P9" s="30"/>
      <c r="Q9" s="30"/>
      <c r="R9" s="30"/>
      <c r="S9" s="30"/>
      <c r="T9" s="30"/>
    </row>
    <row r="10" spans="1:20" ht="14" x14ac:dyDescent="0.3">
      <c r="A10" s="688" t="s">
        <v>66</v>
      </c>
      <c r="B10" s="683" t="s">
        <v>69</v>
      </c>
      <c r="C10" s="683" t="s">
        <v>70</v>
      </c>
      <c r="D10" s="683" t="s">
        <v>71</v>
      </c>
      <c r="E10" s="683" t="s">
        <v>72</v>
      </c>
      <c r="F10" s="683" t="s">
        <v>73</v>
      </c>
      <c r="G10" s="683" t="s">
        <v>74</v>
      </c>
      <c r="H10" s="683" t="s">
        <v>75</v>
      </c>
      <c r="I10" s="683" t="s">
        <v>76</v>
      </c>
      <c r="J10" s="683" t="s">
        <v>77</v>
      </c>
      <c r="K10" s="683" t="s">
        <v>78</v>
      </c>
      <c r="L10" s="683" t="s">
        <v>79</v>
      </c>
      <c r="M10" s="683" t="s">
        <v>80</v>
      </c>
      <c r="N10" s="688" t="s">
        <v>89</v>
      </c>
      <c r="O10" s="34"/>
      <c r="P10" s="34"/>
      <c r="Q10" s="34"/>
      <c r="R10" s="34"/>
      <c r="T10" s="30"/>
    </row>
    <row r="11" spans="1:20" ht="14" x14ac:dyDescent="0.3">
      <c r="A11" s="685" t="s">
        <v>857</v>
      </c>
      <c r="B11" s="689">
        <v>858</v>
      </c>
      <c r="C11" s="689">
        <v>438</v>
      </c>
      <c r="D11" s="689">
        <v>217</v>
      </c>
      <c r="E11" s="689">
        <v>164</v>
      </c>
      <c r="F11" s="689">
        <v>287</v>
      </c>
      <c r="G11" s="689">
        <v>233</v>
      </c>
      <c r="H11" s="689">
        <v>194.5</v>
      </c>
      <c r="I11" s="689">
        <v>654</v>
      </c>
      <c r="J11" s="679">
        <v>470.5</v>
      </c>
      <c r="K11" s="679">
        <v>441</v>
      </c>
      <c r="L11" s="679">
        <v>679</v>
      </c>
      <c r="M11" s="679">
        <v>726</v>
      </c>
      <c r="N11" s="686">
        <f>AVERAGE(B11:M11)</f>
        <v>446.83333333333331</v>
      </c>
      <c r="O11" s="35"/>
      <c r="P11" s="35"/>
      <c r="Q11" s="35"/>
      <c r="R11" s="35"/>
      <c r="T11" s="30"/>
    </row>
    <row r="12" spans="1:20" ht="14" x14ac:dyDescent="0.3">
      <c r="A12" s="685" t="s">
        <v>856</v>
      </c>
      <c r="B12" s="689">
        <v>526</v>
      </c>
      <c r="C12" s="689">
        <v>904</v>
      </c>
      <c r="D12" s="689">
        <v>726</v>
      </c>
      <c r="E12" s="689">
        <v>1219</v>
      </c>
      <c r="F12" s="689">
        <v>1133</v>
      </c>
      <c r="G12" s="689">
        <v>233</v>
      </c>
      <c r="H12" s="689">
        <v>686</v>
      </c>
      <c r="I12" s="689">
        <v>626.5</v>
      </c>
      <c r="J12" s="679">
        <v>2255.5</v>
      </c>
      <c r="K12" s="679">
        <v>417</v>
      </c>
      <c r="L12" s="301">
        <v>1884</v>
      </c>
      <c r="M12" s="301">
        <v>1195</v>
      </c>
      <c r="N12" s="686">
        <f>AVERAGE(B12:M12)</f>
        <v>983.75</v>
      </c>
      <c r="O12" s="35"/>
      <c r="P12" s="35"/>
      <c r="Q12" s="35"/>
      <c r="R12" s="35"/>
      <c r="T12" s="30"/>
    </row>
    <row r="13" spans="1:20" ht="14" x14ac:dyDescent="0.3">
      <c r="A13" s="695" t="s">
        <v>1140</v>
      </c>
      <c r="B13" s="689">
        <v>482</v>
      </c>
      <c r="C13" s="689">
        <v>704</v>
      </c>
      <c r="D13" s="689">
        <v>356</v>
      </c>
      <c r="E13" s="689">
        <v>214</v>
      </c>
      <c r="F13" s="689">
        <v>163</v>
      </c>
      <c r="G13" s="689">
        <v>21</v>
      </c>
      <c r="H13" s="689">
        <v>32</v>
      </c>
      <c r="I13" s="689">
        <v>70.5</v>
      </c>
      <c r="J13" s="679">
        <v>85.5</v>
      </c>
      <c r="K13" s="679">
        <v>52</v>
      </c>
      <c r="L13" s="301">
        <v>66</v>
      </c>
      <c r="M13" s="301">
        <v>72</v>
      </c>
      <c r="N13" s="696">
        <f>AVERAGE(B13:M13)</f>
        <v>193.16666666666666</v>
      </c>
      <c r="O13" s="35"/>
      <c r="P13" s="35"/>
      <c r="Q13" s="35"/>
      <c r="R13" s="35"/>
      <c r="T13" s="30"/>
    </row>
    <row r="14" spans="1:20" ht="14" x14ac:dyDescent="0.3">
      <c r="A14" s="387" t="s">
        <v>81</v>
      </c>
      <c r="B14" s="387">
        <v>2.7230000000000002E-3</v>
      </c>
      <c r="C14" s="387"/>
      <c r="D14" s="387"/>
      <c r="E14" s="387"/>
      <c r="F14" s="387"/>
      <c r="G14" s="387"/>
      <c r="H14" s="387"/>
      <c r="I14" s="387"/>
      <c r="J14" s="387"/>
      <c r="K14" s="387"/>
      <c r="L14" s="387"/>
      <c r="M14" s="387"/>
      <c r="N14" s="387"/>
      <c r="O14" s="30"/>
      <c r="P14" s="30"/>
      <c r="Q14" s="30"/>
      <c r="R14" s="30"/>
      <c r="S14" s="30"/>
      <c r="T14" s="30"/>
    </row>
    <row r="15" spans="1:20" ht="14" x14ac:dyDescent="0.3">
      <c r="A15" s="387"/>
      <c r="B15" s="387"/>
      <c r="C15" s="387"/>
      <c r="D15" s="387"/>
      <c r="E15" s="387"/>
      <c r="F15" s="387"/>
      <c r="G15" s="387"/>
      <c r="H15" s="387"/>
      <c r="I15" s="387"/>
      <c r="J15" s="387"/>
      <c r="K15" s="387"/>
      <c r="L15" s="387"/>
      <c r="M15" s="387"/>
      <c r="N15" s="387"/>
      <c r="O15" s="30"/>
      <c r="P15" s="30"/>
      <c r="Q15" s="30"/>
      <c r="R15" s="30"/>
      <c r="S15" s="30"/>
      <c r="T15" s="30"/>
    </row>
    <row r="16" spans="1:20" ht="14" x14ac:dyDescent="0.3">
      <c r="A16" s="688" t="s">
        <v>82</v>
      </c>
      <c r="B16" s="690" t="s">
        <v>69</v>
      </c>
      <c r="C16" s="690" t="s">
        <v>70</v>
      </c>
      <c r="D16" s="690" t="s">
        <v>71</v>
      </c>
      <c r="E16" s="690" t="s">
        <v>72</v>
      </c>
      <c r="F16" s="690" t="s">
        <v>73</v>
      </c>
      <c r="G16" s="690" t="s">
        <v>74</v>
      </c>
      <c r="H16" s="690" t="s">
        <v>75</v>
      </c>
      <c r="I16" s="690" t="s">
        <v>76</v>
      </c>
      <c r="J16" s="690" t="s">
        <v>77</v>
      </c>
      <c r="K16" s="690" t="s">
        <v>78</v>
      </c>
      <c r="L16" s="690" t="s">
        <v>79</v>
      </c>
      <c r="M16" s="690" t="s">
        <v>80</v>
      </c>
      <c r="N16" s="690" t="s">
        <v>459</v>
      </c>
      <c r="O16" s="30"/>
      <c r="P16" s="30"/>
      <c r="Q16" s="30"/>
      <c r="R16" s="30"/>
      <c r="S16" s="30"/>
      <c r="T16" s="30"/>
    </row>
    <row r="17" spans="1:20" ht="14" x14ac:dyDescent="0.3">
      <c r="A17" s="685" t="s">
        <v>857</v>
      </c>
      <c r="B17" s="680">
        <f>B4*$B$14*B11</f>
        <v>186.70789797660001</v>
      </c>
      <c r="C17" s="680">
        <f t="shared" ref="C17:M17" si="1">C4*$B$14*C11</f>
        <v>130.3154970642</v>
      </c>
      <c r="D17" s="680">
        <f t="shared" si="1"/>
        <v>119.50544163747</v>
      </c>
      <c r="E17" s="680">
        <f t="shared" si="1"/>
        <v>69.870074576400015</v>
      </c>
      <c r="F17" s="680">
        <f t="shared" si="1"/>
        <v>214.74421304931002</v>
      </c>
      <c r="G17" s="680">
        <f t="shared" si="1"/>
        <v>63.409862728800007</v>
      </c>
      <c r="H17" s="680">
        <f t="shared" si="1"/>
        <v>126.81163939337253</v>
      </c>
      <c r="I17" s="680">
        <f t="shared" si="1"/>
        <v>106.73685775935</v>
      </c>
      <c r="J17" s="680">
        <f t="shared" si="1"/>
        <v>36.965192879475005</v>
      </c>
      <c r="K17" s="680">
        <f t="shared" si="1"/>
        <v>22.884020739089998</v>
      </c>
      <c r="L17" s="680">
        <f t="shared" si="1"/>
        <v>46.196670378600004</v>
      </c>
      <c r="M17" s="680">
        <f t="shared" si="1"/>
        <v>42.534047763899999</v>
      </c>
      <c r="N17" s="686">
        <f>SUM(B17:M17)</f>
        <v>1166.6814159465673</v>
      </c>
      <c r="O17" s="30"/>
      <c r="P17" s="30"/>
      <c r="Q17" s="30"/>
      <c r="R17" s="30"/>
      <c r="S17" s="30"/>
      <c r="T17" s="30"/>
    </row>
    <row r="18" spans="1:20" ht="14" x14ac:dyDescent="0.3">
      <c r="A18" s="685" t="s">
        <v>856</v>
      </c>
      <c r="B18" s="680">
        <f>B5*$B$14*B12</f>
        <v>1487.1248921730601</v>
      </c>
      <c r="C18" s="680">
        <f t="shared" ref="C18:M18" si="2">C5*$B$14*C12</f>
        <v>1964.8357434787204</v>
      </c>
      <c r="D18" s="680">
        <f t="shared" si="2"/>
        <v>929.6727582681001</v>
      </c>
      <c r="E18" s="680">
        <f t="shared" si="2"/>
        <v>677.31303838590009</v>
      </c>
      <c r="F18" s="680">
        <f t="shared" si="2"/>
        <v>1393.9567471714502</v>
      </c>
      <c r="G18" s="680">
        <f t="shared" si="2"/>
        <v>89.075759547600001</v>
      </c>
      <c r="H18" s="680">
        <f t="shared" si="2"/>
        <v>807.83053856379013</v>
      </c>
      <c r="I18" s="680">
        <f t="shared" si="2"/>
        <v>506.52426549910501</v>
      </c>
      <c r="J18" s="680">
        <f t="shared" si="2"/>
        <v>493.25126780475006</v>
      </c>
      <c r="K18" s="680">
        <f t="shared" si="2"/>
        <v>473.25781928754003</v>
      </c>
      <c r="L18" s="680">
        <f t="shared" si="2"/>
        <v>561.55245693120003</v>
      </c>
      <c r="M18" s="680">
        <f t="shared" si="2"/>
        <v>368.05928462520006</v>
      </c>
      <c r="N18" s="686">
        <f>SUM(B18:M18)</f>
        <v>9752.4545717364181</v>
      </c>
      <c r="O18" s="30"/>
      <c r="P18" s="30"/>
      <c r="Q18" s="30"/>
      <c r="R18" s="30"/>
      <c r="S18" s="30"/>
      <c r="T18" s="30"/>
    </row>
    <row r="19" spans="1:20" ht="14" x14ac:dyDescent="0.3">
      <c r="A19" s="691" t="s">
        <v>90</v>
      </c>
      <c r="B19" s="686">
        <f>SUM(B17:B18)</f>
        <v>1673.83279014966</v>
      </c>
      <c r="C19" s="686">
        <f t="shared" ref="C19:N19" si="3">SUM(C17:C18)</f>
        <v>2095.1512405429203</v>
      </c>
      <c r="D19" s="686">
        <f t="shared" si="3"/>
        <v>1049.1781999055702</v>
      </c>
      <c r="E19" s="686">
        <f t="shared" si="3"/>
        <v>747.18311296230013</v>
      </c>
      <c r="F19" s="686">
        <f t="shared" si="3"/>
        <v>1608.7009602207602</v>
      </c>
      <c r="G19" s="686">
        <f t="shared" si="3"/>
        <v>152.48562227640002</v>
      </c>
      <c r="H19" s="686">
        <f t="shared" si="3"/>
        <v>934.64217795716263</v>
      </c>
      <c r="I19" s="686">
        <f t="shared" si="3"/>
        <v>613.26112325845497</v>
      </c>
      <c r="J19" s="686">
        <f t="shared" si="3"/>
        <v>530.21646068422501</v>
      </c>
      <c r="K19" s="686">
        <f t="shared" si="3"/>
        <v>496.14184002663001</v>
      </c>
      <c r="L19" s="686">
        <f t="shared" si="3"/>
        <v>607.74912730980009</v>
      </c>
      <c r="M19" s="686">
        <f t="shared" si="3"/>
        <v>410.59333238910006</v>
      </c>
      <c r="N19" s="686">
        <f t="shared" si="3"/>
        <v>10919.135987682985</v>
      </c>
      <c r="O19" s="30"/>
      <c r="P19" s="30"/>
      <c r="Q19" s="30"/>
      <c r="R19" s="30"/>
      <c r="S19" s="30"/>
      <c r="T19" s="30"/>
    </row>
    <row r="20" spans="1:20" ht="14" x14ac:dyDescent="0.3">
      <c r="A20" s="695" t="s">
        <v>1140</v>
      </c>
      <c r="B20" s="680">
        <f>B7*$B$14*B13</f>
        <v>1290.9192300480001</v>
      </c>
      <c r="C20" s="680">
        <f t="shared" ref="C20:M20" si="4">C7*$B$14*C13</f>
        <v>1592.9746317408003</v>
      </c>
      <c r="D20" s="680">
        <f t="shared" si="4"/>
        <v>759.78765368100028</v>
      </c>
      <c r="E20" s="680">
        <f t="shared" si="4"/>
        <v>190.66372479000003</v>
      </c>
      <c r="F20" s="680">
        <f t="shared" si="4"/>
        <v>429.18879624621002</v>
      </c>
      <c r="G20" s="680">
        <f t="shared" si="4"/>
        <v>4.7625433379999995</v>
      </c>
      <c r="H20" s="680">
        <f t="shared" si="4"/>
        <v>1.0713022656000002</v>
      </c>
      <c r="I20" s="680">
        <f t="shared" si="4"/>
        <v>5.3104788087750006</v>
      </c>
      <c r="J20" s="680">
        <f t="shared" si="4"/>
        <v>31.855583245500004</v>
      </c>
      <c r="K20" s="680">
        <f t="shared" si="4"/>
        <v>4.3521654540000005</v>
      </c>
      <c r="L20" s="680">
        <f t="shared" si="4"/>
        <v>2.1382847640000007</v>
      </c>
      <c r="M20" s="680">
        <f t="shared" si="4"/>
        <v>2.4104300976000004</v>
      </c>
      <c r="N20" s="696">
        <f>SUM(B20:M20)</f>
        <v>4315.4348244794855</v>
      </c>
      <c r="O20" s="30"/>
      <c r="P20" s="30"/>
      <c r="Q20" s="30"/>
      <c r="R20" s="30"/>
      <c r="S20" s="30"/>
      <c r="T20" s="30"/>
    </row>
    <row r="21" spans="1:20" ht="14" x14ac:dyDescent="0.3">
      <c r="A21" s="695" t="s">
        <v>1142</v>
      </c>
      <c r="B21" s="680">
        <f>B19-B20</f>
        <v>382.91356010165987</v>
      </c>
      <c r="C21" s="680">
        <f t="shared" ref="C21:M21" si="5">C19-C20</f>
        <v>502.17660880211997</v>
      </c>
      <c r="D21" s="680">
        <f t="shared" si="5"/>
        <v>289.3905462245699</v>
      </c>
      <c r="E21" s="680">
        <f t="shared" si="5"/>
        <v>556.51938817230007</v>
      </c>
      <c r="F21" s="680">
        <f t="shared" si="5"/>
        <v>1179.5121639745503</v>
      </c>
      <c r="G21" s="680">
        <f t="shared" si="5"/>
        <v>147.72307893840002</v>
      </c>
      <c r="H21" s="680">
        <f t="shared" si="5"/>
        <v>933.57087569156261</v>
      </c>
      <c r="I21" s="680">
        <f t="shared" si="5"/>
        <v>607.95064444968</v>
      </c>
      <c r="J21" s="680">
        <f t="shared" si="5"/>
        <v>498.36087743872503</v>
      </c>
      <c r="K21" s="680">
        <f t="shared" si="5"/>
        <v>491.78967457263002</v>
      </c>
      <c r="L21" s="680">
        <f t="shared" si="5"/>
        <v>605.6108425458001</v>
      </c>
      <c r="M21" s="680">
        <f t="shared" si="5"/>
        <v>408.18290229150006</v>
      </c>
      <c r="N21" s="696">
        <f>SUM(B21:M21)</f>
        <v>6603.7011632034983</v>
      </c>
      <c r="O21" s="30"/>
      <c r="P21" s="30"/>
      <c r="Q21" s="30"/>
      <c r="R21" s="30"/>
      <c r="S21" s="30"/>
      <c r="T21" s="30"/>
    </row>
    <row r="22" spans="1:20" ht="14" x14ac:dyDescent="0.3">
      <c r="A22" s="721"/>
      <c r="B22" s="720"/>
      <c r="C22" s="720"/>
      <c r="D22" s="720"/>
      <c r="E22" s="720"/>
      <c r="F22" s="720"/>
      <c r="G22" s="720"/>
      <c r="H22" s="720"/>
      <c r="I22" s="720"/>
      <c r="J22" s="720"/>
      <c r="K22" s="720"/>
      <c r="L22" s="720"/>
      <c r="M22" s="720"/>
      <c r="N22" s="693"/>
      <c r="O22" s="30"/>
      <c r="P22" s="30"/>
      <c r="Q22" s="30"/>
      <c r="R22" s="30"/>
      <c r="S22" s="30"/>
      <c r="T22" s="30"/>
    </row>
    <row r="23" spans="1:20" s="10" customFormat="1" ht="14" x14ac:dyDescent="0.3">
      <c r="A23" s="692"/>
      <c r="B23" s="693"/>
      <c r="C23" s="693"/>
      <c r="D23" s="693"/>
      <c r="E23" s="693"/>
      <c r="F23" s="693"/>
      <c r="G23" s="693"/>
      <c r="H23" s="693"/>
      <c r="I23" s="693"/>
      <c r="J23" s="693"/>
      <c r="K23" s="693"/>
      <c r="L23" s="693"/>
      <c r="M23" s="693"/>
      <c r="N23" s="693"/>
      <c r="O23" s="486"/>
      <c r="P23" s="486"/>
      <c r="Q23" s="486"/>
      <c r="R23" s="486"/>
      <c r="S23" s="486"/>
      <c r="T23" s="486"/>
    </row>
    <row r="24" spans="1:20" s="10" customFormat="1" ht="14" x14ac:dyDescent="0.3">
      <c r="A24" s="688" t="s">
        <v>464</v>
      </c>
      <c r="B24" s="683" t="s">
        <v>69</v>
      </c>
      <c r="C24" s="683" t="s">
        <v>70</v>
      </c>
      <c r="D24" s="683" t="s">
        <v>71</v>
      </c>
      <c r="E24" s="683" t="s">
        <v>72</v>
      </c>
      <c r="F24" s="683" t="s">
        <v>73</v>
      </c>
      <c r="G24" s="683" t="s">
        <v>74</v>
      </c>
      <c r="H24" s="683" t="s">
        <v>75</v>
      </c>
      <c r="I24" s="683" t="s">
        <v>76</v>
      </c>
      <c r="J24" s="683" t="s">
        <v>77</v>
      </c>
      <c r="K24" s="683" t="s">
        <v>78</v>
      </c>
      <c r="L24" s="683" t="s">
        <v>79</v>
      </c>
      <c r="M24" s="683" t="s">
        <v>80</v>
      </c>
      <c r="N24" s="688" t="s">
        <v>89</v>
      </c>
      <c r="O24" s="486"/>
      <c r="P24" s="486"/>
      <c r="Q24" s="486"/>
      <c r="R24" s="486"/>
      <c r="S24" s="486"/>
      <c r="T24" s="486"/>
    </row>
    <row r="25" spans="1:20" s="10" customFormat="1" ht="14" x14ac:dyDescent="0.3">
      <c r="A25" s="685" t="s">
        <v>857</v>
      </c>
      <c r="B25" s="679">
        <v>938</v>
      </c>
      <c r="C25" s="679">
        <v>579</v>
      </c>
      <c r="D25" s="679">
        <v>389</v>
      </c>
      <c r="E25" s="679">
        <v>323</v>
      </c>
      <c r="F25" s="679">
        <v>627</v>
      </c>
      <c r="G25" s="679">
        <v>595</v>
      </c>
      <c r="H25" s="679">
        <v>612</v>
      </c>
      <c r="I25" s="679">
        <v>892</v>
      </c>
      <c r="J25" s="679">
        <v>736.5</v>
      </c>
      <c r="K25" s="694">
        <v>648</v>
      </c>
      <c r="L25" s="694">
        <v>872</v>
      </c>
      <c r="M25" s="694">
        <v>1016</v>
      </c>
      <c r="N25" s="686">
        <f>AVERAGE(B25:M25)</f>
        <v>685.625</v>
      </c>
      <c r="O25" s="486"/>
      <c r="P25" s="486"/>
      <c r="Q25" s="486"/>
      <c r="R25" s="486"/>
      <c r="S25" s="486"/>
      <c r="T25" s="486"/>
    </row>
    <row r="26" spans="1:20" s="10" customFormat="1" ht="14" x14ac:dyDescent="0.3">
      <c r="A26" s="685" t="s">
        <v>856</v>
      </c>
      <c r="B26" s="679">
        <v>623</v>
      </c>
      <c r="C26" s="679">
        <v>1115</v>
      </c>
      <c r="D26" s="679">
        <v>1015</v>
      </c>
      <c r="E26" s="679">
        <v>1494</v>
      </c>
      <c r="F26" s="679">
        <v>1487</v>
      </c>
      <c r="G26" s="679">
        <v>1888</v>
      </c>
      <c r="H26" s="679">
        <v>1187.5</v>
      </c>
      <c r="I26" s="679">
        <v>1009</v>
      </c>
      <c r="J26" s="679">
        <v>2829</v>
      </c>
      <c r="K26" s="679">
        <v>640</v>
      </c>
      <c r="L26" s="679">
        <v>2125</v>
      </c>
      <c r="M26" s="679">
        <v>2318</v>
      </c>
      <c r="N26" s="686">
        <f>AVERAGE(B26:M26)</f>
        <v>1477.5416666666667</v>
      </c>
      <c r="O26" s="486"/>
      <c r="P26" s="486"/>
      <c r="Q26" s="486"/>
      <c r="R26" s="486"/>
      <c r="S26" s="486"/>
      <c r="T26" s="486"/>
    </row>
    <row r="27" spans="1:20" s="10" customFormat="1" ht="14" x14ac:dyDescent="0.3">
      <c r="A27" s="721" t="s">
        <v>1140</v>
      </c>
      <c r="B27" s="679">
        <v>767</v>
      </c>
      <c r="C27" s="679">
        <v>884</v>
      </c>
      <c r="D27" s="679">
        <v>689</v>
      </c>
      <c r="E27" s="679">
        <v>612</v>
      </c>
      <c r="F27" s="679">
        <v>504</v>
      </c>
      <c r="G27" s="679">
        <v>435</v>
      </c>
      <c r="H27" s="679">
        <v>420.5</v>
      </c>
      <c r="I27" s="679">
        <v>776</v>
      </c>
      <c r="J27" s="679">
        <v>684</v>
      </c>
      <c r="K27" s="679">
        <v>474</v>
      </c>
      <c r="L27" s="679">
        <v>593</v>
      </c>
      <c r="M27" s="679">
        <v>435</v>
      </c>
      <c r="N27" s="686">
        <f>AVERAGE(B27:M27)</f>
        <v>606.125</v>
      </c>
      <c r="O27" s="486"/>
      <c r="P27" s="486"/>
      <c r="Q27" s="486"/>
      <c r="R27" s="486"/>
      <c r="S27" s="486"/>
      <c r="T27" s="486"/>
    </row>
    <row r="28" spans="1:20" s="10" customFormat="1" ht="14" x14ac:dyDescent="0.3">
      <c r="A28" s="695"/>
      <c r="B28" s="679"/>
      <c r="C28" s="679"/>
      <c r="D28" s="679"/>
      <c r="E28" s="679"/>
      <c r="F28" s="679"/>
      <c r="G28" s="679"/>
      <c r="H28" s="679"/>
      <c r="I28" s="679"/>
      <c r="J28" s="679"/>
      <c r="K28" s="679"/>
      <c r="L28" s="679"/>
      <c r="M28" s="679"/>
      <c r="N28" s="696"/>
      <c r="O28" s="486"/>
      <c r="P28" s="486"/>
      <c r="Q28" s="486"/>
      <c r="R28" s="486"/>
      <c r="S28" s="486"/>
      <c r="T28" s="486"/>
    </row>
    <row r="29" spans="1:20" s="10" customFormat="1" ht="14" x14ac:dyDescent="0.3">
      <c r="A29" s="688" t="s">
        <v>694</v>
      </c>
      <c r="B29" s="690" t="s">
        <v>69</v>
      </c>
      <c r="C29" s="690" t="s">
        <v>70</v>
      </c>
      <c r="D29" s="690" t="s">
        <v>71</v>
      </c>
      <c r="E29" s="690" t="s">
        <v>72</v>
      </c>
      <c r="F29" s="690" t="s">
        <v>73</v>
      </c>
      <c r="G29" s="690" t="s">
        <v>74</v>
      </c>
      <c r="H29" s="690" t="s">
        <v>75</v>
      </c>
      <c r="I29" s="690" t="s">
        <v>76</v>
      </c>
      <c r="J29" s="690" t="s">
        <v>77</v>
      </c>
      <c r="K29" s="690" t="s">
        <v>78</v>
      </c>
      <c r="L29" s="690" t="s">
        <v>79</v>
      </c>
      <c r="M29" s="690" t="s">
        <v>80</v>
      </c>
      <c r="N29" s="690" t="s">
        <v>459</v>
      </c>
      <c r="O29" s="486"/>
      <c r="P29" s="486"/>
      <c r="Q29" s="486"/>
      <c r="R29" s="486"/>
      <c r="S29" s="486"/>
      <c r="T29" s="486"/>
    </row>
    <row r="30" spans="1:20" s="10" customFormat="1" ht="14" x14ac:dyDescent="0.3">
      <c r="A30" s="685" t="s">
        <v>857</v>
      </c>
      <c r="B30" s="680">
        <f>B4*$B$14*B25</f>
        <v>204.11655979260001</v>
      </c>
      <c r="C30" s="680">
        <f t="shared" ref="C30:M30" si="6">C4*$B$14*C25</f>
        <v>172.26637625610002</v>
      </c>
      <c r="D30" s="680">
        <f t="shared" si="6"/>
        <v>214.22864883399001</v>
      </c>
      <c r="E30" s="680">
        <f t="shared" si="6"/>
        <v>137.60996395230003</v>
      </c>
      <c r="F30" s="680">
        <f t="shared" si="6"/>
        <v>469.14502293351001</v>
      </c>
      <c r="G30" s="680">
        <f t="shared" si="6"/>
        <v>161.92647349200001</v>
      </c>
      <c r="H30" s="680">
        <f t="shared" si="6"/>
        <v>399.01657228146007</v>
      </c>
      <c r="I30" s="680">
        <f t="shared" si="6"/>
        <v>145.57993443630002</v>
      </c>
      <c r="J30" s="680">
        <f t="shared" si="6"/>
        <v>57.863686622175003</v>
      </c>
      <c r="K30" s="680">
        <f t="shared" si="6"/>
        <v>33.625499861519998</v>
      </c>
      <c r="L30" s="680">
        <f t="shared" si="6"/>
        <v>59.327682724800006</v>
      </c>
      <c r="M30" s="680">
        <f t="shared" si="6"/>
        <v>59.524232132400002</v>
      </c>
      <c r="N30" s="686">
        <f>SUM(B30:M30)</f>
        <v>2114.230653319155</v>
      </c>
      <c r="O30" s="486"/>
      <c r="P30" s="486"/>
      <c r="Q30" s="486"/>
      <c r="R30" s="486"/>
      <c r="S30" s="486"/>
      <c r="T30" s="486"/>
    </row>
    <row r="31" spans="1:20" s="10" customFormat="1" ht="14" x14ac:dyDescent="0.3">
      <c r="A31" s="685" t="s">
        <v>856</v>
      </c>
      <c r="B31" s="680">
        <f>B5*$B$14*B26</f>
        <v>1761.3665547981302</v>
      </c>
      <c r="C31" s="680">
        <f t="shared" ref="C31:M31" si="7">C5*$B$14*C26</f>
        <v>2423.4423163482006</v>
      </c>
      <c r="D31" s="680">
        <f t="shared" si="7"/>
        <v>1299.7491041902501</v>
      </c>
      <c r="E31" s="680">
        <f t="shared" si="7"/>
        <v>830.11130381340013</v>
      </c>
      <c r="F31" s="680">
        <f t="shared" si="7"/>
        <v>1829.4913354315502</v>
      </c>
      <c r="G31" s="680">
        <f t="shared" si="7"/>
        <v>721.78126191360002</v>
      </c>
      <c r="H31" s="680">
        <f t="shared" si="7"/>
        <v>1398.3947005021878</v>
      </c>
      <c r="I31" s="680">
        <f t="shared" si="7"/>
        <v>815.77491442712994</v>
      </c>
      <c r="J31" s="680">
        <f t="shared" si="7"/>
        <v>618.66895882050005</v>
      </c>
      <c r="K31" s="680">
        <f t="shared" si="7"/>
        <v>726.34293607680002</v>
      </c>
      <c r="L31" s="680">
        <f t="shared" si="7"/>
        <v>633.38586570000007</v>
      </c>
      <c r="M31" s="680">
        <f t="shared" si="7"/>
        <v>713.94261235248007</v>
      </c>
      <c r="N31" s="686">
        <f>SUM(B31:M31)</f>
        <v>13772.45186437423</v>
      </c>
      <c r="O31" s="486"/>
      <c r="P31" s="486"/>
      <c r="Q31" s="486"/>
      <c r="R31" s="486"/>
      <c r="S31" s="486"/>
      <c r="T31" s="486"/>
    </row>
    <row r="32" spans="1:20" ht="14" x14ac:dyDescent="0.3">
      <c r="A32" s="691" t="s">
        <v>90</v>
      </c>
      <c r="B32" s="686">
        <f>SUM(B30:B31)</f>
        <v>1965.4831145907301</v>
      </c>
      <c r="C32" s="686">
        <f t="shared" ref="C32:N32" si="8">SUM(C30:C31)</f>
        <v>2595.7086926043007</v>
      </c>
      <c r="D32" s="686">
        <f t="shared" si="8"/>
        <v>1513.9777530242402</v>
      </c>
      <c r="E32" s="686">
        <f t="shared" si="8"/>
        <v>967.72126776570019</v>
      </c>
      <c r="F32" s="686">
        <f t="shared" si="8"/>
        <v>2298.63635836506</v>
      </c>
      <c r="G32" s="686">
        <f t="shared" si="8"/>
        <v>883.70773540560003</v>
      </c>
      <c r="H32" s="686">
        <f t="shared" si="8"/>
        <v>1797.4112727836477</v>
      </c>
      <c r="I32" s="686">
        <f t="shared" si="8"/>
        <v>961.35484886342999</v>
      </c>
      <c r="J32" s="686">
        <f t="shared" si="8"/>
        <v>676.53264544267506</v>
      </c>
      <c r="K32" s="686">
        <f t="shared" si="8"/>
        <v>759.96843593832</v>
      </c>
      <c r="L32" s="686">
        <f t="shared" si="8"/>
        <v>692.71354842480002</v>
      </c>
      <c r="M32" s="686">
        <f t="shared" si="8"/>
        <v>773.46684448488008</v>
      </c>
      <c r="N32" s="686">
        <f t="shared" si="8"/>
        <v>15886.682517693385</v>
      </c>
      <c r="O32" s="36"/>
      <c r="P32" s="36"/>
      <c r="Q32" s="36"/>
      <c r="R32" s="36"/>
      <c r="S32" s="30"/>
      <c r="T32" s="30"/>
    </row>
    <row r="33" spans="1:20" ht="14" x14ac:dyDescent="0.3">
      <c r="A33" s="695" t="s">
        <v>1140</v>
      </c>
      <c r="B33" s="680">
        <f>B7*$B$14*B27</f>
        <v>2054.2220942880003</v>
      </c>
      <c r="C33" s="680">
        <f t="shared" ref="C33:M33" si="9">C7*$B$14*C27</f>
        <v>2000.2692819018005</v>
      </c>
      <c r="D33" s="680">
        <f t="shared" si="9"/>
        <v>1470.4879027702505</v>
      </c>
      <c r="E33" s="680">
        <f t="shared" si="9"/>
        <v>545.26261482000007</v>
      </c>
      <c r="F33" s="680">
        <f t="shared" si="9"/>
        <v>1327.0622902336802</v>
      </c>
      <c r="G33" s="680">
        <f t="shared" si="9"/>
        <v>98.652683429999982</v>
      </c>
      <c r="H33" s="680">
        <f t="shared" si="9"/>
        <v>14.077581333900003</v>
      </c>
      <c r="I33" s="680">
        <f t="shared" si="9"/>
        <v>58.452929866800012</v>
      </c>
      <c r="J33" s="680">
        <f t="shared" si="9"/>
        <v>254.84466596400003</v>
      </c>
      <c r="K33" s="680">
        <f t="shared" si="9"/>
        <v>39.671662023000003</v>
      </c>
      <c r="L33" s="680">
        <f t="shared" si="9"/>
        <v>19.212164622000007</v>
      </c>
      <c r="M33" s="680">
        <f t="shared" si="9"/>
        <v>14.563015173000002</v>
      </c>
      <c r="N33" s="696">
        <f>SUM(B33:M33)</f>
        <v>7896.7788864264312</v>
      </c>
      <c r="O33" s="36"/>
      <c r="P33" s="36"/>
      <c r="Q33" s="36"/>
      <c r="R33" s="36"/>
      <c r="S33" s="30"/>
      <c r="T33" s="30"/>
    </row>
    <row r="34" spans="1:20" ht="14" x14ac:dyDescent="0.3">
      <c r="A34" s="695" t="s">
        <v>1143</v>
      </c>
      <c r="B34" s="696">
        <f>B32-B33</f>
        <v>-88.738979697270224</v>
      </c>
      <c r="C34" s="696">
        <f t="shared" ref="C34:M34" si="10">C32-C33</f>
        <v>595.43941070250025</v>
      </c>
      <c r="D34" s="696">
        <f t="shared" si="10"/>
        <v>43.489850253989744</v>
      </c>
      <c r="E34" s="696">
        <f t="shared" si="10"/>
        <v>422.45865294570012</v>
      </c>
      <c r="F34" s="696">
        <f t="shared" si="10"/>
        <v>971.57406813137982</v>
      </c>
      <c r="G34" s="696">
        <f t="shared" si="10"/>
        <v>785.05505197560001</v>
      </c>
      <c r="H34" s="696">
        <f t="shared" si="10"/>
        <v>1783.3336914497477</v>
      </c>
      <c r="I34" s="696">
        <f t="shared" si="10"/>
        <v>902.90191899663</v>
      </c>
      <c r="J34" s="696">
        <f t="shared" si="10"/>
        <v>421.68797947867506</v>
      </c>
      <c r="K34" s="696">
        <f t="shared" si="10"/>
        <v>720.29677391532005</v>
      </c>
      <c r="L34" s="696">
        <f t="shared" si="10"/>
        <v>673.50138380279998</v>
      </c>
      <c r="M34" s="696">
        <f t="shared" si="10"/>
        <v>758.90382931188003</v>
      </c>
      <c r="N34" s="696">
        <f>SUM(B34:M34)</f>
        <v>7989.9036312669532</v>
      </c>
      <c r="O34" s="36"/>
      <c r="P34" s="36"/>
      <c r="Q34" s="36"/>
      <c r="R34" s="36"/>
      <c r="S34" s="30"/>
      <c r="T34" s="30"/>
    </row>
    <row r="35" spans="1:20" ht="14" x14ac:dyDescent="0.3">
      <c r="A35" s="721"/>
      <c r="B35" s="693"/>
      <c r="C35" s="693"/>
      <c r="D35" s="693"/>
      <c r="E35" s="693"/>
      <c r="F35" s="693"/>
      <c r="G35" s="693"/>
      <c r="H35" s="693"/>
      <c r="I35" s="693"/>
      <c r="J35" s="693"/>
      <c r="K35" s="693"/>
      <c r="L35" s="693"/>
      <c r="M35" s="693"/>
      <c r="N35" s="693"/>
      <c r="O35" s="36"/>
      <c r="P35" s="36"/>
      <c r="Q35" s="36"/>
      <c r="R35" s="36"/>
      <c r="S35" s="30"/>
      <c r="T35" s="30"/>
    </row>
    <row r="36" spans="1:20" s="10" customFormat="1" ht="14" x14ac:dyDescent="0.3">
      <c r="A36" s="722"/>
      <c r="B36" s="693"/>
      <c r="C36" s="693"/>
      <c r="D36" s="693"/>
      <c r="E36" s="693"/>
      <c r="F36" s="693"/>
      <c r="G36" s="693"/>
      <c r="H36" s="693"/>
      <c r="I36" s="693"/>
      <c r="J36" s="693"/>
      <c r="K36" s="693"/>
      <c r="L36" s="693"/>
      <c r="M36" s="693"/>
      <c r="N36" s="693"/>
      <c r="O36" s="487"/>
      <c r="P36" s="487"/>
      <c r="Q36" s="487"/>
      <c r="R36" s="487"/>
      <c r="S36" s="486"/>
      <c r="T36" s="486"/>
    </row>
    <row r="37" spans="1:20" ht="14" x14ac:dyDescent="0.3">
      <c r="A37" s="688" t="s">
        <v>67</v>
      </c>
      <c r="B37" s="683" t="s">
        <v>69</v>
      </c>
      <c r="C37" s="683" t="s">
        <v>70</v>
      </c>
      <c r="D37" s="683" t="s">
        <v>71</v>
      </c>
      <c r="E37" s="683" t="s">
        <v>72</v>
      </c>
      <c r="F37" s="683" t="s">
        <v>73</v>
      </c>
      <c r="G37" s="683" t="s">
        <v>74</v>
      </c>
      <c r="H37" s="683" t="s">
        <v>75</v>
      </c>
      <c r="I37" s="683" t="s">
        <v>76</v>
      </c>
      <c r="J37" s="683" t="s">
        <v>77</v>
      </c>
      <c r="K37" s="683" t="s">
        <v>78</v>
      </c>
      <c r="L37" s="683" t="s">
        <v>79</v>
      </c>
      <c r="M37" s="683" t="s">
        <v>80</v>
      </c>
      <c r="N37" s="690" t="s">
        <v>89</v>
      </c>
      <c r="O37" s="37"/>
      <c r="P37" s="37"/>
      <c r="Q37" s="37"/>
      <c r="R37" s="37"/>
      <c r="T37" s="30"/>
    </row>
    <row r="38" spans="1:20" ht="14" x14ac:dyDescent="0.3">
      <c r="A38" s="697" t="s">
        <v>117</v>
      </c>
      <c r="B38" s="680">
        <v>32</v>
      </c>
      <c r="C38" s="680">
        <v>5</v>
      </c>
      <c r="D38" s="698">
        <v>11</v>
      </c>
      <c r="E38" s="680">
        <v>9</v>
      </c>
      <c r="F38" s="680">
        <v>40</v>
      </c>
      <c r="G38" s="687">
        <v>37</v>
      </c>
      <c r="H38" s="687">
        <v>101.5</v>
      </c>
      <c r="I38" s="687">
        <v>11</v>
      </c>
      <c r="J38" s="698">
        <v>9</v>
      </c>
      <c r="K38" s="680">
        <v>12</v>
      </c>
      <c r="L38" s="680">
        <v>5</v>
      </c>
      <c r="M38" s="680">
        <v>4</v>
      </c>
      <c r="N38" s="699">
        <f>AVERAGE(B38:M38)</f>
        <v>23.041666666666668</v>
      </c>
      <c r="O38" s="38"/>
      <c r="P38" s="38"/>
      <c r="Q38" s="38"/>
      <c r="R38" s="38"/>
      <c r="T38" s="30"/>
    </row>
    <row r="39" spans="1:20" ht="14" x14ac:dyDescent="0.3">
      <c r="A39" s="697" t="s">
        <v>116</v>
      </c>
      <c r="B39" s="680">
        <v>2</v>
      </c>
      <c r="C39" s="680">
        <v>31</v>
      </c>
      <c r="D39" s="679">
        <v>19</v>
      </c>
      <c r="E39" s="680">
        <v>7</v>
      </c>
      <c r="F39" s="680">
        <v>73</v>
      </c>
      <c r="G39" s="687">
        <v>90</v>
      </c>
      <c r="H39" s="687">
        <v>139</v>
      </c>
      <c r="I39" s="687">
        <v>78.5</v>
      </c>
      <c r="J39" s="679">
        <v>40</v>
      </c>
      <c r="K39" s="679">
        <v>26</v>
      </c>
      <c r="L39" s="679">
        <v>17</v>
      </c>
      <c r="M39" s="679">
        <v>32</v>
      </c>
      <c r="N39" s="687">
        <f>AVERAGE(B39:M39)</f>
        <v>46.208333333333336</v>
      </c>
      <c r="O39" s="38"/>
      <c r="P39" s="38"/>
      <c r="Q39" s="38"/>
      <c r="R39" s="38"/>
      <c r="T39" s="30"/>
    </row>
    <row r="40" spans="1:20" ht="14" x14ac:dyDescent="0.3">
      <c r="A40" s="695" t="s">
        <v>1140</v>
      </c>
      <c r="B40" s="680">
        <v>14</v>
      </c>
      <c r="C40" s="680">
        <v>21</v>
      </c>
      <c r="D40" s="679">
        <v>16</v>
      </c>
      <c r="E40" s="680">
        <v>21</v>
      </c>
      <c r="F40" s="680">
        <v>21</v>
      </c>
      <c r="G40" s="687">
        <v>30</v>
      </c>
      <c r="H40" s="687">
        <v>59</v>
      </c>
      <c r="I40" s="687">
        <v>109.5</v>
      </c>
      <c r="J40" s="679">
        <v>108.5</v>
      </c>
      <c r="K40" s="679">
        <v>75</v>
      </c>
      <c r="L40" s="679">
        <v>53</v>
      </c>
      <c r="M40" s="679">
        <v>34</v>
      </c>
      <c r="N40" s="687">
        <f>AVERAGE(B40:M40)</f>
        <v>46.833333333333336</v>
      </c>
      <c r="O40" s="38"/>
      <c r="P40" s="38"/>
      <c r="Q40" s="38"/>
      <c r="R40" s="38"/>
      <c r="T40" s="30"/>
    </row>
    <row r="41" spans="1:20" ht="14" x14ac:dyDescent="0.3">
      <c r="A41" s="387"/>
      <c r="B41" s="387"/>
      <c r="C41" s="387"/>
      <c r="D41" s="387"/>
      <c r="E41" s="387"/>
      <c r="F41" s="387"/>
      <c r="G41" s="387"/>
      <c r="H41" s="387"/>
      <c r="I41" s="387"/>
      <c r="J41" s="387"/>
      <c r="K41" s="387"/>
      <c r="L41" s="387"/>
      <c r="M41" s="387"/>
      <c r="N41" s="387"/>
      <c r="O41" s="30"/>
      <c r="P41" s="30"/>
      <c r="Q41" s="30"/>
      <c r="R41" s="30"/>
      <c r="S41" s="30"/>
      <c r="T41" s="30"/>
    </row>
    <row r="42" spans="1:20" ht="14" x14ac:dyDescent="0.3">
      <c r="A42" s="688" t="s">
        <v>114</v>
      </c>
      <c r="B42" s="690" t="s">
        <v>69</v>
      </c>
      <c r="C42" s="690" t="s">
        <v>70</v>
      </c>
      <c r="D42" s="690" t="s">
        <v>71</v>
      </c>
      <c r="E42" s="690" t="s">
        <v>72</v>
      </c>
      <c r="F42" s="690" t="s">
        <v>73</v>
      </c>
      <c r="G42" s="690" t="s">
        <v>74</v>
      </c>
      <c r="H42" s="690" t="s">
        <v>75</v>
      </c>
      <c r="I42" s="690" t="s">
        <v>76</v>
      </c>
      <c r="J42" s="690" t="s">
        <v>77</v>
      </c>
      <c r="K42" s="690" t="s">
        <v>78</v>
      </c>
      <c r="L42" s="690" t="s">
        <v>79</v>
      </c>
      <c r="M42" s="690" t="s">
        <v>80</v>
      </c>
      <c r="N42" s="690" t="s">
        <v>459</v>
      </c>
      <c r="O42" s="30"/>
      <c r="P42" s="30"/>
      <c r="Q42" s="30"/>
      <c r="R42" s="30"/>
      <c r="S42" s="30"/>
      <c r="T42" s="30"/>
    </row>
    <row r="43" spans="1:20" ht="14" x14ac:dyDescent="0.3">
      <c r="A43" s="685" t="s">
        <v>857</v>
      </c>
      <c r="B43" s="680">
        <f t="shared" ref="B43:M43" si="11">B38*$B$14*B4</f>
        <v>6.9634647264000007</v>
      </c>
      <c r="C43" s="679">
        <f t="shared" si="11"/>
        <v>1.4876198295</v>
      </c>
      <c r="D43" s="679">
        <f t="shared" si="11"/>
        <v>6.0578795300100001</v>
      </c>
      <c r="E43" s="680">
        <f t="shared" si="11"/>
        <v>3.8343333609000005</v>
      </c>
      <c r="F43" s="679">
        <f t="shared" si="11"/>
        <v>29.929507045200001</v>
      </c>
      <c r="G43" s="679">
        <f t="shared" si="11"/>
        <v>10.069377343200001</v>
      </c>
      <c r="H43" s="679">
        <f t="shared" si="11"/>
        <v>66.17676811530751</v>
      </c>
      <c r="I43" s="679">
        <f t="shared" si="11"/>
        <v>1.7952682497749999</v>
      </c>
      <c r="J43" s="679">
        <f t="shared" si="11"/>
        <v>0.70709189355000002</v>
      </c>
      <c r="K43" s="679">
        <f t="shared" si="11"/>
        <v>0.62269444188</v>
      </c>
      <c r="L43" s="680">
        <f t="shared" si="11"/>
        <v>0.34018166700000002</v>
      </c>
      <c r="M43" s="680">
        <f t="shared" si="11"/>
        <v>0.23434737059999999</v>
      </c>
      <c r="N43" s="686">
        <f>SUM(B43:M43)</f>
        <v>128.2185335733225</v>
      </c>
      <c r="O43" s="30"/>
      <c r="P43" s="30"/>
      <c r="Q43" s="30"/>
      <c r="R43" s="30"/>
      <c r="S43" s="30"/>
      <c r="T43" s="30"/>
    </row>
    <row r="44" spans="1:20" ht="14" x14ac:dyDescent="0.3">
      <c r="A44" s="685" t="s">
        <v>856</v>
      </c>
      <c r="B44" s="679">
        <f t="shared" ref="B44:M44" si="12">B39*$B$14*B5</f>
        <v>5.6544672706200005</v>
      </c>
      <c r="C44" s="679">
        <f t="shared" si="12"/>
        <v>67.378216867079999</v>
      </c>
      <c r="D44" s="679">
        <f t="shared" si="12"/>
        <v>24.330278797650003</v>
      </c>
      <c r="E44" s="679">
        <f t="shared" si="12"/>
        <v>3.8894103927000003</v>
      </c>
      <c r="F44" s="679">
        <f t="shared" si="12"/>
        <v>89.813629782450008</v>
      </c>
      <c r="G44" s="679">
        <f t="shared" si="12"/>
        <v>34.406945747999998</v>
      </c>
      <c r="H44" s="679">
        <f t="shared" si="12"/>
        <v>163.68577967983504</v>
      </c>
      <c r="I44" s="679">
        <f t="shared" si="12"/>
        <v>63.467126642745001</v>
      </c>
      <c r="J44" s="679">
        <f t="shared" si="12"/>
        <v>8.7475285800000009</v>
      </c>
      <c r="K44" s="679">
        <f t="shared" si="12"/>
        <v>29.507681778120002</v>
      </c>
      <c r="L44" s="679">
        <f t="shared" si="12"/>
        <v>5.0670869256000017</v>
      </c>
      <c r="M44" s="679">
        <f t="shared" si="12"/>
        <v>9.8559808435200011</v>
      </c>
      <c r="N44" s="686">
        <f>SUM(B44:M44)</f>
        <v>505.80413330832005</v>
      </c>
      <c r="O44" s="30"/>
      <c r="P44" s="30"/>
      <c r="Q44" s="30"/>
      <c r="R44" s="30"/>
      <c r="S44" s="30"/>
      <c r="T44" s="30"/>
    </row>
    <row r="45" spans="1:20" ht="14" x14ac:dyDescent="0.3">
      <c r="A45" s="691" t="s">
        <v>90</v>
      </c>
      <c r="B45" s="700">
        <f>SUM(B43:B44)</f>
        <v>12.617931997020001</v>
      </c>
      <c r="C45" s="700">
        <f t="shared" ref="C45:N45" si="13">SUM(C43:C44)</f>
        <v>68.865836696580004</v>
      </c>
      <c r="D45" s="700">
        <f t="shared" si="13"/>
        <v>30.388158327660001</v>
      </c>
      <c r="E45" s="700">
        <f t="shared" si="13"/>
        <v>7.7237437536000009</v>
      </c>
      <c r="F45" s="700">
        <f t="shared" si="13"/>
        <v>119.74313682765001</v>
      </c>
      <c r="G45" s="700">
        <f t="shared" si="13"/>
        <v>44.476323091200001</v>
      </c>
      <c r="H45" s="700">
        <f t="shared" si="13"/>
        <v>229.86254779514255</v>
      </c>
      <c r="I45" s="700">
        <f t="shared" si="13"/>
        <v>65.262394892520007</v>
      </c>
      <c r="J45" s="700">
        <f t="shared" si="13"/>
        <v>9.4546204735500012</v>
      </c>
      <c r="K45" s="700">
        <f t="shared" si="13"/>
        <v>30.130376220000002</v>
      </c>
      <c r="L45" s="700">
        <f t="shared" si="13"/>
        <v>5.4072685926000021</v>
      </c>
      <c r="M45" s="700">
        <f t="shared" si="13"/>
        <v>10.090328214120001</v>
      </c>
      <c r="N45" s="686">
        <f t="shared" si="13"/>
        <v>634.02266688164252</v>
      </c>
      <c r="O45" s="30"/>
      <c r="P45" s="30"/>
      <c r="Q45" s="30"/>
      <c r="R45" s="30"/>
      <c r="S45" s="30"/>
      <c r="T45" s="30"/>
    </row>
    <row r="46" spans="1:20" ht="14" x14ac:dyDescent="0.3">
      <c r="A46" s="695" t="s">
        <v>1140</v>
      </c>
      <c r="B46" s="679">
        <f t="shared" ref="B46:M46" si="14">B40*$B$14*B7</f>
        <v>37.49557929600001</v>
      </c>
      <c r="C46" s="679">
        <f t="shared" si="14"/>
        <v>47.517709185450009</v>
      </c>
      <c r="D46" s="679">
        <f t="shared" si="14"/>
        <v>34.14775971600001</v>
      </c>
      <c r="E46" s="679">
        <f t="shared" si="14"/>
        <v>18.709991685000006</v>
      </c>
      <c r="F46" s="679">
        <f t="shared" si="14"/>
        <v>55.29426209307001</v>
      </c>
      <c r="G46" s="679">
        <f t="shared" si="14"/>
        <v>6.8036333399999984</v>
      </c>
      <c r="H46" s="679">
        <f t="shared" si="14"/>
        <v>1.9752135522000007</v>
      </c>
      <c r="I46" s="679">
        <f t="shared" si="14"/>
        <v>8.2481904902250012</v>
      </c>
      <c r="J46" s="679">
        <f t="shared" si="14"/>
        <v>40.424921428500006</v>
      </c>
      <c r="K46" s="679">
        <f t="shared" si="14"/>
        <v>6.2771617125000008</v>
      </c>
      <c r="L46" s="679">
        <f t="shared" si="14"/>
        <v>1.7171074620000002</v>
      </c>
      <c r="M46" s="679">
        <f t="shared" si="14"/>
        <v>1.1382586572000004</v>
      </c>
      <c r="N46" s="696">
        <f>SUM(B46:M46)</f>
        <v>259.74978861814503</v>
      </c>
      <c r="O46" s="30"/>
      <c r="P46" s="30"/>
      <c r="Q46" s="30"/>
      <c r="R46" s="30"/>
      <c r="S46" s="30"/>
      <c r="T46" s="30"/>
    </row>
    <row r="47" spans="1:20" ht="14" x14ac:dyDescent="0.3">
      <c r="A47" s="695" t="s">
        <v>1144</v>
      </c>
      <c r="B47" s="679">
        <f>B45-B46</f>
        <v>-24.877647298980008</v>
      </c>
      <c r="C47" s="679">
        <f t="shared" ref="C47:M47" si="15">C45-C46</f>
        <v>21.348127511129995</v>
      </c>
      <c r="D47" s="679">
        <f t="shared" si="15"/>
        <v>-3.759601388340009</v>
      </c>
      <c r="E47" s="679">
        <f t="shared" si="15"/>
        <v>-10.986247931400005</v>
      </c>
      <c r="F47" s="679">
        <f t="shared" si="15"/>
        <v>64.448874734579988</v>
      </c>
      <c r="G47" s="679">
        <f t="shared" si="15"/>
        <v>37.672689751200004</v>
      </c>
      <c r="H47" s="679">
        <f t="shared" si="15"/>
        <v>227.88733424294256</v>
      </c>
      <c r="I47" s="679">
        <f t="shared" si="15"/>
        <v>57.014204402295007</v>
      </c>
      <c r="J47" s="679">
        <f t="shared" si="15"/>
        <v>-30.970300954950005</v>
      </c>
      <c r="K47" s="679">
        <f t="shared" si="15"/>
        <v>23.853214507500002</v>
      </c>
      <c r="L47" s="679">
        <f t="shared" si="15"/>
        <v>3.6901611306000017</v>
      </c>
      <c r="M47" s="679">
        <f t="shared" si="15"/>
        <v>8.9520695569200015</v>
      </c>
      <c r="N47" s="696">
        <f>SUM(B47:M47)</f>
        <v>374.2728782634976</v>
      </c>
      <c r="O47" s="30"/>
      <c r="P47" s="30"/>
      <c r="Q47" s="30"/>
      <c r="R47" s="30"/>
      <c r="S47" s="30"/>
      <c r="T47" s="30"/>
    </row>
    <row r="48" spans="1:20" ht="14" x14ac:dyDescent="0.3">
      <c r="A48" s="721"/>
      <c r="B48" s="719"/>
      <c r="C48" s="719"/>
      <c r="D48" s="719"/>
      <c r="E48" s="719"/>
      <c r="F48" s="719"/>
      <c r="G48" s="719"/>
      <c r="H48" s="719"/>
      <c r="I48" s="719"/>
      <c r="J48" s="719"/>
      <c r="K48" s="719"/>
      <c r="L48" s="719"/>
      <c r="M48" s="719"/>
      <c r="N48" s="693"/>
      <c r="O48" s="30"/>
      <c r="P48" s="30"/>
      <c r="Q48" s="30"/>
      <c r="R48" s="30"/>
      <c r="S48" s="30"/>
      <c r="T48" s="30"/>
    </row>
    <row r="49" spans="1:20" ht="14" x14ac:dyDescent="0.3">
      <c r="A49" s="518"/>
      <c r="B49" s="518"/>
      <c r="C49" s="518"/>
      <c r="D49" s="518"/>
      <c r="E49" s="518"/>
      <c r="F49" s="518"/>
      <c r="G49" s="518"/>
      <c r="H49" s="518"/>
      <c r="I49" s="518"/>
      <c r="J49" s="518"/>
      <c r="K49" s="518"/>
      <c r="L49" s="518"/>
      <c r="M49" s="518"/>
      <c r="N49" s="693"/>
      <c r="O49" s="36"/>
      <c r="P49" s="36"/>
      <c r="Q49" s="36"/>
      <c r="R49" s="36"/>
      <c r="S49" s="30"/>
      <c r="T49" s="30"/>
    </row>
    <row r="50" spans="1:20" ht="22.5" customHeight="1" x14ac:dyDescent="0.3">
      <c r="A50" s="701" t="s">
        <v>65</v>
      </c>
      <c r="B50" s="702" t="s">
        <v>69</v>
      </c>
      <c r="C50" s="702" t="s">
        <v>70</v>
      </c>
      <c r="D50" s="702" t="s">
        <v>71</v>
      </c>
      <c r="E50" s="702" t="s">
        <v>72</v>
      </c>
      <c r="F50" s="702" t="s">
        <v>73</v>
      </c>
      <c r="G50" s="702" t="s">
        <v>74</v>
      </c>
      <c r="H50" s="702" t="s">
        <v>75</v>
      </c>
      <c r="I50" s="702" t="s">
        <v>76</v>
      </c>
      <c r="J50" s="702" t="s">
        <v>77</v>
      </c>
      <c r="K50" s="702" t="s">
        <v>78</v>
      </c>
      <c r="L50" s="702" t="s">
        <v>79</v>
      </c>
      <c r="M50" s="702" t="s">
        <v>80</v>
      </c>
      <c r="N50" s="690" t="s">
        <v>89</v>
      </c>
      <c r="O50" s="34"/>
      <c r="P50" s="34"/>
      <c r="Q50" s="34"/>
      <c r="R50" s="34"/>
      <c r="T50" s="30"/>
    </row>
    <row r="51" spans="1:20" ht="14" x14ac:dyDescent="0.3">
      <c r="A51" s="685" t="s">
        <v>857</v>
      </c>
      <c r="B51" s="680">
        <v>1</v>
      </c>
      <c r="C51" s="680">
        <v>4.4000000000000004</v>
      </c>
      <c r="D51" s="680">
        <v>12.6</v>
      </c>
      <c r="E51" s="680">
        <v>4.8</v>
      </c>
      <c r="F51" s="680">
        <v>26.5</v>
      </c>
      <c r="G51" s="680">
        <v>12.5</v>
      </c>
      <c r="H51" s="680">
        <v>103.55</v>
      </c>
      <c r="I51" s="680">
        <v>34.9</v>
      </c>
      <c r="J51" s="680">
        <v>11.1</v>
      </c>
      <c r="K51" s="680">
        <v>18.100000000000001</v>
      </c>
      <c r="L51" s="680">
        <v>18.399999999999999</v>
      </c>
      <c r="M51" s="680">
        <v>16.2</v>
      </c>
      <c r="N51" s="687">
        <f>AVERAGE(B51:M51)</f>
        <v>22.004166666666666</v>
      </c>
      <c r="O51" s="39"/>
      <c r="P51" s="39"/>
      <c r="Q51" s="39"/>
      <c r="R51" s="39"/>
      <c r="T51" s="30"/>
    </row>
    <row r="52" spans="1:20" ht="14" x14ac:dyDescent="0.3">
      <c r="A52" s="685" t="s">
        <v>856</v>
      </c>
      <c r="B52" s="680">
        <v>1</v>
      </c>
      <c r="C52" s="680">
        <v>1</v>
      </c>
      <c r="D52" s="680">
        <v>27.2</v>
      </c>
      <c r="E52" s="680">
        <v>6.2</v>
      </c>
      <c r="F52" s="680">
        <v>14.6</v>
      </c>
      <c r="G52" s="680">
        <v>9.8000000000000007</v>
      </c>
      <c r="H52" s="680">
        <v>35.5</v>
      </c>
      <c r="I52" s="680">
        <v>14.9</v>
      </c>
      <c r="J52" s="680">
        <v>56.6</v>
      </c>
      <c r="K52" s="680">
        <v>6.2</v>
      </c>
      <c r="L52" s="680">
        <v>4.4000000000000004</v>
      </c>
      <c r="M52" s="680">
        <v>4</v>
      </c>
      <c r="N52" s="687">
        <f>AVERAGE(B52:M52)</f>
        <v>15.116666666666667</v>
      </c>
      <c r="O52" s="40"/>
      <c r="P52" s="40"/>
      <c r="Q52" s="40"/>
      <c r="R52" s="40"/>
      <c r="T52" s="30"/>
    </row>
    <row r="53" spans="1:20" ht="14" x14ac:dyDescent="0.3">
      <c r="A53" s="695" t="s">
        <v>1140</v>
      </c>
      <c r="B53" s="680">
        <v>1</v>
      </c>
      <c r="C53" s="680">
        <v>1</v>
      </c>
      <c r="D53" s="680">
        <v>4</v>
      </c>
      <c r="E53" s="680">
        <v>8</v>
      </c>
      <c r="F53" s="680">
        <v>4.2</v>
      </c>
      <c r="G53" s="680">
        <v>8.3000000000000007</v>
      </c>
      <c r="H53" s="680">
        <v>14.5</v>
      </c>
      <c r="I53" s="680">
        <v>10.6</v>
      </c>
      <c r="J53" s="680">
        <v>11.4</v>
      </c>
      <c r="K53" s="680">
        <v>5</v>
      </c>
      <c r="L53" s="680">
        <v>10.8</v>
      </c>
      <c r="M53" s="680">
        <v>7.6</v>
      </c>
      <c r="N53" s="723">
        <f>AVERAGE(B53:M53)</f>
        <v>7.1999999999999993</v>
      </c>
      <c r="O53" s="40"/>
      <c r="P53" s="40"/>
      <c r="Q53" s="40"/>
      <c r="R53" s="40"/>
      <c r="T53" s="30"/>
    </row>
    <row r="54" spans="1:20" ht="14" x14ac:dyDescent="0.3">
      <c r="A54" s="721"/>
      <c r="B54" s="720"/>
      <c r="C54" s="720"/>
      <c r="D54" s="720"/>
      <c r="E54" s="720"/>
      <c r="F54" s="720"/>
      <c r="G54" s="720"/>
      <c r="H54" s="720"/>
      <c r="I54" s="720"/>
      <c r="J54" s="720"/>
      <c r="K54" s="720"/>
      <c r="L54" s="720"/>
      <c r="M54" s="720"/>
      <c r="N54" s="724"/>
      <c r="O54" s="40"/>
      <c r="P54" s="40"/>
      <c r="Q54" s="40"/>
      <c r="R54" s="40"/>
      <c r="T54" s="30"/>
    </row>
    <row r="55" spans="1:20" ht="14" x14ac:dyDescent="0.3">
      <c r="A55" s="721"/>
      <c r="B55" s="720"/>
      <c r="C55" s="720"/>
      <c r="D55" s="720"/>
      <c r="E55" s="720"/>
      <c r="F55" s="720"/>
      <c r="G55" s="720"/>
      <c r="H55" s="720"/>
      <c r="I55" s="720"/>
      <c r="J55" s="720"/>
      <c r="K55" s="720"/>
      <c r="L55" s="720"/>
      <c r="M55" s="720"/>
      <c r="N55" s="724"/>
      <c r="O55" s="40"/>
      <c r="P55" s="40"/>
      <c r="Q55" s="40"/>
      <c r="R55" s="40"/>
      <c r="T55" s="30"/>
    </row>
    <row r="56" spans="1:20" ht="14" x14ac:dyDescent="0.3">
      <c r="A56" s="387"/>
      <c r="B56" s="387"/>
      <c r="C56" s="387"/>
      <c r="D56" s="387"/>
      <c r="E56" s="387"/>
      <c r="F56" s="387"/>
      <c r="G56" s="387"/>
      <c r="H56" s="387"/>
      <c r="I56" s="387"/>
      <c r="J56" s="387"/>
      <c r="K56" s="387"/>
      <c r="L56" s="387"/>
      <c r="M56" s="387"/>
      <c r="N56" s="703"/>
      <c r="O56" s="30"/>
      <c r="P56" s="30"/>
      <c r="Q56" s="30"/>
      <c r="R56" s="30"/>
      <c r="S56" s="30"/>
      <c r="T56" s="30"/>
    </row>
    <row r="57" spans="1:20" ht="14" x14ac:dyDescent="0.3">
      <c r="A57" s="701" t="s">
        <v>113</v>
      </c>
      <c r="B57" s="690" t="s">
        <v>69</v>
      </c>
      <c r="C57" s="690" t="s">
        <v>70</v>
      </c>
      <c r="D57" s="690" t="s">
        <v>71</v>
      </c>
      <c r="E57" s="690" t="s">
        <v>72</v>
      </c>
      <c r="F57" s="690" t="s">
        <v>73</v>
      </c>
      <c r="G57" s="690" t="s">
        <v>74</v>
      </c>
      <c r="H57" s="690" t="s">
        <v>75</v>
      </c>
      <c r="I57" s="690" t="s">
        <v>76</v>
      </c>
      <c r="J57" s="690" t="s">
        <v>77</v>
      </c>
      <c r="K57" s="690" t="s">
        <v>78</v>
      </c>
      <c r="L57" s="690" t="s">
        <v>79</v>
      </c>
      <c r="M57" s="690" t="s">
        <v>80</v>
      </c>
      <c r="N57" s="687" t="s">
        <v>459</v>
      </c>
      <c r="O57" s="30"/>
      <c r="P57" s="30"/>
      <c r="Q57" s="30"/>
      <c r="R57" s="30"/>
      <c r="S57" s="30"/>
      <c r="T57" s="30"/>
    </row>
    <row r="58" spans="1:20" ht="14" x14ac:dyDescent="0.3">
      <c r="A58" s="685" t="s">
        <v>857</v>
      </c>
      <c r="B58" s="704">
        <f t="shared" ref="B58:M58" si="16">B51*$B$14*$B4*1000</f>
        <v>217.60827270000001</v>
      </c>
      <c r="C58" s="704">
        <f t="shared" si="16"/>
        <v>957.47639988000014</v>
      </c>
      <c r="D58" s="704">
        <f t="shared" si="16"/>
        <v>2741.8642360200001</v>
      </c>
      <c r="E58" s="704">
        <f t="shared" si="16"/>
        <v>1044.5197089600003</v>
      </c>
      <c r="F58" s="704">
        <f t="shared" si="16"/>
        <v>5766.6192265500003</v>
      </c>
      <c r="G58" s="704">
        <f t="shared" si="16"/>
        <v>2720.1034087500007</v>
      </c>
      <c r="H58" s="704">
        <f t="shared" si="16"/>
        <v>22533.336638084998</v>
      </c>
      <c r="I58" s="704">
        <f t="shared" si="16"/>
        <v>7594.5287172300004</v>
      </c>
      <c r="J58" s="704">
        <f t="shared" si="16"/>
        <v>2415.4518269700002</v>
      </c>
      <c r="K58" s="704">
        <f t="shared" si="16"/>
        <v>3938.7097358700007</v>
      </c>
      <c r="L58" s="704">
        <f t="shared" si="16"/>
        <v>4003.9922176800005</v>
      </c>
      <c r="M58" s="704">
        <f t="shared" si="16"/>
        <v>3525.2540177400006</v>
      </c>
      <c r="N58" s="686">
        <f>SUM(B58:M58)</f>
        <v>57459.464406435</v>
      </c>
      <c r="O58" s="33"/>
      <c r="P58" s="30"/>
      <c r="Q58" s="30"/>
      <c r="R58" s="30"/>
      <c r="S58" s="30"/>
      <c r="T58" s="30"/>
    </row>
    <row r="59" spans="1:20" ht="14" x14ac:dyDescent="0.3">
      <c r="A59" s="685" t="s">
        <v>856</v>
      </c>
      <c r="B59" s="704">
        <f t="shared" ref="B59:M59" si="17">B52*$B$14*$B5*1000</f>
        <v>2827.2336353100004</v>
      </c>
      <c r="C59" s="704">
        <f t="shared" si="17"/>
        <v>2827.2336353100004</v>
      </c>
      <c r="D59" s="704">
        <f t="shared" si="17"/>
        <v>76900.754880432025</v>
      </c>
      <c r="E59" s="704">
        <f t="shared" si="17"/>
        <v>17528.848538922</v>
      </c>
      <c r="F59" s="704">
        <f t="shared" si="17"/>
        <v>41277.611075526002</v>
      </c>
      <c r="G59" s="704">
        <f t="shared" si="17"/>
        <v>27706.889626038006</v>
      </c>
      <c r="H59" s="704">
        <f t="shared" si="17"/>
        <v>100366.794053505</v>
      </c>
      <c r="I59" s="704">
        <f t="shared" si="17"/>
        <v>42125.781166119006</v>
      </c>
      <c r="J59" s="704">
        <f t="shared" si="17"/>
        <v>160021.42375854601</v>
      </c>
      <c r="K59" s="704">
        <f t="shared" si="17"/>
        <v>17528.848538922</v>
      </c>
      <c r="L59" s="704">
        <f t="shared" si="17"/>
        <v>12439.827995364001</v>
      </c>
      <c r="M59" s="704">
        <f t="shared" si="17"/>
        <v>11308.934541240002</v>
      </c>
      <c r="N59" s="686">
        <f>SUM(B59:M59)</f>
        <v>512860.18144523411</v>
      </c>
      <c r="O59" s="30"/>
      <c r="P59" s="30"/>
      <c r="Q59" s="30"/>
      <c r="R59" s="30"/>
      <c r="S59" s="30"/>
      <c r="T59" s="30"/>
    </row>
    <row r="60" spans="1:20" ht="14" x14ac:dyDescent="0.3">
      <c r="A60" s="691" t="s">
        <v>90</v>
      </c>
      <c r="B60" s="686">
        <f>SUM(B58:B59)</f>
        <v>3044.8419080100002</v>
      </c>
      <c r="C60" s="686">
        <f t="shared" ref="C60:N60" si="18">SUM(C58:C59)</f>
        <v>3784.7100351900008</v>
      </c>
      <c r="D60" s="686">
        <f t="shared" si="18"/>
        <v>79642.619116452028</v>
      </c>
      <c r="E60" s="686">
        <f t="shared" si="18"/>
        <v>18573.368247882001</v>
      </c>
      <c r="F60" s="686">
        <f t="shared" si="18"/>
        <v>47044.230302076001</v>
      </c>
      <c r="G60" s="686">
        <f t="shared" si="18"/>
        <v>30426.993034788007</v>
      </c>
      <c r="H60" s="686">
        <f t="shared" si="18"/>
        <v>122900.13069158999</v>
      </c>
      <c r="I60" s="686">
        <f t="shared" si="18"/>
        <v>49720.309883349008</v>
      </c>
      <c r="J60" s="686">
        <f t="shared" si="18"/>
        <v>162436.87558551601</v>
      </c>
      <c r="K60" s="686">
        <f t="shared" si="18"/>
        <v>21467.558274792002</v>
      </c>
      <c r="L60" s="686">
        <f t="shared" si="18"/>
        <v>16443.820213044</v>
      </c>
      <c r="M60" s="686">
        <f t="shared" si="18"/>
        <v>14834.188558980002</v>
      </c>
      <c r="N60" s="686">
        <f t="shared" si="18"/>
        <v>570319.64585166913</v>
      </c>
      <c r="O60" s="30"/>
      <c r="P60" s="30"/>
      <c r="Q60" s="30"/>
      <c r="R60" s="30"/>
      <c r="S60" s="30"/>
      <c r="T60" s="30"/>
    </row>
    <row r="61" spans="1:20" ht="14" x14ac:dyDescent="0.3">
      <c r="A61" s="685" t="s">
        <v>1140</v>
      </c>
      <c r="B61" s="704">
        <f>B53*$B$14*$B7*1000</f>
        <v>2678.2556640000003</v>
      </c>
      <c r="C61" s="704">
        <f t="shared" ref="C61:M61" si="19">C53*$B$14*$B7*1000</f>
        <v>2678.2556640000003</v>
      </c>
      <c r="D61" s="704">
        <f t="shared" si="19"/>
        <v>10713.022656000001</v>
      </c>
      <c r="E61" s="704">
        <f t="shared" si="19"/>
        <v>21426.045312000002</v>
      </c>
      <c r="F61" s="704">
        <f t="shared" si="19"/>
        <v>11248.673788800003</v>
      </c>
      <c r="G61" s="704">
        <f t="shared" si="19"/>
        <v>22229.522011200006</v>
      </c>
      <c r="H61" s="704">
        <f t="shared" si="19"/>
        <v>38834.707128000002</v>
      </c>
      <c r="I61" s="704">
        <f t="shared" si="19"/>
        <v>28389.510038400003</v>
      </c>
      <c r="J61" s="704">
        <f t="shared" si="19"/>
        <v>30532.114569600006</v>
      </c>
      <c r="K61" s="704">
        <f t="shared" si="19"/>
        <v>13391.278320000001</v>
      </c>
      <c r="L61" s="704">
        <f t="shared" si="19"/>
        <v>28925.161171200005</v>
      </c>
      <c r="M61" s="704">
        <f t="shared" si="19"/>
        <v>20354.743046400003</v>
      </c>
      <c r="N61" s="696">
        <f>SUM(B61:M61)</f>
        <v>231401.28936960004</v>
      </c>
      <c r="O61" s="30"/>
      <c r="P61" s="30"/>
      <c r="Q61" s="30"/>
      <c r="R61" s="30"/>
      <c r="S61" s="30"/>
      <c r="T61" s="30"/>
    </row>
    <row r="62" spans="1:20" ht="14" x14ac:dyDescent="0.3">
      <c r="A62" s="685" t="s">
        <v>1145</v>
      </c>
      <c r="B62" s="704">
        <f>B60-B61</f>
        <v>366.58624400999997</v>
      </c>
      <c r="C62" s="704">
        <f t="shared" ref="C62:M62" si="20">C60-C61</f>
        <v>1106.4543711900005</v>
      </c>
      <c r="D62" s="704">
        <f t="shared" si="20"/>
        <v>68929.596460452027</v>
      </c>
      <c r="E62" s="704">
        <f t="shared" si="20"/>
        <v>-2852.677064118001</v>
      </c>
      <c r="F62" s="704">
        <f t="shared" si="20"/>
        <v>35795.556513275995</v>
      </c>
      <c r="G62" s="704">
        <f t="shared" si="20"/>
        <v>8197.4710235880011</v>
      </c>
      <c r="H62" s="704">
        <f t="shared" si="20"/>
        <v>84065.423563589982</v>
      </c>
      <c r="I62" s="704">
        <f t="shared" si="20"/>
        <v>21330.799844949004</v>
      </c>
      <c r="J62" s="704">
        <f t="shared" si="20"/>
        <v>131904.76101591601</v>
      </c>
      <c r="K62" s="704">
        <f t="shared" si="20"/>
        <v>8076.2799547920004</v>
      </c>
      <c r="L62" s="704">
        <f t="shared" si="20"/>
        <v>-12481.340958156004</v>
      </c>
      <c r="M62" s="704">
        <f t="shared" si="20"/>
        <v>-5520.5544874200004</v>
      </c>
      <c r="N62" s="696">
        <f>SUM(B62:M62)</f>
        <v>338918.35648206907</v>
      </c>
      <c r="O62" s="30"/>
      <c r="P62" s="30"/>
      <c r="Q62" s="30"/>
      <c r="R62" s="30"/>
      <c r="S62" s="30"/>
      <c r="T62" s="30"/>
    </row>
    <row r="63" spans="1:20" x14ac:dyDescent="0.25">
      <c r="B63" s="30"/>
      <c r="C63" s="30"/>
      <c r="D63" s="30"/>
      <c r="E63" s="30"/>
      <c r="F63" s="30"/>
      <c r="G63" s="30"/>
      <c r="H63" s="30"/>
      <c r="I63" s="30"/>
      <c r="J63" s="30"/>
      <c r="K63" s="30"/>
      <c r="L63" s="30"/>
      <c r="M63" s="30"/>
      <c r="N63" s="30"/>
      <c r="O63" s="30"/>
      <c r="P63" s="30"/>
      <c r="Q63" s="30"/>
      <c r="R63" s="30"/>
      <c r="S63" s="30"/>
      <c r="T63" s="30"/>
    </row>
    <row r="64" spans="1:20" x14ac:dyDescent="0.25">
      <c r="B64" s="30"/>
      <c r="C64" s="30"/>
      <c r="D64" s="30"/>
      <c r="E64" s="30"/>
      <c r="F64" s="30"/>
      <c r="G64" s="30"/>
      <c r="H64" s="30"/>
      <c r="I64" s="30"/>
      <c r="J64" s="30"/>
      <c r="K64" s="30"/>
      <c r="L64" s="30"/>
      <c r="M64" s="30"/>
      <c r="N64" s="30"/>
      <c r="O64" s="30"/>
      <c r="P64" s="30"/>
      <c r="Q64" s="30"/>
      <c r="R64" s="30"/>
      <c r="S64" s="30"/>
      <c r="T64" s="30"/>
    </row>
    <row r="65" spans="2:20" x14ac:dyDescent="0.25">
      <c r="B65" s="30"/>
      <c r="C65" s="30"/>
      <c r="D65" s="30"/>
      <c r="E65" s="30"/>
      <c r="F65" s="30"/>
      <c r="G65" s="30"/>
      <c r="H65" s="30"/>
      <c r="I65" s="30"/>
      <c r="J65" s="30"/>
      <c r="K65" s="30"/>
      <c r="L65" s="30"/>
      <c r="M65" s="30"/>
      <c r="N65" s="30"/>
      <c r="O65" s="30"/>
      <c r="P65" s="30"/>
      <c r="Q65" s="30"/>
      <c r="R65" s="30"/>
      <c r="S65" s="30"/>
      <c r="T65" s="30"/>
    </row>
    <row r="66" spans="2:20" x14ac:dyDescent="0.25">
      <c r="B66" s="30"/>
      <c r="C66" s="30"/>
      <c r="D66" s="30"/>
      <c r="E66" s="30"/>
      <c r="F66" s="30"/>
      <c r="G66" s="30"/>
      <c r="H66" s="30"/>
      <c r="I66" s="30"/>
      <c r="J66" s="30"/>
      <c r="K66" s="30"/>
      <c r="L66" s="30"/>
      <c r="M66" s="30"/>
      <c r="N66" s="30"/>
      <c r="O66" s="30"/>
      <c r="P66" s="30"/>
      <c r="Q66" s="30"/>
      <c r="R66" s="30"/>
      <c r="S66" s="30"/>
      <c r="T66" s="30"/>
    </row>
    <row r="67" spans="2:20" x14ac:dyDescent="0.25">
      <c r="B67" s="30"/>
      <c r="C67" s="30"/>
      <c r="D67" s="30"/>
      <c r="E67" s="30"/>
      <c r="F67" s="30"/>
      <c r="G67" s="30"/>
      <c r="H67" s="30"/>
      <c r="I67" s="30"/>
      <c r="J67" s="30"/>
      <c r="K67" s="30"/>
      <c r="L67" s="30"/>
      <c r="M67" s="30"/>
      <c r="N67" s="30"/>
      <c r="O67" s="30"/>
      <c r="P67" s="30"/>
      <c r="Q67" s="30"/>
      <c r="R67" s="30"/>
      <c r="S67" s="30"/>
      <c r="T67" s="30"/>
    </row>
    <row r="68" spans="2:20" x14ac:dyDescent="0.25">
      <c r="B68" s="30"/>
      <c r="C68" s="30"/>
      <c r="D68" s="30"/>
      <c r="E68" s="30"/>
      <c r="F68" s="30"/>
      <c r="G68" s="30"/>
      <c r="H68" s="30"/>
      <c r="I68" s="30"/>
      <c r="J68" s="30"/>
      <c r="K68" s="30"/>
      <c r="L68" s="30"/>
      <c r="M68" s="30"/>
      <c r="N68" s="30"/>
      <c r="O68" s="30"/>
      <c r="P68" s="30"/>
      <c r="Q68" s="30"/>
      <c r="R68" s="30"/>
      <c r="S68" s="30"/>
      <c r="T68" s="30"/>
    </row>
    <row r="69" spans="2:20" x14ac:dyDescent="0.25">
      <c r="B69" s="30"/>
      <c r="C69" s="30"/>
      <c r="D69" s="30"/>
      <c r="E69" s="30"/>
      <c r="F69" s="30"/>
      <c r="G69" s="30"/>
      <c r="H69" s="30"/>
      <c r="I69" s="30"/>
      <c r="J69" s="30"/>
      <c r="K69" s="30"/>
      <c r="L69" s="30"/>
      <c r="M69" s="30"/>
      <c r="N69" s="30"/>
      <c r="O69" s="30"/>
      <c r="P69" s="30"/>
      <c r="Q69" s="30"/>
      <c r="R69" s="30"/>
      <c r="S69" s="30"/>
      <c r="T69" s="30"/>
    </row>
    <row r="70" spans="2:20" x14ac:dyDescent="0.25">
      <c r="B70" s="30"/>
      <c r="C70" s="30"/>
      <c r="D70" s="30"/>
      <c r="E70" s="30"/>
      <c r="F70" s="30"/>
      <c r="G70" s="30"/>
      <c r="H70" s="30"/>
      <c r="I70" s="30"/>
      <c r="J70" s="30"/>
      <c r="K70" s="30"/>
      <c r="L70" s="30"/>
      <c r="M70" s="30"/>
      <c r="N70" s="30"/>
      <c r="O70" s="30"/>
      <c r="P70" s="30"/>
      <c r="Q70" s="30"/>
      <c r="R70" s="30"/>
      <c r="S70" s="30"/>
      <c r="T70" s="30"/>
    </row>
    <row r="71" spans="2:20" x14ac:dyDescent="0.25">
      <c r="B71" s="30"/>
      <c r="C71" s="30"/>
      <c r="D71" s="30"/>
      <c r="E71" s="30"/>
      <c r="F71" s="30"/>
      <c r="G71" s="30"/>
      <c r="H71" s="30"/>
      <c r="I71" s="30"/>
      <c r="J71" s="30"/>
      <c r="K71" s="30"/>
      <c r="L71" s="30"/>
      <c r="M71" s="30"/>
      <c r="N71" s="30"/>
      <c r="O71" s="30"/>
      <c r="P71" s="30"/>
      <c r="Q71" s="30"/>
      <c r="R71" s="30"/>
      <c r="S71" s="30"/>
      <c r="T71" s="30"/>
    </row>
    <row r="72" spans="2:20" x14ac:dyDescent="0.25">
      <c r="B72" s="30"/>
      <c r="C72" s="30"/>
      <c r="D72" s="30"/>
      <c r="E72" s="30"/>
      <c r="F72" s="30"/>
      <c r="G72" s="30"/>
      <c r="H72" s="30"/>
      <c r="I72" s="30"/>
      <c r="J72" s="30"/>
      <c r="K72" s="30"/>
      <c r="L72" s="30"/>
      <c r="M72" s="30"/>
      <c r="N72" s="30"/>
      <c r="O72" s="30"/>
      <c r="P72" s="30"/>
      <c r="Q72" s="30"/>
      <c r="R72" s="30"/>
      <c r="S72" s="30"/>
      <c r="T72" s="30"/>
    </row>
    <row r="73" spans="2:20" x14ac:dyDescent="0.25">
      <c r="B73" s="30"/>
      <c r="C73" s="30"/>
      <c r="D73" s="30"/>
      <c r="E73" s="30"/>
      <c r="F73" s="30"/>
      <c r="G73" s="30"/>
      <c r="H73" s="30"/>
      <c r="I73" s="30"/>
      <c r="J73" s="30"/>
      <c r="K73" s="30"/>
      <c r="L73" s="30"/>
      <c r="M73" s="30"/>
      <c r="N73" s="30"/>
      <c r="O73" s="30"/>
      <c r="P73" s="30"/>
      <c r="Q73" s="30"/>
      <c r="R73" s="30"/>
      <c r="S73" s="30"/>
      <c r="T73" s="30"/>
    </row>
    <row r="74" spans="2:20" x14ac:dyDescent="0.25">
      <c r="B74" s="30"/>
      <c r="C74" s="30"/>
      <c r="D74" s="30"/>
      <c r="E74" s="30"/>
      <c r="F74" s="30"/>
      <c r="G74" s="30"/>
      <c r="H74" s="30"/>
      <c r="I74" s="30"/>
      <c r="J74" s="30"/>
      <c r="K74" s="30"/>
      <c r="L74" s="30"/>
      <c r="M74" s="30"/>
      <c r="N74" s="30"/>
      <c r="O74" s="30"/>
      <c r="P74" s="30"/>
      <c r="Q74" s="30"/>
      <c r="R74" s="30"/>
      <c r="S74" s="30"/>
      <c r="T74" s="30"/>
    </row>
    <row r="75" spans="2:20" x14ac:dyDescent="0.25">
      <c r="B75" s="30"/>
      <c r="C75" s="30"/>
      <c r="D75" s="30"/>
      <c r="E75" s="30"/>
      <c r="F75" s="30"/>
      <c r="G75" s="30"/>
      <c r="H75" s="30"/>
      <c r="I75" s="30"/>
      <c r="J75" s="30"/>
      <c r="K75" s="30"/>
      <c r="L75" s="30"/>
      <c r="M75" s="30"/>
      <c r="N75" s="30"/>
      <c r="O75" s="30"/>
      <c r="P75" s="30"/>
      <c r="Q75" s="30"/>
      <c r="R75" s="30"/>
      <c r="S75" s="30"/>
      <c r="T75" s="30"/>
    </row>
    <row r="76" spans="2:20" x14ac:dyDescent="0.25">
      <c r="B76" s="30"/>
      <c r="C76" s="30"/>
      <c r="D76" s="30"/>
      <c r="E76" s="30"/>
      <c r="F76" s="30"/>
      <c r="G76" s="30"/>
      <c r="H76" s="30"/>
      <c r="I76" s="30"/>
      <c r="J76" s="30"/>
      <c r="K76" s="30"/>
      <c r="L76" s="30"/>
      <c r="M76" s="30"/>
      <c r="N76" s="30"/>
      <c r="O76" s="30"/>
      <c r="P76" s="30"/>
      <c r="Q76" s="30"/>
      <c r="R76" s="30"/>
      <c r="S76" s="30"/>
      <c r="T76" s="30"/>
    </row>
    <row r="77" spans="2:20" x14ac:dyDescent="0.25">
      <c r="B77" s="30"/>
      <c r="C77" s="30"/>
      <c r="D77" s="30"/>
      <c r="E77" s="30"/>
      <c r="F77" s="30"/>
      <c r="G77" s="30"/>
      <c r="H77" s="30"/>
      <c r="I77" s="30"/>
      <c r="J77" s="30"/>
      <c r="K77" s="30"/>
      <c r="L77" s="30"/>
      <c r="M77" s="30"/>
      <c r="N77" s="30"/>
      <c r="O77" s="30"/>
      <c r="P77" s="30"/>
      <c r="Q77" s="30"/>
      <c r="R77" s="30"/>
      <c r="S77" s="30"/>
      <c r="T77" s="30"/>
    </row>
    <row r="78" spans="2:20" x14ac:dyDescent="0.25">
      <c r="B78" s="30"/>
      <c r="C78" s="30"/>
      <c r="D78" s="30"/>
      <c r="E78" s="30"/>
      <c r="F78" s="30"/>
      <c r="G78" s="30"/>
      <c r="H78" s="30"/>
      <c r="I78" s="30"/>
      <c r="J78" s="30"/>
      <c r="K78" s="30"/>
      <c r="L78" s="30"/>
      <c r="M78" s="30"/>
      <c r="N78" s="30"/>
      <c r="O78" s="30"/>
      <c r="P78" s="30"/>
      <c r="Q78" s="30"/>
      <c r="R78" s="30"/>
      <c r="S78" s="30"/>
      <c r="T78" s="30"/>
    </row>
    <row r="79" spans="2:20" x14ac:dyDescent="0.25">
      <c r="B79" s="30"/>
      <c r="C79" s="30"/>
      <c r="D79" s="30"/>
      <c r="E79" s="30"/>
      <c r="F79" s="30"/>
      <c r="G79" s="30"/>
      <c r="H79" s="30"/>
      <c r="I79" s="30"/>
      <c r="J79" s="30"/>
      <c r="K79" s="30"/>
      <c r="L79" s="30"/>
      <c r="M79" s="30"/>
      <c r="N79" s="30"/>
      <c r="O79" s="30"/>
      <c r="P79" s="30"/>
      <c r="Q79" s="30"/>
      <c r="R79" s="30"/>
      <c r="S79" s="30"/>
      <c r="T79" s="30"/>
    </row>
  </sheetData>
  <mergeCells count="2">
    <mergeCell ref="A1:N1"/>
    <mergeCell ref="B2:M2"/>
  </mergeCells>
  <phoneticPr fontId="8" type="noConversion"/>
  <pageMargins left="0.75" right="0.75" top="1" bottom="1" header="0.5" footer="0.5"/>
  <pageSetup orientation="landscape" horizontalDpi="4294967294"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65"/>
  <sheetViews>
    <sheetView topLeftCell="A46" workbookViewId="0">
      <selection activeCell="X71" sqref="X71"/>
    </sheetView>
  </sheetViews>
  <sheetFormatPr defaultRowHeight="12.5" x14ac:dyDescent="0.25"/>
  <cols>
    <col min="1" max="1" width="8.36328125" bestFit="1" customWidth="1"/>
    <col min="2" max="2" width="6.54296875" bestFit="1" customWidth="1"/>
    <col min="3" max="7" width="7" bestFit="1" customWidth="1"/>
    <col min="8" max="9" width="6.54296875" bestFit="1" customWidth="1"/>
    <col min="10" max="11" width="5.54296875" bestFit="1" customWidth="1"/>
    <col min="12" max="12" width="6" bestFit="1" customWidth="1"/>
    <col min="13" max="14" width="5.54296875" bestFit="1" customWidth="1"/>
    <col min="15" max="15" width="8" customWidth="1"/>
    <col min="16" max="16" width="7.6328125" customWidth="1"/>
  </cols>
  <sheetData>
    <row r="1" spans="1:24" ht="13" x14ac:dyDescent="0.3">
      <c r="A1" s="791" t="s">
        <v>37</v>
      </c>
      <c r="B1" s="791"/>
      <c r="C1" s="791"/>
      <c r="D1" s="791"/>
      <c r="E1" s="791"/>
      <c r="F1" s="791"/>
      <c r="G1" s="791"/>
      <c r="H1" s="791"/>
      <c r="I1" s="791"/>
      <c r="J1" s="791"/>
      <c r="K1" s="791"/>
      <c r="L1" s="791"/>
      <c r="M1" s="791"/>
      <c r="N1" s="791"/>
    </row>
    <row r="2" spans="1:24" x14ac:dyDescent="0.25">
      <c r="B2" s="41">
        <v>1988</v>
      </c>
      <c r="C2" s="41">
        <v>1991</v>
      </c>
      <c r="D2" s="41">
        <v>1992</v>
      </c>
      <c r="E2" s="41">
        <v>1993</v>
      </c>
      <c r="F2" s="41">
        <v>1994</v>
      </c>
      <c r="G2" s="41">
        <v>1995</v>
      </c>
      <c r="H2" s="41">
        <v>1996</v>
      </c>
      <c r="I2" s="41">
        <v>1997</v>
      </c>
      <c r="J2" s="41">
        <v>1998</v>
      </c>
      <c r="K2" s="41">
        <v>1999</v>
      </c>
      <c r="L2" s="41">
        <v>2000</v>
      </c>
      <c r="M2" s="41">
        <v>2001</v>
      </c>
      <c r="N2" s="41">
        <v>2002</v>
      </c>
      <c r="O2" s="41">
        <v>2003</v>
      </c>
      <c r="P2" s="41">
        <v>2004</v>
      </c>
      <c r="Q2" s="41">
        <v>2005</v>
      </c>
      <c r="R2" s="41">
        <v>2006</v>
      </c>
      <c r="S2" s="41">
        <v>2007</v>
      </c>
      <c r="T2" s="41">
        <v>2008</v>
      </c>
      <c r="U2" s="41">
        <v>2009</v>
      </c>
      <c r="V2" s="41">
        <v>2010</v>
      </c>
      <c r="W2" s="41">
        <v>2011</v>
      </c>
      <c r="X2" s="41">
        <v>2012</v>
      </c>
    </row>
    <row r="3" spans="1:24" x14ac:dyDescent="0.25">
      <c r="A3" s="41" t="s">
        <v>29</v>
      </c>
      <c r="B3">
        <v>166</v>
      </c>
      <c r="C3">
        <v>184.16</v>
      </c>
      <c r="D3">
        <v>162.26</v>
      </c>
      <c r="E3">
        <v>167.91</v>
      </c>
      <c r="F3">
        <v>87.03</v>
      </c>
      <c r="G3">
        <v>40.909999999999997</v>
      </c>
      <c r="H3" s="6">
        <v>29.44</v>
      </c>
      <c r="I3" s="6">
        <v>37.700000000000003</v>
      </c>
      <c r="J3">
        <v>36.6</v>
      </c>
      <c r="K3">
        <v>41.6</v>
      </c>
      <c r="L3">
        <v>60</v>
      </c>
      <c r="M3">
        <v>49.8</v>
      </c>
      <c r="N3">
        <v>50.2</v>
      </c>
      <c r="O3">
        <v>49.5</v>
      </c>
      <c r="P3">
        <v>31.9</v>
      </c>
      <c r="Q3">
        <v>39.200000000000003</v>
      </c>
      <c r="R3">
        <v>24</v>
      </c>
      <c r="S3">
        <v>30.7</v>
      </c>
      <c r="T3">
        <v>50.6</v>
      </c>
      <c r="U3">
        <v>34.799999999999997</v>
      </c>
      <c r="V3">
        <v>33.6</v>
      </c>
      <c r="W3">
        <v>40.799999999999997</v>
      </c>
      <c r="X3">
        <v>61.6</v>
      </c>
    </row>
    <row r="4" spans="1:24" x14ac:dyDescent="0.25">
      <c r="A4" s="41" t="s">
        <v>30</v>
      </c>
      <c r="B4" s="6">
        <v>255.14285714285714</v>
      </c>
      <c r="C4">
        <v>349.27</v>
      </c>
      <c r="D4">
        <v>266.27</v>
      </c>
      <c r="E4">
        <v>442.5</v>
      </c>
      <c r="F4">
        <v>348.74</v>
      </c>
      <c r="G4">
        <v>492.7</v>
      </c>
      <c r="H4" s="6">
        <v>577.75</v>
      </c>
      <c r="I4" s="6">
        <v>393</v>
      </c>
      <c r="J4" s="42">
        <v>358</v>
      </c>
      <c r="K4" s="42">
        <v>402</v>
      </c>
      <c r="L4">
        <v>441</v>
      </c>
      <c r="M4">
        <v>387</v>
      </c>
      <c r="N4">
        <v>282</v>
      </c>
      <c r="O4">
        <v>266</v>
      </c>
      <c r="P4">
        <v>247</v>
      </c>
      <c r="Q4">
        <v>207</v>
      </c>
      <c r="R4">
        <v>153</v>
      </c>
      <c r="S4">
        <v>229</v>
      </c>
      <c r="T4">
        <v>232</v>
      </c>
      <c r="U4">
        <v>267</v>
      </c>
      <c r="V4">
        <v>254</v>
      </c>
      <c r="W4">
        <v>172</v>
      </c>
      <c r="X4">
        <v>134</v>
      </c>
    </row>
    <row r="5" spans="1:24" x14ac:dyDescent="0.25">
      <c r="A5" s="41" t="s">
        <v>31</v>
      </c>
      <c r="B5" s="6">
        <v>7.4714285714285706</v>
      </c>
      <c r="C5">
        <v>21.22</v>
      </c>
      <c r="D5">
        <v>19.010000000000002</v>
      </c>
      <c r="E5">
        <v>8.9</v>
      </c>
      <c r="F5">
        <v>20.43</v>
      </c>
      <c r="G5">
        <v>5.09</v>
      </c>
      <c r="H5" s="6">
        <v>17.100000000000001</v>
      </c>
      <c r="I5" s="6">
        <v>8.1999999999999993</v>
      </c>
      <c r="J5">
        <v>4.3</v>
      </c>
      <c r="K5">
        <v>5.8</v>
      </c>
      <c r="L5">
        <v>14.1</v>
      </c>
      <c r="M5">
        <v>24.6</v>
      </c>
      <c r="N5">
        <v>15.4</v>
      </c>
      <c r="O5">
        <v>14.8</v>
      </c>
      <c r="P5">
        <v>6.6</v>
      </c>
      <c r="Q5">
        <v>15.5</v>
      </c>
      <c r="R5">
        <v>9.1</v>
      </c>
      <c r="S5">
        <v>9.3000000000000007</v>
      </c>
      <c r="T5">
        <v>17.3</v>
      </c>
      <c r="U5">
        <v>12.5</v>
      </c>
      <c r="V5">
        <v>10.6</v>
      </c>
      <c r="W5">
        <v>10.8</v>
      </c>
      <c r="X5">
        <v>14.9</v>
      </c>
    </row>
    <row r="6" spans="1:24" x14ac:dyDescent="0.25">
      <c r="A6" s="41" t="s">
        <v>32</v>
      </c>
      <c r="B6">
        <v>14</v>
      </c>
      <c r="C6">
        <v>69.67</v>
      </c>
      <c r="D6">
        <v>65.67</v>
      </c>
      <c r="E6">
        <v>32</v>
      </c>
      <c r="F6">
        <v>69.5</v>
      </c>
      <c r="G6">
        <v>36.85</v>
      </c>
      <c r="H6" s="6">
        <v>97.3</v>
      </c>
      <c r="I6" s="6">
        <v>31.7</v>
      </c>
      <c r="J6">
        <v>41.3</v>
      </c>
      <c r="K6">
        <v>36.700000000000003</v>
      </c>
      <c r="L6">
        <v>104.9</v>
      </c>
      <c r="M6">
        <v>69.7</v>
      </c>
      <c r="N6">
        <v>43.7</v>
      </c>
      <c r="O6">
        <v>37.700000000000003</v>
      </c>
      <c r="P6">
        <v>15.2</v>
      </c>
      <c r="Q6">
        <v>75.5</v>
      </c>
      <c r="R6">
        <v>28.7</v>
      </c>
      <c r="S6">
        <v>50.8</v>
      </c>
      <c r="T6">
        <v>73.900000000000006</v>
      </c>
      <c r="U6">
        <v>80.400000000000006</v>
      </c>
      <c r="V6">
        <v>24.1</v>
      </c>
      <c r="W6">
        <v>17.399999999999999</v>
      </c>
      <c r="X6">
        <v>52.9</v>
      </c>
    </row>
    <row r="7" spans="1:24" x14ac:dyDescent="0.25">
      <c r="A7" s="41" t="s">
        <v>27</v>
      </c>
      <c r="B7">
        <v>1.625</v>
      </c>
      <c r="C7">
        <v>2.17</v>
      </c>
      <c r="D7">
        <v>2.1</v>
      </c>
      <c r="E7">
        <v>2.84</v>
      </c>
      <c r="F7">
        <v>1.79</v>
      </c>
      <c r="G7">
        <v>2.14</v>
      </c>
      <c r="H7" s="6">
        <v>2.5125000000000002</v>
      </c>
      <c r="I7" s="6">
        <v>1.7</v>
      </c>
      <c r="J7">
        <v>1.8</v>
      </c>
      <c r="K7">
        <v>1.8</v>
      </c>
      <c r="L7">
        <v>2.4</v>
      </c>
      <c r="M7">
        <v>2.2999999999999998</v>
      </c>
      <c r="N7">
        <v>3</v>
      </c>
      <c r="O7">
        <v>1.7</v>
      </c>
      <c r="P7">
        <v>2.6</v>
      </c>
      <c r="Q7">
        <v>2.1</v>
      </c>
      <c r="R7">
        <v>2.4</v>
      </c>
      <c r="S7">
        <v>1.7</v>
      </c>
      <c r="T7">
        <v>2.4</v>
      </c>
      <c r="U7">
        <v>2.7</v>
      </c>
      <c r="V7">
        <v>1.7</v>
      </c>
      <c r="W7">
        <v>2.2000000000000002</v>
      </c>
      <c r="X7">
        <v>2.21</v>
      </c>
    </row>
    <row r="10" spans="1:24" ht="13" x14ac:dyDescent="0.3">
      <c r="A10" s="791" t="s">
        <v>33</v>
      </c>
      <c r="B10" s="791"/>
      <c r="C10" s="791"/>
      <c r="D10" s="791"/>
      <c r="E10" s="791"/>
      <c r="F10" s="791"/>
      <c r="G10" s="791"/>
      <c r="H10" s="791"/>
      <c r="I10" s="791"/>
      <c r="J10" s="791"/>
      <c r="K10" s="791"/>
      <c r="L10" s="791"/>
      <c r="M10" s="791"/>
      <c r="N10" s="791"/>
    </row>
    <row r="11" spans="1:24" x14ac:dyDescent="0.25">
      <c r="C11" s="41">
        <v>1991</v>
      </c>
      <c r="D11" s="41">
        <v>1992</v>
      </c>
      <c r="E11" s="41">
        <v>1993</v>
      </c>
      <c r="F11" s="41">
        <v>1994</v>
      </c>
      <c r="G11" s="41">
        <v>1995</v>
      </c>
      <c r="H11" s="41">
        <v>1996</v>
      </c>
      <c r="I11" s="41">
        <v>1997</v>
      </c>
      <c r="J11" s="41">
        <v>1998</v>
      </c>
      <c r="K11" s="41">
        <v>1999</v>
      </c>
      <c r="L11" s="41">
        <v>2000</v>
      </c>
      <c r="M11" s="41">
        <v>2001</v>
      </c>
      <c r="N11" s="41">
        <v>2002</v>
      </c>
      <c r="O11" s="41">
        <v>2003</v>
      </c>
      <c r="P11" s="41">
        <v>2004</v>
      </c>
      <c r="Q11" s="41">
        <v>2005</v>
      </c>
      <c r="R11" s="41">
        <v>2006</v>
      </c>
      <c r="S11" s="41">
        <v>2007</v>
      </c>
      <c r="T11" s="41">
        <v>2008</v>
      </c>
      <c r="U11" s="41">
        <v>2009</v>
      </c>
      <c r="V11" s="41">
        <v>2010</v>
      </c>
      <c r="W11" s="41">
        <v>2011</v>
      </c>
      <c r="X11" s="41">
        <v>2012</v>
      </c>
    </row>
    <row r="12" spans="1:24" x14ac:dyDescent="0.25">
      <c r="A12" s="41" t="s">
        <v>29</v>
      </c>
      <c r="C12">
        <v>191.83</v>
      </c>
      <c r="D12">
        <v>181.66</v>
      </c>
      <c r="E12">
        <v>206.9</v>
      </c>
      <c r="F12">
        <v>92.27</v>
      </c>
      <c r="G12">
        <v>58.4</v>
      </c>
      <c r="H12">
        <v>30.9</v>
      </c>
      <c r="I12">
        <v>39</v>
      </c>
      <c r="J12" s="6">
        <v>35</v>
      </c>
      <c r="K12" s="6">
        <v>46.4</v>
      </c>
      <c r="L12">
        <v>42.4</v>
      </c>
      <c r="M12">
        <v>62.2</v>
      </c>
      <c r="N12">
        <v>51</v>
      </c>
      <c r="O12">
        <v>62.4</v>
      </c>
      <c r="P12">
        <v>40.299999999999997</v>
      </c>
      <c r="Q12">
        <v>45.8</v>
      </c>
      <c r="R12">
        <v>25.5</v>
      </c>
      <c r="S12">
        <v>28.6</v>
      </c>
      <c r="T12">
        <v>61.4</v>
      </c>
      <c r="U12">
        <v>49.1</v>
      </c>
      <c r="V12">
        <v>38.799999999999997</v>
      </c>
      <c r="W12">
        <v>55.2</v>
      </c>
      <c r="X12">
        <v>97.2</v>
      </c>
    </row>
    <row r="13" spans="1:24" x14ac:dyDescent="0.25">
      <c r="A13" s="41" t="s">
        <v>30</v>
      </c>
      <c r="C13">
        <v>234.14</v>
      </c>
      <c r="D13">
        <v>133.19999999999999</v>
      </c>
      <c r="E13">
        <v>198.57</v>
      </c>
      <c r="F13">
        <v>156.69999999999999</v>
      </c>
      <c r="G13">
        <v>284.52999999999997</v>
      </c>
      <c r="H13">
        <v>340.4</v>
      </c>
      <c r="I13">
        <v>302.89999999999998</v>
      </c>
      <c r="J13">
        <v>228</v>
      </c>
      <c r="K13">
        <v>201</v>
      </c>
      <c r="L13">
        <v>347</v>
      </c>
      <c r="M13">
        <v>208</v>
      </c>
      <c r="N13">
        <v>171</v>
      </c>
      <c r="O13">
        <v>121</v>
      </c>
      <c r="P13">
        <v>175</v>
      </c>
      <c r="Q13">
        <v>150</v>
      </c>
      <c r="R13">
        <v>102</v>
      </c>
      <c r="S13">
        <v>145</v>
      </c>
      <c r="T13">
        <v>79</v>
      </c>
      <c r="U13">
        <v>180</v>
      </c>
      <c r="V13">
        <v>112</v>
      </c>
      <c r="W13">
        <v>111</v>
      </c>
      <c r="X13">
        <v>32</v>
      </c>
    </row>
    <row r="14" spans="1:24" x14ac:dyDescent="0.25">
      <c r="A14" s="41" t="s">
        <v>31</v>
      </c>
      <c r="C14">
        <v>3.99</v>
      </c>
      <c r="D14">
        <v>11.78</v>
      </c>
      <c r="E14">
        <v>14.4</v>
      </c>
      <c r="F14">
        <v>26.4</v>
      </c>
      <c r="G14">
        <v>10.96</v>
      </c>
      <c r="H14">
        <v>23.81</v>
      </c>
      <c r="I14">
        <v>6</v>
      </c>
      <c r="J14">
        <v>2.7</v>
      </c>
      <c r="K14">
        <v>3.1</v>
      </c>
      <c r="L14">
        <v>14.6</v>
      </c>
      <c r="M14">
        <v>23.5</v>
      </c>
      <c r="N14">
        <v>20.3</v>
      </c>
      <c r="O14">
        <v>18.5</v>
      </c>
      <c r="P14">
        <v>8.5</v>
      </c>
      <c r="Q14">
        <v>15.4</v>
      </c>
      <c r="R14">
        <v>13.2</v>
      </c>
      <c r="S14">
        <v>6.5</v>
      </c>
      <c r="T14">
        <v>25.8</v>
      </c>
      <c r="U14">
        <v>23.3</v>
      </c>
      <c r="V14">
        <v>15.2</v>
      </c>
      <c r="W14">
        <v>9</v>
      </c>
      <c r="X14">
        <v>25.1</v>
      </c>
    </row>
    <row r="15" spans="1:24" x14ac:dyDescent="0.25">
      <c r="A15" s="41" t="s">
        <v>32</v>
      </c>
      <c r="C15">
        <v>6.25</v>
      </c>
      <c r="D15">
        <v>26.18</v>
      </c>
      <c r="E15">
        <v>32</v>
      </c>
      <c r="F15">
        <v>69.5</v>
      </c>
      <c r="G15">
        <v>36.85</v>
      </c>
      <c r="H15">
        <v>91.4</v>
      </c>
      <c r="I15">
        <v>16.399999999999999</v>
      </c>
      <c r="J15">
        <v>5.8</v>
      </c>
      <c r="K15">
        <v>7.7</v>
      </c>
      <c r="L15">
        <v>95.9</v>
      </c>
      <c r="M15">
        <v>69.7</v>
      </c>
      <c r="N15">
        <v>43.7</v>
      </c>
      <c r="O15">
        <v>37.700000000000003</v>
      </c>
      <c r="P15">
        <v>15.2</v>
      </c>
      <c r="Q15">
        <v>75.5</v>
      </c>
      <c r="R15">
        <v>28.7</v>
      </c>
      <c r="S15">
        <v>20.7</v>
      </c>
      <c r="T15">
        <v>73.900000000000006</v>
      </c>
      <c r="U15">
        <v>80.400000000000006</v>
      </c>
      <c r="V15">
        <v>22.8</v>
      </c>
      <c r="W15">
        <v>17.399999999999999</v>
      </c>
      <c r="X15">
        <v>52.9</v>
      </c>
    </row>
    <row r="16" spans="1:24" x14ac:dyDescent="0.25">
      <c r="A16" s="41" t="s">
        <v>27</v>
      </c>
      <c r="C16">
        <v>2.0299999999999998</v>
      </c>
      <c r="D16">
        <v>2.12</v>
      </c>
      <c r="E16">
        <v>2.23</v>
      </c>
      <c r="F16">
        <v>1.7</v>
      </c>
      <c r="G16">
        <v>1.24</v>
      </c>
      <c r="H16">
        <v>2.5329999999999999</v>
      </c>
      <c r="I16">
        <v>1.4</v>
      </c>
      <c r="J16">
        <v>1.7</v>
      </c>
      <c r="K16">
        <v>1.8</v>
      </c>
      <c r="L16">
        <v>2.31</v>
      </c>
      <c r="M16">
        <v>2.2999999999999998</v>
      </c>
      <c r="N16">
        <v>2.7</v>
      </c>
      <c r="O16">
        <v>1.6</v>
      </c>
      <c r="P16">
        <v>2</v>
      </c>
      <c r="Q16">
        <v>1.5</v>
      </c>
      <c r="R16">
        <v>2.4</v>
      </c>
      <c r="S16">
        <v>2.5</v>
      </c>
      <c r="T16">
        <v>1.5</v>
      </c>
      <c r="U16">
        <v>1.8</v>
      </c>
      <c r="V16">
        <v>1.6</v>
      </c>
      <c r="W16">
        <v>2.2000000000000002</v>
      </c>
      <c r="X16">
        <v>1.42</v>
      </c>
    </row>
    <row r="18" spans="1:24" ht="13" x14ac:dyDescent="0.3">
      <c r="A18" s="791" t="s">
        <v>38</v>
      </c>
      <c r="B18" s="791"/>
      <c r="C18" s="791"/>
      <c r="D18" s="791"/>
      <c r="E18" s="791"/>
      <c r="F18" s="791"/>
      <c r="G18" s="791"/>
      <c r="H18" s="791"/>
      <c r="I18" s="791"/>
      <c r="J18" s="791"/>
      <c r="K18" s="791"/>
      <c r="L18" s="791"/>
      <c r="M18" s="791"/>
      <c r="N18" s="791"/>
    </row>
    <row r="19" spans="1:24" x14ac:dyDescent="0.25">
      <c r="A19" s="43" t="s">
        <v>34</v>
      </c>
      <c r="B19" s="6">
        <f>LN(B7)</f>
        <v>0.48550781578170082</v>
      </c>
      <c r="C19" s="6">
        <f t="shared" ref="C19:R19" si="0">LN(C7)</f>
        <v>0.77472716755236815</v>
      </c>
      <c r="D19" s="6">
        <f t="shared" si="0"/>
        <v>0.74193734472937733</v>
      </c>
      <c r="E19" s="6">
        <f t="shared" si="0"/>
        <v>1.0438040521731147</v>
      </c>
      <c r="F19" s="6">
        <f t="shared" si="0"/>
        <v>0.58221561985266368</v>
      </c>
      <c r="G19" s="6">
        <f t="shared" si="0"/>
        <v>0.76080582903376015</v>
      </c>
      <c r="H19" s="6">
        <f t="shared" si="0"/>
        <v>0.92127827338519419</v>
      </c>
      <c r="I19" s="6">
        <f t="shared" si="0"/>
        <v>0.53062825106217038</v>
      </c>
      <c r="J19" s="6">
        <f t="shared" si="0"/>
        <v>0.58778666490211906</v>
      </c>
      <c r="K19" s="6">
        <f t="shared" si="0"/>
        <v>0.58778666490211906</v>
      </c>
      <c r="L19" s="6">
        <f t="shared" si="0"/>
        <v>0.87546873735389985</v>
      </c>
      <c r="M19" s="6">
        <f t="shared" si="0"/>
        <v>0.83290912293510388</v>
      </c>
      <c r="N19" s="6">
        <f t="shared" si="0"/>
        <v>1.0986122886681098</v>
      </c>
      <c r="O19" s="6">
        <f t="shared" si="0"/>
        <v>0.53062825106217038</v>
      </c>
      <c r="P19" s="6">
        <f t="shared" si="0"/>
        <v>0.95551144502743635</v>
      </c>
      <c r="Q19" s="6">
        <f t="shared" si="0"/>
        <v>0.74193734472937733</v>
      </c>
      <c r="R19" s="6">
        <f t="shared" si="0"/>
        <v>0.87546873735389985</v>
      </c>
      <c r="S19" s="6">
        <f t="shared" ref="S19:X19" si="1">LN(S7)</f>
        <v>0.53062825106217038</v>
      </c>
      <c r="T19" s="6">
        <f t="shared" si="1"/>
        <v>0.87546873735389985</v>
      </c>
      <c r="U19" s="6">
        <f t="shared" si="1"/>
        <v>0.99325177301028345</v>
      </c>
      <c r="V19" s="6">
        <f t="shared" si="1"/>
        <v>0.53062825106217038</v>
      </c>
      <c r="W19" s="6">
        <f t="shared" si="1"/>
        <v>0.78845736036427028</v>
      </c>
      <c r="X19" s="6">
        <f t="shared" si="1"/>
        <v>0.79299251552966143</v>
      </c>
    </row>
    <row r="20" spans="1:24" x14ac:dyDescent="0.25">
      <c r="A20" s="43"/>
      <c r="B20" s="6">
        <f>60-(14.41*B19)</f>
        <v>53.003832374585691</v>
      </c>
      <c r="C20" s="6">
        <f t="shared" ref="C20:R20" si="2">60-(14.41*C19)</f>
        <v>48.836181515570374</v>
      </c>
      <c r="D20" s="6">
        <f t="shared" si="2"/>
        <v>49.308682862449672</v>
      </c>
      <c r="E20" s="6">
        <f t="shared" si="2"/>
        <v>44.958783608185414</v>
      </c>
      <c r="F20" s="6">
        <f t="shared" si="2"/>
        <v>51.610272917923112</v>
      </c>
      <c r="G20" s="6">
        <f t="shared" si="2"/>
        <v>49.036788003623514</v>
      </c>
      <c r="H20" s="6">
        <f t="shared" si="2"/>
        <v>46.724380080519353</v>
      </c>
      <c r="I20" s="6">
        <f t="shared" si="2"/>
        <v>52.353646902194129</v>
      </c>
      <c r="J20" s="6">
        <f t="shared" si="2"/>
        <v>51.529994158760466</v>
      </c>
      <c r="K20" s="6">
        <f t="shared" si="2"/>
        <v>51.529994158760466</v>
      </c>
      <c r="L20" s="6">
        <f t="shared" si="2"/>
        <v>47.384495494730302</v>
      </c>
      <c r="M20" s="6">
        <f t="shared" si="2"/>
        <v>47.997779538505156</v>
      </c>
      <c r="N20" s="6">
        <f t="shared" si="2"/>
        <v>44.168996920292535</v>
      </c>
      <c r="O20" s="6">
        <f t="shared" si="2"/>
        <v>52.353646902194129</v>
      </c>
      <c r="P20" s="6">
        <f t="shared" si="2"/>
        <v>46.231080077154644</v>
      </c>
      <c r="Q20" s="6">
        <f t="shared" si="2"/>
        <v>49.308682862449672</v>
      </c>
      <c r="R20" s="6">
        <f t="shared" si="2"/>
        <v>47.384495494730302</v>
      </c>
      <c r="S20" s="6">
        <f t="shared" ref="S20:X20" si="3">60-(14.41*S19)</f>
        <v>52.353646902194129</v>
      </c>
      <c r="T20" s="6">
        <f t="shared" si="3"/>
        <v>47.384495494730302</v>
      </c>
      <c r="U20" s="6">
        <f t="shared" si="3"/>
        <v>45.687241950921816</v>
      </c>
      <c r="V20" s="6">
        <f t="shared" si="3"/>
        <v>52.353646902194129</v>
      </c>
      <c r="W20" s="6">
        <f t="shared" si="3"/>
        <v>48.638329437150865</v>
      </c>
      <c r="X20" s="6">
        <f t="shared" si="3"/>
        <v>48.57297785121758</v>
      </c>
    </row>
    <row r="21" spans="1:24" x14ac:dyDescent="0.25">
      <c r="A21" s="43"/>
      <c r="B21" s="6"/>
      <c r="C21" s="6"/>
      <c r="D21" s="6"/>
      <c r="E21" s="6"/>
      <c r="F21" s="6"/>
      <c r="G21" s="6"/>
      <c r="H21" s="6"/>
      <c r="I21" s="6"/>
      <c r="J21" s="6"/>
      <c r="K21" s="6"/>
      <c r="L21" s="6"/>
      <c r="M21" s="6"/>
      <c r="N21" s="6"/>
    </row>
    <row r="22" spans="1:24" x14ac:dyDescent="0.25">
      <c r="A22" s="43" t="s">
        <v>35</v>
      </c>
      <c r="B22" s="6">
        <f>LN(B5)</f>
        <v>2.0110862220155639</v>
      </c>
      <c r="C22" s="6">
        <f t="shared" ref="C22:R22" si="4">LN(C5)</f>
        <v>3.0549441331858369</v>
      </c>
      <c r="D22" s="6">
        <f t="shared" si="4"/>
        <v>2.9449651565003379</v>
      </c>
      <c r="E22" s="6">
        <f t="shared" si="4"/>
        <v>2.1860512767380942</v>
      </c>
      <c r="F22" s="6">
        <f t="shared" si="4"/>
        <v>3.0170044088295307</v>
      </c>
      <c r="G22" s="6">
        <f t="shared" si="4"/>
        <v>1.6272778305624314</v>
      </c>
      <c r="H22" s="6">
        <f t="shared" si="4"/>
        <v>2.8390784635086144</v>
      </c>
      <c r="I22" s="6">
        <f t="shared" si="4"/>
        <v>2.1041341542702074</v>
      </c>
      <c r="J22" s="6">
        <f t="shared" si="4"/>
        <v>1.4586150226995167</v>
      </c>
      <c r="K22" s="6">
        <f t="shared" si="4"/>
        <v>1.7578579175523736</v>
      </c>
      <c r="L22" s="6">
        <f t="shared" si="4"/>
        <v>2.6461747973841225</v>
      </c>
      <c r="M22" s="6">
        <f t="shared" si="4"/>
        <v>3.202746442938317</v>
      </c>
      <c r="N22" s="6">
        <f t="shared" si="4"/>
        <v>2.7343675094195836</v>
      </c>
      <c r="O22" s="6">
        <f t="shared" si="4"/>
        <v>2.6946271807700692</v>
      </c>
      <c r="P22" s="6">
        <f t="shared" si="4"/>
        <v>1.8870696490323797</v>
      </c>
      <c r="Q22" s="6">
        <f t="shared" si="4"/>
        <v>2.7408400239252009</v>
      </c>
      <c r="R22" s="6">
        <f t="shared" si="4"/>
        <v>2.2082744135228043</v>
      </c>
      <c r="S22" s="6">
        <f t="shared" ref="S22:X22" si="5">LN(S5)</f>
        <v>2.2300144001592104</v>
      </c>
      <c r="T22" s="6">
        <f t="shared" si="5"/>
        <v>2.8507065015037334</v>
      </c>
      <c r="U22" s="6">
        <f t="shared" si="5"/>
        <v>2.5257286443082556</v>
      </c>
      <c r="V22" s="6">
        <f t="shared" si="5"/>
        <v>2.3608540011180215</v>
      </c>
      <c r="W22" s="6">
        <f t="shared" si="5"/>
        <v>2.379546134130174</v>
      </c>
      <c r="X22" s="6">
        <f t="shared" si="5"/>
        <v>2.7013612129514133</v>
      </c>
    </row>
    <row r="23" spans="1:24" x14ac:dyDescent="0.25">
      <c r="A23" s="43"/>
      <c r="B23" s="6">
        <f>(9.81*B22)+30.6</f>
        <v>50.328755837972679</v>
      </c>
      <c r="C23" s="6">
        <f t="shared" ref="C23:R23" si="6">(9.81*C22)+30.6</f>
        <v>60.569001946553058</v>
      </c>
      <c r="D23" s="6">
        <f t="shared" si="6"/>
        <v>59.490108185268312</v>
      </c>
      <c r="E23" s="6">
        <f t="shared" si="6"/>
        <v>52.045163024800708</v>
      </c>
      <c r="F23" s="6">
        <f t="shared" si="6"/>
        <v>60.196813250617694</v>
      </c>
      <c r="G23" s="6">
        <f t="shared" si="6"/>
        <v>46.563595517817454</v>
      </c>
      <c r="H23" s="6">
        <f t="shared" si="6"/>
        <v>58.451359727019508</v>
      </c>
      <c r="I23" s="6">
        <f t="shared" si="6"/>
        <v>51.241556053390738</v>
      </c>
      <c r="J23" s="6">
        <f t="shared" si="6"/>
        <v>44.90901337268226</v>
      </c>
      <c r="K23" s="6">
        <f t="shared" si="6"/>
        <v>47.844586171188787</v>
      </c>
      <c r="L23" s="6">
        <f t="shared" si="6"/>
        <v>56.558974762338245</v>
      </c>
      <c r="M23" s="6">
        <f t="shared" si="6"/>
        <v>62.018942605224893</v>
      </c>
      <c r="N23" s="6">
        <f t="shared" si="6"/>
        <v>57.424145267406118</v>
      </c>
      <c r="O23" s="6">
        <f t="shared" si="6"/>
        <v>57.034292643354384</v>
      </c>
      <c r="P23" s="6">
        <f t="shared" si="6"/>
        <v>49.112153257007648</v>
      </c>
      <c r="Q23" s="6">
        <f t="shared" si="6"/>
        <v>57.487640634706224</v>
      </c>
      <c r="R23" s="6">
        <f t="shared" si="6"/>
        <v>52.263171996658713</v>
      </c>
      <c r="S23" s="6">
        <f t="shared" ref="S23:X23" si="7">(9.81*S22)+30.6</f>
        <v>52.47644126556186</v>
      </c>
      <c r="T23" s="6">
        <f t="shared" si="7"/>
        <v>58.565430779751622</v>
      </c>
      <c r="U23" s="6">
        <f t="shared" si="7"/>
        <v>55.377398000663987</v>
      </c>
      <c r="V23" s="6">
        <f t="shared" si="7"/>
        <v>53.759977750967792</v>
      </c>
      <c r="W23" s="6">
        <f t="shared" si="7"/>
        <v>53.943347575817015</v>
      </c>
      <c r="X23" s="6">
        <f t="shared" si="7"/>
        <v>57.100353499053369</v>
      </c>
    </row>
    <row r="24" spans="1:24" x14ac:dyDescent="0.25">
      <c r="A24" s="43"/>
      <c r="B24" s="6"/>
      <c r="C24" s="6"/>
      <c r="D24" s="6"/>
      <c r="E24" s="6"/>
      <c r="F24" s="6"/>
      <c r="G24" s="6"/>
      <c r="H24" s="6"/>
      <c r="I24" s="6"/>
      <c r="J24" s="6"/>
      <c r="K24" s="6"/>
      <c r="L24" s="6"/>
      <c r="M24" s="6"/>
      <c r="N24" s="6"/>
    </row>
    <row r="25" spans="1:24" x14ac:dyDescent="0.25">
      <c r="A25" s="43" t="s">
        <v>36</v>
      </c>
      <c r="B25" s="6">
        <f>LN(B3)</f>
        <v>5.1119877883565437</v>
      </c>
      <c r="C25" s="6">
        <f t="shared" ref="C25:R25" si="8">LN(C3)</f>
        <v>5.2158049449735726</v>
      </c>
      <c r="D25" s="6">
        <f t="shared" si="8"/>
        <v>5.0891999869669187</v>
      </c>
      <c r="E25" s="6">
        <f t="shared" si="8"/>
        <v>5.1234281215713775</v>
      </c>
      <c r="F25" s="6">
        <f t="shared" si="8"/>
        <v>4.4662528868014224</v>
      </c>
      <c r="G25" s="6">
        <f t="shared" si="8"/>
        <v>3.7113745319413072</v>
      </c>
      <c r="H25" s="6">
        <f t="shared" si="8"/>
        <v>3.3823542938606757</v>
      </c>
      <c r="I25" s="6">
        <f t="shared" si="8"/>
        <v>3.629660094453965</v>
      </c>
      <c r="J25" s="6">
        <f t="shared" si="8"/>
        <v>3.6000482404073204</v>
      </c>
      <c r="K25" s="6">
        <f t="shared" si="8"/>
        <v>3.7281001672672178</v>
      </c>
      <c r="L25" s="6">
        <f t="shared" si="8"/>
        <v>4.0943445622221004</v>
      </c>
      <c r="M25" s="6">
        <f t="shared" si="8"/>
        <v>3.9080149840306073</v>
      </c>
      <c r="N25" s="6">
        <f t="shared" si="8"/>
        <v>3.9160150266976834</v>
      </c>
      <c r="O25" s="6">
        <f t="shared" si="8"/>
        <v>3.9019726695746448</v>
      </c>
      <c r="P25" s="6">
        <f t="shared" si="8"/>
        <v>3.4626060097907989</v>
      </c>
      <c r="Q25" s="6">
        <f t="shared" si="8"/>
        <v>3.6686767467964168</v>
      </c>
      <c r="R25" s="6">
        <f t="shared" si="8"/>
        <v>3.1780538303479458</v>
      </c>
      <c r="S25" s="6">
        <f t="shared" ref="S25:X25" si="9">LN(S3)</f>
        <v>3.4242626545931514</v>
      </c>
      <c r="T25" s="6">
        <f t="shared" si="9"/>
        <v>3.9239515762934198</v>
      </c>
      <c r="U25" s="6">
        <f t="shared" si="9"/>
        <v>3.5496173867804286</v>
      </c>
      <c r="V25" s="6">
        <f t="shared" si="9"/>
        <v>3.5145260669691587</v>
      </c>
      <c r="W25" s="6">
        <f t="shared" si="9"/>
        <v>3.708682081410116</v>
      </c>
      <c r="X25" s="6">
        <f t="shared" si="9"/>
        <v>4.1206618705394744</v>
      </c>
    </row>
    <row r="26" spans="1:24" x14ac:dyDescent="0.25">
      <c r="A26" s="43"/>
      <c r="B26" s="6">
        <f>+(14.42*B25)+4.15</f>
        <v>77.86486390810137</v>
      </c>
      <c r="C26" s="6">
        <f t="shared" ref="C26:R26" si="10">+(14.42*C25)+4.15</f>
        <v>79.361907306518916</v>
      </c>
      <c r="D26" s="6">
        <f t="shared" si="10"/>
        <v>77.53626381206297</v>
      </c>
      <c r="E26" s="6">
        <f t="shared" si="10"/>
        <v>78.029833513059273</v>
      </c>
      <c r="F26" s="6">
        <f t="shared" si="10"/>
        <v>68.55336662767651</v>
      </c>
      <c r="G26" s="6">
        <f t="shared" si="10"/>
        <v>57.668020750593648</v>
      </c>
      <c r="H26" s="6">
        <f t="shared" si="10"/>
        <v>52.923548917470939</v>
      </c>
      <c r="I26" s="6">
        <f t="shared" si="10"/>
        <v>56.48969856202617</v>
      </c>
      <c r="J26" s="6">
        <f t="shared" si="10"/>
        <v>56.062695626673559</v>
      </c>
      <c r="K26" s="6">
        <f t="shared" si="10"/>
        <v>57.909204411993279</v>
      </c>
      <c r="L26" s="6">
        <f t="shared" si="10"/>
        <v>63.190448587242685</v>
      </c>
      <c r="M26" s="6">
        <f t="shared" si="10"/>
        <v>60.503576069721355</v>
      </c>
      <c r="N26" s="6">
        <f t="shared" si="10"/>
        <v>60.618936684980596</v>
      </c>
      <c r="O26" s="6">
        <f t="shared" si="10"/>
        <v>60.416445895266378</v>
      </c>
      <c r="P26" s="6">
        <f t="shared" si="10"/>
        <v>54.080778661183317</v>
      </c>
      <c r="Q26" s="6">
        <f t="shared" si="10"/>
        <v>57.052318688804327</v>
      </c>
      <c r="R26" s="6">
        <f t="shared" si="10"/>
        <v>49.977536233617379</v>
      </c>
      <c r="S26" s="6">
        <f t="shared" ref="S26:X26" si="11">+(14.42*S25)+4.15</f>
        <v>53.527867479233244</v>
      </c>
      <c r="T26" s="6">
        <f t="shared" si="11"/>
        <v>60.733381730151109</v>
      </c>
      <c r="U26" s="6">
        <f t="shared" si="11"/>
        <v>55.335482717373779</v>
      </c>
      <c r="V26" s="6">
        <f t="shared" si="11"/>
        <v>54.829465885695264</v>
      </c>
      <c r="W26" s="6">
        <f t="shared" si="11"/>
        <v>57.629195613933874</v>
      </c>
      <c r="X26" s="6">
        <f t="shared" si="11"/>
        <v>63.569944173179216</v>
      </c>
    </row>
    <row r="27" spans="1:24" x14ac:dyDescent="0.25">
      <c r="A27" s="43"/>
      <c r="B27" s="41">
        <v>1988</v>
      </c>
      <c r="C27" s="41">
        <v>1991</v>
      </c>
      <c r="D27" s="41">
        <v>1992</v>
      </c>
      <c r="E27" s="41">
        <v>1993</v>
      </c>
      <c r="F27" s="41">
        <v>1994</v>
      </c>
      <c r="G27" s="41">
        <v>1995</v>
      </c>
      <c r="H27" s="41">
        <v>1996</v>
      </c>
      <c r="I27" s="41">
        <v>1997</v>
      </c>
      <c r="J27" s="41">
        <v>1998</v>
      </c>
      <c r="K27" s="41">
        <v>1999</v>
      </c>
      <c r="L27" s="41">
        <v>2000</v>
      </c>
      <c r="M27" s="41">
        <v>2001</v>
      </c>
      <c r="N27" s="41">
        <v>2002</v>
      </c>
      <c r="O27" s="41">
        <v>2003</v>
      </c>
      <c r="P27" s="41">
        <v>2004</v>
      </c>
      <c r="Q27" s="41">
        <v>2005</v>
      </c>
      <c r="R27" s="41">
        <v>2006</v>
      </c>
      <c r="S27" s="41">
        <v>2007</v>
      </c>
      <c r="T27" s="41">
        <v>2008</v>
      </c>
      <c r="U27" s="41">
        <v>2009</v>
      </c>
      <c r="V27" s="41">
        <v>2010</v>
      </c>
      <c r="W27" s="41">
        <v>2011</v>
      </c>
      <c r="X27" s="41">
        <v>2012</v>
      </c>
    </row>
    <row r="28" spans="1:24" x14ac:dyDescent="0.25">
      <c r="A28" s="6"/>
      <c r="B28" s="6"/>
      <c r="C28" s="6"/>
      <c r="D28" s="6"/>
      <c r="E28" s="6"/>
      <c r="F28" s="6"/>
      <c r="G28" s="6"/>
      <c r="H28" s="6"/>
      <c r="I28" s="6"/>
      <c r="J28" s="6"/>
      <c r="K28" s="6"/>
      <c r="L28" s="6"/>
      <c r="M28" s="6"/>
      <c r="N28" s="6"/>
    </row>
    <row r="29" spans="1:24" ht="13" x14ac:dyDescent="0.3">
      <c r="A29" s="792" t="s">
        <v>39</v>
      </c>
      <c r="B29" s="792"/>
      <c r="C29" s="792"/>
      <c r="D29" s="792"/>
      <c r="E29" s="792"/>
      <c r="F29" s="792"/>
      <c r="G29" s="792"/>
      <c r="H29" s="792"/>
      <c r="I29" s="792"/>
      <c r="J29" s="792"/>
      <c r="K29" s="792"/>
      <c r="L29" s="792"/>
      <c r="M29" s="792"/>
      <c r="N29" s="792"/>
    </row>
    <row r="30" spans="1:24" x14ac:dyDescent="0.25">
      <c r="A30" s="43" t="s">
        <v>34</v>
      </c>
      <c r="B30" s="6"/>
      <c r="C30" s="6">
        <f>LN(C16)</f>
        <v>0.70803579305369591</v>
      </c>
      <c r="D30" s="6">
        <f t="shared" ref="D30:R30" si="12">LN(D16)</f>
        <v>0.75141608868392118</v>
      </c>
      <c r="E30" s="6">
        <f t="shared" si="12"/>
        <v>0.80200158547202738</v>
      </c>
      <c r="F30" s="6">
        <f t="shared" si="12"/>
        <v>0.53062825106217038</v>
      </c>
      <c r="G30" s="6">
        <f t="shared" si="12"/>
        <v>0.21511137961694549</v>
      </c>
      <c r="H30" s="6">
        <f t="shared" si="12"/>
        <v>0.9294043710195381</v>
      </c>
      <c r="I30" s="6">
        <f t="shared" si="12"/>
        <v>0.33647223662121289</v>
      </c>
      <c r="J30" s="6">
        <f t="shared" si="12"/>
        <v>0.53062825106217038</v>
      </c>
      <c r="K30" s="6">
        <f t="shared" si="12"/>
        <v>0.58778666490211906</v>
      </c>
      <c r="L30" s="6">
        <f t="shared" si="12"/>
        <v>0.83724752453370221</v>
      </c>
      <c r="M30" s="6">
        <f t="shared" si="12"/>
        <v>0.83290912293510388</v>
      </c>
      <c r="N30" s="6">
        <f t="shared" si="12"/>
        <v>0.99325177301028345</v>
      </c>
      <c r="O30" s="6">
        <f t="shared" si="12"/>
        <v>0.47000362924573563</v>
      </c>
      <c r="P30" s="6">
        <f t="shared" si="12"/>
        <v>0.69314718055994529</v>
      </c>
      <c r="Q30" s="6">
        <f t="shared" si="12"/>
        <v>0.40546510810816438</v>
      </c>
      <c r="R30" s="6">
        <f t="shared" si="12"/>
        <v>0.87546873735389985</v>
      </c>
      <c r="S30" s="6">
        <f t="shared" ref="S30:X30" si="13">LN(S16)</f>
        <v>0.91629073187415511</v>
      </c>
      <c r="T30" s="6">
        <f t="shared" si="13"/>
        <v>0.40546510810816438</v>
      </c>
      <c r="U30" s="6">
        <f t="shared" si="13"/>
        <v>0.58778666490211906</v>
      </c>
      <c r="V30" s="6">
        <f t="shared" si="13"/>
        <v>0.47000362924573563</v>
      </c>
      <c r="W30" s="6">
        <f t="shared" si="13"/>
        <v>0.78845736036427028</v>
      </c>
      <c r="X30" s="6">
        <f t="shared" si="13"/>
        <v>0.35065687161316933</v>
      </c>
    </row>
    <row r="31" spans="1:24" x14ac:dyDescent="0.25">
      <c r="A31" s="43"/>
      <c r="B31" s="6"/>
      <c r="C31" s="6">
        <f t="shared" ref="C31:R31" si="14">60-(14.41*C30)</f>
        <v>49.797204222096241</v>
      </c>
      <c r="D31" s="6">
        <f t="shared" si="14"/>
        <v>49.172094162064695</v>
      </c>
      <c r="E31" s="6">
        <f t="shared" si="14"/>
        <v>48.443157153348082</v>
      </c>
      <c r="F31" s="6">
        <f t="shared" si="14"/>
        <v>52.353646902194129</v>
      </c>
      <c r="G31" s="6">
        <f t="shared" si="14"/>
        <v>56.900245019719819</v>
      </c>
      <c r="H31" s="6">
        <f t="shared" si="14"/>
        <v>46.607283013608452</v>
      </c>
      <c r="I31" s="6">
        <f t="shared" si="14"/>
        <v>55.151435070288322</v>
      </c>
      <c r="J31" s="6">
        <f t="shared" si="14"/>
        <v>52.353646902194129</v>
      </c>
      <c r="K31" s="6">
        <f t="shared" si="14"/>
        <v>51.529994158760466</v>
      </c>
      <c r="L31" s="6">
        <f t="shared" si="14"/>
        <v>47.935263171469352</v>
      </c>
      <c r="M31" s="6">
        <f t="shared" si="14"/>
        <v>47.997779538505156</v>
      </c>
      <c r="N31" s="6">
        <f t="shared" si="14"/>
        <v>45.687241950921816</v>
      </c>
      <c r="O31" s="6">
        <f t="shared" si="14"/>
        <v>53.227247702568953</v>
      </c>
      <c r="P31" s="6">
        <f t="shared" si="14"/>
        <v>50.011749128131186</v>
      </c>
      <c r="Q31" s="6">
        <f t="shared" si="14"/>
        <v>54.15724779216135</v>
      </c>
      <c r="R31" s="6">
        <f t="shared" si="14"/>
        <v>47.384495494730302</v>
      </c>
      <c r="S31" s="6">
        <f t="shared" ref="S31:X31" si="15">60-(14.41*S30)</f>
        <v>46.796250553693426</v>
      </c>
      <c r="T31" s="6">
        <f t="shared" si="15"/>
        <v>54.15724779216135</v>
      </c>
      <c r="U31" s="6">
        <f t="shared" si="15"/>
        <v>51.529994158760466</v>
      </c>
      <c r="V31" s="6">
        <f t="shared" si="15"/>
        <v>53.227247702568953</v>
      </c>
      <c r="W31" s="6">
        <f t="shared" si="15"/>
        <v>48.638329437150865</v>
      </c>
      <c r="X31" s="6">
        <f t="shared" si="15"/>
        <v>54.947034480054228</v>
      </c>
    </row>
    <row r="32" spans="1:24" x14ac:dyDescent="0.25">
      <c r="A32" s="43"/>
      <c r="B32" s="6"/>
      <c r="C32" s="6"/>
      <c r="D32" s="6"/>
      <c r="E32" s="6"/>
      <c r="F32" s="6"/>
      <c r="G32" s="6"/>
      <c r="H32" s="6"/>
      <c r="I32" s="6"/>
      <c r="J32" s="6"/>
      <c r="K32" s="6"/>
      <c r="L32" s="6"/>
      <c r="M32" s="6"/>
      <c r="N32" s="6"/>
    </row>
    <row r="33" spans="1:26" x14ac:dyDescent="0.25">
      <c r="A33" s="43" t="s">
        <v>35</v>
      </c>
      <c r="B33" s="6"/>
      <c r="C33" s="6">
        <f>LN(C14)</f>
        <v>1.3837912309017721</v>
      </c>
      <c r="D33" s="6">
        <f t="shared" ref="D33:R33" si="16">LN(D14)</f>
        <v>2.4664031782234406</v>
      </c>
      <c r="E33" s="6">
        <f t="shared" si="16"/>
        <v>2.6672282065819548</v>
      </c>
      <c r="F33" s="6">
        <f t="shared" si="16"/>
        <v>3.2733640101522705</v>
      </c>
      <c r="G33" s="6">
        <f t="shared" si="16"/>
        <v>2.3942522815198695</v>
      </c>
      <c r="H33" s="6">
        <f t="shared" si="16"/>
        <v>3.1701056604987712</v>
      </c>
      <c r="I33" s="6">
        <f t="shared" si="16"/>
        <v>1.791759469228055</v>
      </c>
      <c r="J33" s="6">
        <f t="shared" si="16"/>
        <v>0.99325177301028345</v>
      </c>
      <c r="K33" s="6">
        <f t="shared" si="16"/>
        <v>1.1314021114911006</v>
      </c>
      <c r="L33" s="6">
        <f t="shared" si="16"/>
        <v>2.6810215287142909</v>
      </c>
      <c r="M33" s="6">
        <f t="shared" si="16"/>
        <v>3.1570004211501135</v>
      </c>
      <c r="N33" s="6">
        <f t="shared" si="16"/>
        <v>3.0106208860477417</v>
      </c>
      <c r="O33" s="6">
        <f t="shared" si="16"/>
        <v>2.917770732084279</v>
      </c>
      <c r="P33" s="6">
        <f t="shared" si="16"/>
        <v>2.1400661634962708</v>
      </c>
      <c r="Q33" s="6">
        <f t="shared" si="16"/>
        <v>2.7343675094195836</v>
      </c>
      <c r="R33" s="6">
        <f t="shared" si="16"/>
        <v>2.5802168295923251</v>
      </c>
      <c r="S33" s="6">
        <f t="shared" ref="S33:X33" si="17">LN(S14)</f>
        <v>1.8718021769015913</v>
      </c>
      <c r="T33" s="6">
        <f t="shared" si="17"/>
        <v>3.2503744919275719</v>
      </c>
      <c r="U33" s="6">
        <f t="shared" si="17"/>
        <v>3.1484533605716547</v>
      </c>
      <c r="V33" s="6">
        <f t="shared" si="17"/>
        <v>2.7212954278522306</v>
      </c>
      <c r="W33" s="6">
        <f t="shared" si="17"/>
        <v>2.1972245773362196</v>
      </c>
      <c r="X33" s="6">
        <f t="shared" si="17"/>
        <v>3.2228678461377385</v>
      </c>
    </row>
    <row r="34" spans="1:26" x14ac:dyDescent="0.25">
      <c r="A34" s="43"/>
      <c r="B34" s="6"/>
      <c r="C34" s="6">
        <f t="shared" ref="C34:R34" si="18">(9.81*C33)+30.6</f>
        <v>44.174991975146384</v>
      </c>
      <c r="D34" s="6">
        <f t="shared" si="18"/>
        <v>54.795415178371954</v>
      </c>
      <c r="E34" s="6">
        <f t="shared" si="18"/>
        <v>56.76550870656898</v>
      </c>
      <c r="F34" s="6">
        <f t="shared" si="18"/>
        <v>62.711700939593776</v>
      </c>
      <c r="G34" s="6">
        <f t="shared" si="18"/>
        <v>54.087614881709925</v>
      </c>
      <c r="H34" s="6">
        <f t="shared" si="18"/>
        <v>61.698736529492948</v>
      </c>
      <c r="I34" s="6">
        <f t="shared" si="18"/>
        <v>48.177160393127224</v>
      </c>
      <c r="J34" s="6">
        <f t="shared" si="18"/>
        <v>40.34379989323088</v>
      </c>
      <c r="K34" s="6">
        <f t="shared" si="18"/>
        <v>41.699054713727698</v>
      </c>
      <c r="L34" s="6">
        <f t="shared" si="18"/>
        <v>56.900821196687197</v>
      </c>
      <c r="M34" s="6">
        <f t="shared" si="18"/>
        <v>61.570174131482617</v>
      </c>
      <c r="N34" s="6">
        <f t="shared" si="18"/>
        <v>60.134190892128345</v>
      </c>
      <c r="O34" s="6">
        <f t="shared" si="18"/>
        <v>59.223330881746776</v>
      </c>
      <c r="P34" s="6">
        <f t="shared" si="18"/>
        <v>51.594049063898417</v>
      </c>
      <c r="Q34" s="6">
        <f t="shared" si="18"/>
        <v>57.424145267406118</v>
      </c>
      <c r="R34" s="6">
        <f t="shared" si="18"/>
        <v>55.911927098300708</v>
      </c>
      <c r="S34" s="6">
        <f t="shared" ref="S34:X34" si="19">(9.81*S33)+30.6</f>
        <v>48.962379355404615</v>
      </c>
      <c r="T34" s="6">
        <f t="shared" si="19"/>
        <v>62.486173765809482</v>
      </c>
      <c r="U34" s="6">
        <f t="shared" si="19"/>
        <v>61.486327467207936</v>
      </c>
      <c r="V34" s="6">
        <f t="shared" si="19"/>
        <v>57.295908147230385</v>
      </c>
      <c r="W34" s="6">
        <f t="shared" si="19"/>
        <v>52.154773103668319</v>
      </c>
      <c r="X34" s="6">
        <f t="shared" si="19"/>
        <v>62.216333570611212</v>
      </c>
    </row>
    <row r="35" spans="1:26" x14ac:dyDescent="0.25">
      <c r="A35" s="43"/>
      <c r="B35" s="6"/>
      <c r="C35" s="6"/>
      <c r="D35" s="6"/>
      <c r="E35" s="6"/>
      <c r="F35" s="6"/>
      <c r="G35" s="6"/>
      <c r="H35" s="6"/>
      <c r="I35" s="6"/>
      <c r="J35" s="6"/>
      <c r="K35" s="6"/>
      <c r="L35" s="6"/>
      <c r="M35" s="6"/>
      <c r="N35" s="6"/>
    </row>
    <row r="36" spans="1:26" x14ac:dyDescent="0.25">
      <c r="A36" s="43" t="s">
        <v>36</v>
      </c>
      <c r="B36" s="6"/>
      <c r="C36" s="6">
        <f>LN(C12)</f>
        <v>5.2566095631482463</v>
      </c>
      <c r="D36" s="6">
        <f t="shared" ref="D36:P36" si="20">LN(D12)</f>
        <v>5.2021368080740675</v>
      </c>
      <c r="E36" s="6">
        <f t="shared" si="20"/>
        <v>5.3322355847514977</v>
      </c>
      <c r="F36" s="6">
        <f t="shared" si="20"/>
        <v>4.5247190615904644</v>
      </c>
      <c r="G36" s="6">
        <f t="shared" si="20"/>
        <v>4.0673158898341812</v>
      </c>
      <c r="H36" s="6">
        <f t="shared" si="20"/>
        <v>3.4307561839036995</v>
      </c>
      <c r="I36" s="6">
        <f t="shared" si="20"/>
        <v>3.6635616461296463</v>
      </c>
      <c r="J36" s="6">
        <f t="shared" si="20"/>
        <v>3.5553480614894135</v>
      </c>
      <c r="K36" s="6">
        <f t="shared" si="20"/>
        <v>3.8372994592322094</v>
      </c>
      <c r="L36" s="6">
        <f t="shared" si="20"/>
        <v>3.7471483622379123</v>
      </c>
      <c r="M36" s="6">
        <f t="shared" si="20"/>
        <v>4.1303549997451334</v>
      </c>
      <c r="N36" s="6">
        <f t="shared" si="20"/>
        <v>3.9318256327243257</v>
      </c>
      <c r="O36" s="6">
        <f t="shared" si="20"/>
        <v>4.133565275375382</v>
      </c>
      <c r="P36" s="6">
        <f t="shared" si="20"/>
        <v>3.6963514689526371</v>
      </c>
      <c r="Q36" s="6">
        <f t="shared" ref="Q36:W36" si="21">LN(Q12)</f>
        <v>3.824284091120139</v>
      </c>
      <c r="R36" s="6">
        <f t="shared" si="21"/>
        <v>3.2386784521643803</v>
      </c>
      <c r="S36" s="6">
        <f t="shared" si="21"/>
        <v>3.3534067178258069</v>
      </c>
      <c r="T36" s="6">
        <f t="shared" si="21"/>
        <v>4.1174098351530963</v>
      </c>
      <c r="U36" s="6">
        <f t="shared" si="21"/>
        <v>3.8938590348004749</v>
      </c>
      <c r="V36" s="6">
        <f t="shared" si="21"/>
        <v>3.6584202466292277</v>
      </c>
      <c r="W36" s="6">
        <f t="shared" si="21"/>
        <v>4.01096295328305</v>
      </c>
      <c r="X36" s="6">
        <f t="shared" ref="X36" si="22">LN(X12)</f>
        <v>4.5767707114663931</v>
      </c>
    </row>
    <row r="37" spans="1:26" x14ac:dyDescent="0.25">
      <c r="A37" s="43"/>
      <c r="B37" s="6"/>
      <c r="C37" s="6">
        <f t="shared" ref="C37:R37" si="23">+(14.42*C36)+4.15</f>
        <v>79.950309900597716</v>
      </c>
      <c r="D37" s="6">
        <f t="shared" si="23"/>
        <v>79.164812772428064</v>
      </c>
      <c r="E37" s="6">
        <f t="shared" si="23"/>
        <v>81.040837132116607</v>
      </c>
      <c r="F37" s="6">
        <f t="shared" si="23"/>
        <v>69.396448868134499</v>
      </c>
      <c r="G37" s="6">
        <f t="shared" si="23"/>
        <v>62.800695131408894</v>
      </c>
      <c r="H37" s="6">
        <f t="shared" si="23"/>
        <v>53.621504171891345</v>
      </c>
      <c r="I37" s="6">
        <f t="shared" si="23"/>
        <v>56.978558937189497</v>
      </c>
      <c r="J37" s="6">
        <f t="shared" si="23"/>
        <v>55.41811904667734</v>
      </c>
      <c r="K37" s="6">
        <f t="shared" si="23"/>
        <v>59.483858202128459</v>
      </c>
      <c r="L37" s="6">
        <f t="shared" si="23"/>
        <v>58.183879383470696</v>
      </c>
      <c r="M37" s="6">
        <f t="shared" si="23"/>
        <v>63.709719096324825</v>
      </c>
      <c r="N37" s="6">
        <f t="shared" si="23"/>
        <v>60.846925623884772</v>
      </c>
      <c r="O37" s="6">
        <f t="shared" si="23"/>
        <v>63.756011270913007</v>
      </c>
      <c r="P37" s="6">
        <f t="shared" si="23"/>
        <v>57.451388182297023</v>
      </c>
      <c r="Q37" s="6">
        <f t="shared" si="23"/>
        <v>59.296176593952403</v>
      </c>
      <c r="R37" s="6">
        <f t="shared" si="23"/>
        <v>50.851743280210364</v>
      </c>
      <c r="S37" s="6">
        <f t="shared" ref="S37:X37" si="24">+(14.42*S36)+4.15</f>
        <v>52.506124871048137</v>
      </c>
      <c r="T37" s="6">
        <f t="shared" si="24"/>
        <v>63.523049822907645</v>
      </c>
      <c r="U37" s="6">
        <f t="shared" si="24"/>
        <v>60.299447281822843</v>
      </c>
      <c r="V37" s="6">
        <f t="shared" si="24"/>
        <v>56.904419956393461</v>
      </c>
      <c r="W37" s="6">
        <f t="shared" si="24"/>
        <v>61.988085786341578</v>
      </c>
      <c r="X37" s="6">
        <f t="shared" si="24"/>
        <v>70.147033659345396</v>
      </c>
    </row>
    <row r="38" spans="1:26" x14ac:dyDescent="0.25">
      <c r="A38" s="41"/>
      <c r="B38" s="41"/>
      <c r="C38" s="41">
        <v>1991</v>
      </c>
      <c r="D38" s="41">
        <v>1992</v>
      </c>
      <c r="E38" s="41">
        <v>1993</v>
      </c>
      <c r="F38" s="41">
        <v>1994</v>
      </c>
      <c r="G38" s="41">
        <v>1995</v>
      </c>
      <c r="H38" s="41">
        <v>1996</v>
      </c>
      <c r="I38" s="41">
        <v>1997</v>
      </c>
      <c r="J38" s="41">
        <v>1998</v>
      </c>
      <c r="K38" s="41">
        <v>1999</v>
      </c>
      <c r="L38" s="41">
        <v>2000</v>
      </c>
      <c r="M38" s="41">
        <v>2001</v>
      </c>
      <c r="N38" s="41">
        <v>2002</v>
      </c>
      <c r="O38" s="41">
        <v>2003</v>
      </c>
      <c r="P38" s="41">
        <v>2004</v>
      </c>
      <c r="Q38" s="41">
        <v>2005</v>
      </c>
      <c r="R38" s="41">
        <v>2006</v>
      </c>
      <c r="S38" s="41">
        <v>2007</v>
      </c>
      <c r="T38" s="41">
        <v>2008</v>
      </c>
      <c r="U38" s="41">
        <v>2009</v>
      </c>
      <c r="V38" s="41">
        <v>2010</v>
      </c>
      <c r="W38" s="41">
        <v>2011</v>
      </c>
      <c r="X38" s="41">
        <v>2012</v>
      </c>
    </row>
    <row r="42" spans="1:26" ht="15.5" x14ac:dyDescent="0.45">
      <c r="Z42" s="44" t="s">
        <v>112</v>
      </c>
    </row>
    <row r="43" spans="1:26" ht="15.5" x14ac:dyDescent="0.45">
      <c r="Z43" s="44" t="s">
        <v>68</v>
      </c>
    </row>
    <row r="44" spans="1:26" ht="15.5" x14ac:dyDescent="0.45">
      <c r="Z44" s="44" t="s">
        <v>110</v>
      </c>
    </row>
    <row r="60" spans="1:2" x14ac:dyDescent="0.25">
      <c r="A60" s="68" t="s">
        <v>146</v>
      </c>
      <c r="B60" s="68" t="s">
        <v>147</v>
      </c>
    </row>
    <row r="61" spans="1:2" x14ac:dyDescent="0.25">
      <c r="A61" s="68" t="s">
        <v>57</v>
      </c>
      <c r="B61" s="68" t="s">
        <v>148</v>
      </c>
    </row>
    <row r="62" spans="1:2" x14ac:dyDescent="0.25">
      <c r="A62" s="68" t="s">
        <v>99</v>
      </c>
      <c r="B62" s="68" t="s">
        <v>100</v>
      </c>
    </row>
    <row r="63" spans="1:2" x14ac:dyDescent="0.25">
      <c r="A63" s="68" t="s">
        <v>59</v>
      </c>
      <c r="B63" s="68" t="s">
        <v>60</v>
      </c>
    </row>
    <row r="64" spans="1:2" x14ac:dyDescent="0.25">
      <c r="A64" s="68" t="s">
        <v>97</v>
      </c>
      <c r="B64" s="68" t="s">
        <v>98</v>
      </c>
    </row>
    <row r="65" spans="1:2" x14ac:dyDescent="0.25">
      <c r="A65" s="68" t="s">
        <v>149</v>
      </c>
      <c r="B65" s="68" t="s">
        <v>85</v>
      </c>
    </row>
  </sheetData>
  <mergeCells count="4">
    <mergeCell ref="A1:N1"/>
    <mergeCell ref="A10:N10"/>
    <mergeCell ref="A18:N18"/>
    <mergeCell ref="A29:N29"/>
  </mergeCells>
  <phoneticPr fontId="8" type="noConversion"/>
  <pageMargins left="0.75" right="0.75" top="1" bottom="1" header="0.5" footer="0.5"/>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90"/>
  <sheetViews>
    <sheetView topLeftCell="S28" workbookViewId="0">
      <selection activeCell="AS63" sqref="AS63"/>
    </sheetView>
  </sheetViews>
  <sheetFormatPr defaultRowHeight="12.5" x14ac:dyDescent="0.25"/>
  <cols>
    <col min="1" max="1" width="8.36328125" bestFit="1" customWidth="1"/>
    <col min="2" max="2" width="5" bestFit="1" customWidth="1"/>
    <col min="3" max="5" width="7" bestFit="1" customWidth="1"/>
    <col min="6" max="6" width="6" bestFit="1" customWidth="1"/>
    <col min="7" max="7" width="7" bestFit="1" customWidth="1"/>
    <col min="8" max="9" width="6" bestFit="1" customWidth="1"/>
    <col min="10" max="11" width="5.54296875" bestFit="1" customWidth="1"/>
    <col min="12" max="12" width="6" bestFit="1" customWidth="1"/>
    <col min="13" max="14" width="5.54296875" bestFit="1" customWidth="1"/>
    <col min="15" max="25" width="5.54296875" customWidth="1"/>
    <col min="26" max="26" width="4.6328125" customWidth="1"/>
    <col min="27" max="27" width="6.54296875" bestFit="1" customWidth="1"/>
    <col min="28" max="28" width="7.54296875" bestFit="1" customWidth="1"/>
    <col min="29" max="31" width="6.54296875" bestFit="1" customWidth="1"/>
    <col min="32" max="32" width="6.90625" bestFit="1" customWidth="1"/>
    <col min="33" max="37" width="6.54296875" bestFit="1" customWidth="1"/>
    <col min="38" max="38" width="7.08984375" bestFit="1" customWidth="1"/>
    <col min="39" max="39" width="6.54296875" bestFit="1" customWidth="1"/>
    <col min="49" max="50" width="11.54296875" customWidth="1"/>
    <col min="51" max="51" width="25.08984375" bestFit="1" customWidth="1"/>
    <col min="52" max="52" width="24.453125" bestFit="1" customWidth="1"/>
  </cols>
  <sheetData>
    <row r="1" spans="1:49" ht="13" x14ac:dyDescent="0.3">
      <c r="Z1" s="794" t="s">
        <v>46</v>
      </c>
      <c r="AA1" s="794"/>
      <c r="AB1" s="794"/>
      <c r="AC1" s="794"/>
      <c r="AD1" s="794"/>
      <c r="AE1" s="794"/>
      <c r="AF1" s="794"/>
      <c r="AG1" s="794"/>
      <c r="AH1" s="794"/>
      <c r="AI1" s="794"/>
      <c r="AJ1" s="794"/>
      <c r="AK1" s="794"/>
      <c r="AL1" s="794"/>
      <c r="AM1" s="794"/>
    </row>
    <row r="2" spans="1:49" ht="13" x14ac:dyDescent="0.3">
      <c r="A2" s="794" t="s">
        <v>37</v>
      </c>
      <c r="B2" s="794"/>
      <c r="C2" s="794"/>
      <c r="D2" s="794"/>
      <c r="E2" s="794"/>
      <c r="F2" s="794"/>
      <c r="G2" s="794"/>
      <c r="H2" s="794"/>
      <c r="I2" s="794"/>
      <c r="J2" s="794"/>
      <c r="K2" s="794"/>
      <c r="L2" s="794"/>
      <c r="M2" s="794"/>
      <c r="N2" s="794"/>
      <c r="O2" s="252"/>
      <c r="P2" s="252"/>
      <c r="Q2" s="252"/>
      <c r="R2" s="252"/>
      <c r="S2" s="252"/>
      <c r="T2" s="252"/>
      <c r="U2" s="252"/>
      <c r="V2" s="252"/>
      <c r="W2" s="472"/>
      <c r="X2" s="561"/>
      <c r="Y2" s="472"/>
      <c r="Z2" s="41"/>
      <c r="AA2" s="41">
        <v>1988</v>
      </c>
      <c r="AB2" s="41">
        <v>1991</v>
      </c>
      <c r="AC2" s="41">
        <v>1992</v>
      </c>
      <c r="AD2" s="41">
        <v>1993</v>
      </c>
      <c r="AE2" s="41">
        <v>1994</v>
      </c>
      <c r="AF2" s="41">
        <v>1995</v>
      </c>
      <c r="AG2" s="41">
        <v>1996</v>
      </c>
      <c r="AH2" s="41">
        <v>1997</v>
      </c>
      <c r="AI2" s="41">
        <v>1998</v>
      </c>
      <c r="AJ2" s="41">
        <v>1999</v>
      </c>
      <c r="AK2" s="41">
        <v>2000</v>
      </c>
      <c r="AL2" s="41">
        <v>2001</v>
      </c>
      <c r="AM2" s="41">
        <v>2002</v>
      </c>
      <c r="AN2" s="41">
        <v>2003</v>
      </c>
      <c r="AO2" s="41">
        <v>2004</v>
      </c>
      <c r="AP2" s="41">
        <v>2005</v>
      </c>
      <c r="AQ2" s="41">
        <v>2006</v>
      </c>
      <c r="AR2" s="41">
        <v>2007</v>
      </c>
      <c r="AS2" s="41">
        <v>2008</v>
      </c>
      <c r="AT2" s="41">
        <v>2009</v>
      </c>
      <c r="AU2" s="41">
        <v>2010</v>
      </c>
      <c r="AV2" s="41">
        <v>2011</v>
      </c>
      <c r="AW2" s="41">
        <v>2012</v>
      </c>
    </row>
    <row r="3" spans="1:49" ht="15.5" x14ac:dyDescent="0.35">
      <c r="A3" s="41"/>
      <c r="B3" s="41">
        <v>1988</v>
      </c>
      <c r="C3" s="41">
        <v>1991</v>
      </c>
      <c r="D3" s="41">
        <v>1992</v>
      </c>
      <c r="E3" s="41">
        <v>1993</v>
      </c>
      <c r="F3" s="41">
        <v>1994</v>
      </c>
      <c r="G3" s="41">
        <v>1995</v>
      </c>
      <c r="H3" s="41">
        <v>1996</v>
      </c>
      <c r="I3" s="41">
        <v>1997</v>
      </c>
      <c r="J3" s="41">
        <v>1998</v>
      </c>
      <c r="K3" s="41">
        <v>1999</v>
      </c>
      <c r="L3" s="41">
        <v>2000</v>
      </c>
      <c r="M3" s="41">
        <v>2001</v>
      </c>
      <c r="N3" s="41">
        <v>2002</v>
      </c>
      <c r="O3" s="41">
        <v>2003</v>
      </c>
      <c r="P3" s="41">
        <v>2004</v>
      </c>
      <c r="Q3" s="41">
        <v>2005</v>
      </c>
      <c r="R3" s="41">
        <v>2006</v>
      </c>
      <c r="S3" s="41">
        <v>2007</v>
      </c>
      <c r="T3" s="41">
        <v>2008</v>
      </c>
      <c r="U3" s="41">
        <v>2009</v>
      </c>
      <c r="V3" s="41">
        <v>2010</v>
      </c>
      <c r="W3" s="41">
        <v>2011</v>
      </c>
      <c r="X3" s="41">
        <v>2012</v>
      </c>
      <c r="Y3" s="41"/>
      <c r="Z3" s="45" t="s">
        <v>40</v>
      </c>
      <c r="AA3" s="6">
        <f t="shared" ref="AA3:AP3" si="0">LN(B6)</f>
        <v>2.0110862220155639</v>
      </c>
      <c r="AB3" s="6">
        <f t="shared" si="0"/>
        <v>3.0549441331858369</v>
      </c>
      <c r="AC3" s="6">
        <f t="shared" si="0"/>
        <v>2.9449651565003379</v>
      </c>
      <c r="AD3" s="6">
        <f t="shared" si="0"/>
        <v>2.1860512767380942</v>
      </c>
      <c r="AE3" s="6">
        <f t="shared" si="0"/>
        <v>3.0170044088295307</v>
      </c>
      <c r="AF3" s="6">
        <f t="shared" si="0"/>
        <v>1.6272778305624314</v>
      </c>
      <c r="AG3" s="6">
        <f t="shared" si="0"/>
        <v>2.8390784635086144</v>
      </c>
      <c r="AH3" s="6">
        <f t="shared" si="0"/>
        <v>2.1041341542702074</v>
      </c>
      <c r="AI3" s="6">
        <f t="shared" si="0"/>
        <v>1.4586150226995167</v>
      </c>
      <c r="AJ3" s="6">
        <f t="shared" si="0"/>
        <v>1.7578579175523736</v>
      </c>
      <c r="AK3" s="6">
        <f t="shared" si="0"/>
        <v>2.6461747973841225</v>
      </c>
      <c r="AL3" s="6">
        <f t="shared" si="0"/>
        <v>3.202746442938317</v>
      </c>
      <c r="AM3" s="6">
        <f t="shared" si="0"/>
        <v>2.7343675094195836</v>
      </c>
      <c r="AN3" s="6">
        <f t="shared" si="0"/>
        <v>2.6946271807700692</v>
      </c>
      <c r="AO3" s="6">
        <f t="shared" si="0"/>
        <v>1.8870696490323797</v>
      </c>
      <c r="AP3" s="6">
        <f t="shared" si="0"/>
        <v>2.7343675094195836</v>
      </c>
      <c r="AQ3" s="6">
        <f t="shared" ref="AQ3:AW3" si="1">LN(R6)</f>
        <v>2.2082744135228043</v>
      </c>
      <c r="AR3" s="6">
        <f t="shared" si="1"/>
        <v>2.2300144001592104</v>
      </c>
      <c r="AS3" s="6">
        <f t="shared" si="1"/>
        <v>2.8507065015037334</v>
      </c>
      <c r="AT3" s="6">
        <f t="shared" si="1"/>
        <v>2.5257286443082556</v>
      </c>
      <c r="AU3" s="6">
        <f t="shared" si="1"/>
        <v>2.3608540011180215</v>
      </c>
      <c r="AV3" s="6">
        <f t="shared" si="1"/>
        <v>2.379546134130174</v>
      </c>
      <c r="AW3" s="6">
        <f t="shared" si="1"/>
        <v>2.7013612129514133</v>
      </c>
    </row>
    <row r="4" spans="1:49" ht="15.5" x14ac:dyDescent="0.35">
      <c r="A4" s="41" t="s">
        <v>29</v>
      </c>
      <c r="B4">
        <v>166</v>
      </c>
      <c r="C4">
        <v>184.16</v>
      </c>
      <c r="D4">
        <v>162.26</v>
      </c>
      <c r="E4">
        <v>167.91</v>
      </c>
      <c r="F4">
        <v>87.03</v>
      </c>
      <c r="G4">
        <v>40.909999999999997</v>
      </c>
      <c r="H4" s="6">
        <v>29.44</v>
      </c>
      <c r="I4" s="6">
        <v>37.700000000000003</v>
      </c>
      <c r="J4">
        <v>36.5</v>
      </c>
      <c r="K4">
        <v>41.6</v>
      </c>
      <c r="L4">
        <v>60</v>
      </c>
      <c r="M4">
        <v>49.8</v>
      </c>
      <c r="N4">
        <v>50.2</v>
      </c>
      <c r="O4">
        <v>49.5</v>
      </c>
      <c r="P4">
        <v>31.9</v>
      </c>
      <c r="Q4">
        <v>39.200000000000003</v>
      </c>
      <c r="R4">
        <v>24</v>
      </c>
      <c r="S4">
        <v>30.7</v>
      </c>
      <c r="T4">
        <v>50.6</v>
      </c>
      <c r="U4">
        <v>34.799999999999997</v>
      </c>
      <c r="V4">
        <v>33.6</v>
      </c>
      <c r="W4">
        <v>40.799999999999997</v>
      </c>
      <c r="X4">
        <v>61.6</v>
      </c>
      <c r="Z4" s="45"/>
      <c r="AA4" s="6">
        <f>20+(14.42*AA3)</f>
        <v>48.999863321464431</v>
      </c>
      <c r="AB4" s="6">
        <f t="shared" ref="AB4:AP4" si="2">20+(14.42*AB3)</f>
        <v>64.052294400539765</v>
      </c>
      <c r="AC4" s="6">
        <f t="shared" si="2"/>
        <v>62.466397556734869</v>
      </c>
      <c r="AD4" s="6">
        <f t="shared" si="2"/>
        <v>51.522859410563314</v>
      </c>
      <c r="AE4" s="6">
        <f t="shared" si="2"/>
        <v>63.505203575321829</v>
      </c>
      <c r="AF4" s="6">
        <f t="shared" si="2"/>
        <v>43.46534631671026</v>
      </c>
      <c r="AG4" s="6">
        <f t="shared" si="2"/>
        <v>60.939511443794217</v>
      </c>
      <c r="AH4" s="6">
        <f t="shared" si="2"/>
        <v>50.341614504576391</v>
      </c>
      <c r="AI4" s="6">
        <f t="shared" si="2"/>
        <v>41.033228627327034</v>
      </c>
      <c r="AJ4" s="6">
        <f t="shared" si="2"/>
        <v>45.348311171105223</v>
      </c>
      <c r="AK4" s="6">
        <f t="shared" si="2"/>
        <v>58.15784057827905</v>
      </c>
      <c r="AL4" s="6">
        <f t="shared" si="2"/>
        <v>66.183603707170533</v>
      </c>
      <c r="AM4" s="6">
        <f t="shared" si="2"/>
        <v>59.429579485830395</v>
      </c>
      <c r="AN4" s="6">
        <f t="shared" si="2"/>
        <v>58.856523946704399</v>
      </c>
      <c r="AO4" s="6">
        <f t="shared" si="2"/>
        <v>47.211544339046917</v>
      </c>
      <c r="AP4" s="6">
        <f t="shared" si="2"/>
        <v>59.429579485830395</v>
      </c>
      <c r="AQ4" s="6">
        <f t="shared" ref="AQ4:AV4" si="3">20+(14.42*AQ3)</f>
        <v>51.843317042998834</v>
      </c>
      <c r="AR4" s="6">
        <f t="shared" si="3"/>
        <v>52.156807650295811</v>
      </c>
      <c r="AS4" s="6">
        <f t="shared" si="3"/>
        <v>61.107187751683838</v>
      </c>
      <c r="AT4" s="6">
        <f t="shared" si="3"/>
        <v>56.421007050925049</v>
      </c>
      <c r="AU4" s="6">
        <f t="shared" si="3"/>
        <v>54.043514696121868</v>
      </c>
      <c r="AV4" s="6">
        <f t="shared" si="3"/>
        <v>54.313055254157106</v>
      </c>
      <c r="AW4" s="6">
        <f t="shared" ref="AW4" si="4">20+(14.42*AW3)</f>
        <v>58.953628690759381</v>
      </c>
    </row>
    <row r="5" spans="1:49" ht="15.5" x14ac:dyDescent="0.35">
      <c r="A5" s="41" t="s">
        <v>30</v>
      </c>
      <c r="B5" s="5">
        <v>255.14285714285714</v>
      </c>
      <c r="C5" s="5">
        <v>349.27</v>
      </c>
      <c r="D5" s="5">
        <v>266.27</v>
      </c>
      <c r="E5" s="5">
        <v>442.5</v>
      </c>
      <c r="F5" s="5">
        <v>348.74</v>
      </c>
      <c r="G5" s="5">
        <v>492.7</v>
      </c>
      <c r="H5" s="5">
        <v>577.75</v>
      </c>
      <c r="I5" s="5">
        <v>393</v>
      </c>
      <c r="J5" s="5">
        <v>368</v>
      </c>
      <c r="K5" s="5">
        <v>402</v>
      </c>
      <c r="L5" s="5">
        <v>441</v>
      </c>
      <c r="M5" s="5">
        <v>387</v>
      </c>
      <c r="N5" s="5">
        <v>282</v>
      </c>
      <c r="O5" s="5">
        <v>266</v>
      </c>
      <c r="P5" s="5">
        <v>47</v>
      </c>
      <c r="Q5" s="5">
        <v>207</v>
      </c>
      <c r="R5" s="5">
        <v>153</v>
      </c>
      <c r="S5" s="5">
        <v>229</v>
      </c>
      <c r="T5" s="5">
        <v>232</v>
      </c>
      <c r="U5">
        <v>267</v>
      </c>
      <c r="V5" s="5">
        <v>254</v>
      </c>
      <c r="W5" s="5">
        <v>172</v>
      </c>
      <c r="X5" s="5">
        <v>134</v>
      </c>
      <c r="Y5" s="5"/>
      <c r="Z5" s="45"/>
      <c r="AA5" s="6"/>
      <c r="AB5" s="6"/>
      <c r="AC5" s="6"/>
      <c r="AD5" s="6"/>
      <c r="AE5" s="6"/>
      <c r="AF5" s="6"/>
      <c r="AG5" s="6"/>
      <c r="AH5" s="6"/>
      <c r="AI5" s="6"/>
      <c r="AJ5" s="6"/>
      <c r="AK5" s="6"/>
      <c r="AL5" s="6"/>
      <c r="AM5" s="6"/>
    </row>
    <row r="6" spans="1:49" ht="15.5" x14ac:dyDescent="0.35">
      <c r="A6" s="41" t="s">
        <v>31</v>
      </c>
      <c r="B6" s="6">
        <v>7.4714285714285706</v>
      </c>
      <c r="C6">
        <v>21.22</v>
      </c>
      <c r="D6">
        <v>19.010000000000002</v>
      </c>
      <c r="E6">
        <v>8.9</v>
      </c>
      <c r="F6">
        <v>20.43</v>
      </c>
      <c r="G6">
        <v>5.09</v>
      </c>
      <c r="H6" s="6">
        <v>17.100000000000001</v>
      </c>
      <c r="I6" s="6">
        <v>8.1999999999999993</v>
      </c>
      <c r="J6">
        <v>4.3</v>
      </c>
      <c r="K6">
        <v>5.8</v>
      </c>
      <c r="L6">
        <v>14.1</v>
      </c>
      <c r="M6">
        <v>24.6</v>
      </c>
      <c r="N6">
        <v>15.4</v>
      </c>
      <c r="O6">
        <v>14.8</v>
      </c>
      <c r="P6">
        <v>6.6</v>
      </c>
      <c r="Q6">
        <v>15.4</v>
      </c>
      <c r="R6">
        <v>9.1</v>
      </c>
      <c r="S6">
        <v>9.3000000000000007</v>
      </c>
      <c r="T6">
        <v>17.3</v>
      </c>
      <c r="U6">
        <v>12.5</v>
      </c>
      <c r="V6">
        <v>10.6</v>
      </c>
      <c r="W6">
        <v>10.8</v>
      </c>
      <c r="X6">
        <v>14.9</v>
      </c>
      <c r="Z6" s="45" t="s">
        <v>41</v>
      </c>
      <c r="AA6" s="6">
        <f>LN(B4)</f>
        <v>5.1119877883565437</v>
      </c>
      <c r="AB6" s="6">
        <f t="shared" ref="AB6:AW6" si="5">LN(C4)</f>
        <v>5.2158049449735726</v>
      </c>
      <c r="AC6" s="6">
        <f t="shared" si="5"/>
        <v>5.0891999869669187</v>
      </c>
      <c r="AD6" s="6">
        <f t="shared" si="5"/>
        <v>5.1234281215713775</v>
      </c>
      <c r="AE6" s="6">
        <f t="shared" si="5"/>
        <v>4.4662528868014224</v>
      </c>
      <c r="AF6" s="6">
        <f t="shared" si="5"/>
        <v>3.7113745319413072</v>
      </c>
      <c r="AG6" s="6">
        <f t="shared" si="5"/>
        <v>3.3823542938606757</v>
      </c>
      <c r="AH6" s="6">
        <f t="shared" si="5"/>
        <v>3.629660094453965</v>
      </c>
      <c r="AI6" s="6">
        <f t="shared" si="5"/>
        <v>3.597312260588446</v>
      </c>
      <c r="AJ6" s="6">
        <f t="shared" si="5"/>
        <v>3.7281001672672178</v>
      </c>
      <c r="AK6" s="6">
        <f t="shared" si="5"/>
        <v>4.0943445622221004</v>
      </c>
      <c r="AL6" s="6">
        <f t="shared" si="5"/>
        <v>3.9080149840306073</v>
      </c>
      <c r="AM6" s="6">
        <f t="shared" si="5"/>
        <v>3.9160150266976834</v>
      </c>
      <c r="AN6" s="6">
        <f t="shared" si="5"/>
        <v>3.9019726695746448</v>
      </c>
      <c r="AO6" s="6">
        <f t="shared" si="5"/>
        <v>3.4626060097907989</v>
      </c>
      <c r="AP6" s="6">
        <f t="shared" si="5"/>
        <v>3.6686767467964168</v>
      </c>
      <c r="AQ6" s="6">
        <f t="shared" si="5"/>
        <v>3.1780538303479458</v>
      </c>
      <c r="AR6" s="6">
        <f t="shared" si="5"/>
        <v>3.4242626545931514</v>
      </c>
      <c r="AS6" s="6">
        <f t="shared" si="5"/>
        <v>3.9239515762934198</v>
      </c>
      <c r="AT6" s="6">
        <f t="shared" si="5"/>
        <v>3.5496173867804286</v>
      </c>
      <c r="AU6" s="6">
        <f t="shared" si="5"/>
        <v>3.5145260669691587</v>
      </c>
      <c r="AV6" s="6">
        <f t="shared" si="5"/>
        <v>3.708682081410116</v>
      </c>
      <c r="AW6" s="6">
        <f t="shared" si="5"/>
        <v>4.1206618705394744</v>
      </c>
    </row>
    <row r="7" spans="1:49" ht="15.5" x14ac:dyDescent="0.35">
      <c r="A7" s="41" t="s">
        <v>32</v>
      </c>
      <c r="B7">
        <v>14</v>
      </c>
      <c r="C7">
        <v>69.67</v>
      </c>
      <c r="D7">
        <v>65.67</v>
      </c>
      <c r="E7">
        <v>32</v>
      </c>
      <c r="F7">
        <v>69.5</v>
      </c>
      <c r="G7">
        <v>36.85</v>
      </c>
      <c r="H7" s="6">
        <v>97.3</v>
      </c>
      <c r="I7" s="6">
        <v>31.7</v>
      </c>
      <c r="J7">
        <v>41.1</v>
      </c>
      <c r="K7">
        <v>36.700000000000003</v>
      </c>
      <c r="L7">
        <v>104.9</v>
      </c>
      <c r="M7">
        <v>69.7</v>
      </c>
      <c r="N7">
        <v>43.7</v>
      </c>
      <c r="O7">
        <v>37.700000000000003</v>
      </c>
      <c r="P7">
        <v>15.2</v>
      </c>
      <c r="Q7">
        <v>75.5</v>
      </c>
      <c r="R7">
        <v>28.7</v>
      </c>
      <c r="S7">
        <v>50.8</v>
      </c>
      <c r="T7">
        <v>73.900000000000006</v>
      </c>
      <c r="U7">
        <v>80.400000000000006</v>
      </c>
      <c r="V7">
        <v>24.1</v>
      </c>
      <c r="W7">
        <v>17.399999999999999</v>
      </c>
      <c r="X7">
        <v>52.9</v>
      </c>
      <c r="Z7" s="45"/>
      <c r="AA7" s="6">
        <f>20.02*AA6</f>
        <v>102.341995522898</v>
      </c>
      <c r="AB7" s="6">
        <f t="shared" ref="AB7:AT7" si="6">20.02*AB6</f>
        <v>104.42041499837092</v>
      </c>
      <c r="AC7" s="6">
        <f t="shared" si="6"/>
        <v>101.88578373907771</v>
      </c>
      <c r="AD7" s="6">
        <f t="shared" si="6"/>
        <v>102.57103099385897</v>
      </c>
      <c r="AE7" s="6">
        <f t="shared" si="6"/>
        <v>89.414382793764474</v>
      </c>
      <c r="AF7" s="6">
        <f t="shared" si="6"/>
        <v>74.301718129464973</v>
      </c>
      <c r="AG7" s="6">
        <f t="shared" si="6"/>
        <v>67.714732963090725</v>
      </c>
      <c r="AH7" s="6">
        <f t="shared" si="6"/>
        <v>72.665795090968373</v>
      </c>
      <c r="AI7" s="6">
        <f t="shared" si="6"/>
        <v>72.018191456980688</v>
      </c>
      <c r="AJ7" s="6">
        <f t="shared" si="6"/>
        <v>74.6365653486897</v>
      </c>
      <c r="AK7" s="6">
        <f t="shared" si="6"/>
        <v>81.968778135686449</v>
      </c>
      <c r="AL7" s="6">
        <f t="shared" si="6"/>
        <v>78.23845998029276</v>
      </c>
      <c r="AM7" s="6">
        <f t="shared" si="6"/>
        <v>78.398620834487616</v>
      </c>
      <c r="AN7" s="6">
        <f t="shared" si="6"/>
        <v>78.117492844884381</v>
      </c>
      <c r="AO7" s="6">
        <f t="shared" si="6"/>
        <v>69.321372316011789</v>
      </c>
      <c r="AP7" s="6">
        <f t="shared" si="6"/>
        <v>73.446908470864258</v>
      </c>
      <c r="AQ7" s="6">
        <f t="shared" si="6"/>
        <v>63.624637683565872</v>
      </c>
      <c r="AR7" s="6">
        <f t="shared" si="6"/>
        <v>68.553738344954894</v>
      </c>
      <c r="AS7" s="6">
        <f t="shared" si="6"/>
        <v>78.557510557394266</v>
      </c>
      <c r="AT7" s="6">
        <f t="shared" si="6"/>
        <v>71.063340083344173</v>
      </c>
      <c r="AU7" s="6">
        <f>20.02*AU6</f>
        <v>70.360811860722549</v>
      </c>
      <c r="AV7" s="6">
        <f>20.02*AV6</f>
        <v>74.247815269830525</v>
      </c>
      <c r="AW7" s="6">
        <f>20.02*AW6</f>
        <v>82.495650648200282</v>
      </c>
    </row>
    <row r="8" spans="1:49" ht="15.5" x14ac:dyDescent="0.35">
      <c r="A8" s="41" t="s">
        <v>27</v>
      </c>
      <c r="B8" s="3">
        <v>1.625</v>
      </c>
      <c r="C8">
        <v>2.17</v>
      </c>
      <c r="D8">
        <v>2.1</v>
      </c>
      <c r="E8">
        <v>2.84</v>
      </c>
      <c r="F8">
        <v>1.79</v>
      </c>
      <c r="G8">
        <v>2.14</v>
      </c>
      <c r="H8" s="6">
        <v>2.5125000000000002</v>
      </c>
      <c r="I8" s="6">
        <v>1.7</v>
      </c>
      <c r="J8">
        <v>1.76</v>
      </c>
      <c r="K8">
        <v>1.8</v>
      </c>
      <c r="L8">
        <v>2.4</v>
      </c>
      <c r="M8">
        <v>2.2999999999999998</v>
      </c>
      <c r="N8">
        <v>3</v>
      </c>
      <c r="O8">
        <v>1.7</v>
      </c>
      <c r="P8">
        <v>2.6</v>
      </c>
      <c r="Q8">
        <v>2.1</v>
      </c>
      <c r="R8">
        <v>2.4</v>
      </c>
      <c r="S8">
        <v>1.7</v>
      </c>
      <c r="T8">
        <v>2.4</v>
      </c>
      <c r="U8">
        <v>2.7</v>
      </c>
      <c r="V8">
        <v>1.7</v>
      </c>
      <c r="W8">
        <v>2.2000000000000002</v>
      </c>
      <c r="X8">
        <v>2.21</v>
      </c>
      <c r="Z8" s="45"/>
      <c r="AA8" s="6"/>
      <c r="AB8" s="6"/>
      <c r="AC8" s="6"/>
      <c r="AD8" s="6"/>
      <c r="AE8" s="6"/>
      <c r="AF8" s="6"/>
      <c r="AG8" s="6"/>
      <c r="AH8" s="6"/>
      <c r="AI8" s="6"/>
      <c r="AJ8" s="6"/>
      <c r="AK8" s="6"/>
      <c r="AL8" s="6"/>
      <c r="AM8" s="6"/>
    </row>
    <row r="9" spans="1:49" ht="15.5" x14ac:dyDescent="0.35">
      <c r="Z9" s="45" t="s">
        <v>42</v>
      </c>
      <c r="AA9" s="6">
        <f>LN(1/B8-0.08)</f>
        <v>-0.62476988311520831</v>
      </c>
      <c r="AB9" s="6">
        <f t="shared" ref="AB9:AP9" si="7">LN(1/C8-0.08)</f>
        <v>-0.96540352872907653</v>
      </c>
      <c r="AC9" s="6">
        <f t="shared" si="7"/>
        <v>-0.92586018289030592</v>
      </c>
      <c r="AD9" s="6">
        <f t="shared" si="7"/>
        <v>-1.3015390482569433</v>
      </c>
      <c r="AE9" s="6">
        <f t="shared" si="7"/>
        <v>-0.7367663797012618</v>
      </c>
      <c r="AF9" s="6">
        <f t="shared" si="7"/>
        <v>-0.94858223651067863</v>
      </c>
      <c r="AG9" s="6">
        <f t="shared" si="7"/>
        <v>-1.1456726066010567</v>
      </c>
      <c r="AH9" s="6">
        <f t="shared" si="7"/>
        <v>-0.67681076124025175</v>
      </c>
      <c r="AI9" s="6">
        <f t="shared" si="7"/>
        <v>-0.71706736427759721</v>
      </c>
      <c r="AJ9" s="6">
        <f t="shared" si="7"/>
        <v>-0.74327156774251391</v>
      </c>
      <c r="AK9" s="6">
        <f t="shared" si="7"/>
        <v>-1.0886619578149417</v>
      </c>
      <c r="AL9" s="6">
        <f t="shared" si="7"/>
        <v>-1.0362500469531339</v>
      </c>
      <c r="AM9" s="6">
        <f t="shared" si="7"/>
        <v>-1.3730491343698701</v>
      </c>
      <c r="AN9" s="6">
        <f t="shared" si="7"/>
        <v>-0.67681076124025175</v>
      </c>
      <c r="AO9" s="6">
        <f t="shared" si="7"/>
        <v>-1.1887053321951477</v>
      </c>
      <c r="AP9" s="6">
        <f t="shared" si="7"/>
        <v>-0.92586018289030592</v>
      </c>
      <c r="AQ9" s="6">
        <f t="shared" ref="AQ9:AW9" si="8">LN(1/R8-0.08)</f>
        <v>-1.0886619578149417</v>
      </c>
      <c r="AR9" s="6">
        <f t="shared" si="8"/>
        <v>-0.67681076124025175</v>
      </c>
      <c r="AS9" s="6">
        <f t="shared" si="8"/>
        <v>-1.0886619578149417</v>
      </c>
      <c r="AT9" s="6">
        <f t="shared" si="8"/>
        <v>-1.2365980316420127</v>
      </c>
      <c r="AU9" s="6">
        <f t="shared" si="8"/>
        <v>-0.67681076124025175</v>
      </c>
      <c r="AV9" s="6">
        <f t="shared" si="8"/>
        <v>-0.9820421094369356</v>
      </c>
      <c r="AW9" s="6">
        <f t="shared" si="8"/>
        <v>-0.9875486099919587</v>
      </c>
    </row>
    <row r="10" spans="1:49" ht="15.5" x14ac:dyDescent="0.35">
      <c r="Z10" s="45"/>
      <c r="AA10" s="6">
        <f>75.34+(19.46*AA9)</f>
        <v>63.181978074578048</v>
      </c>
      <c r="AB10" s="6">
        <f t="shared" ref="AB10:AP10" si="9">75.34+(19.46*AB9)</f>
        <v>56.553247330932173</v>
      </c>
      <c r="AC10" s="6">
        <f t="shared" si="9"/>
        <v>57.322760840954651</v>
      </c>
      <c r="AD10" s="6">
        <f t="shared" si="9"/>
        <v>50.012050120919881</v>
      </c>
      <c r="AE10" s="6">
        <f t="shared" si="9"/>
        <v>61.00252625101345</v>
      </c>
      <c r="AF10" s="6">
        <f t="shared" si="9"/>
        <v>56.880589677502201</v>
      </c>
      <c r="AG10" s="6">
        <f t="shared" si="9"/>
        <v>53.045211075543435</v>
      </c>
      <c r="AH10" s="6">
        <f t="shared" si="9"/>
        <v>62.169262586264708</v>
      </c>
      <c r="AI10" s="6">
        <f t="shared" si="9"/>
        <v>61.385869091157957</v>
      </c>
      <c r="AJ10" s="6">
        <f t="shared" si="9"/>
        <v>60.875935291730684</v>
      </c>
      <c r="AK10" s="6">
        <f t="shared" si="9"/>
        <v>54.154638300921235</v>
      </c>
      <c r="AL10" s="6">
        <f t="shared" si="9"/>
        <v>55.174574086292012</v>
      </c>
      <c r="AM10" s="6">
        <f t="shared" si="9"/>
        <v>48.620463845162334</v>
      </c>
      <c r="AN10" s="6">
        <f t="shared" si="9"/>
        <v>62.169262586264708</v>
      </c>
      <c r="AO10" s="6">
        <f t="shared" si="9"/>
        <v>52.207794235482424</v>
      </c>
      <c r="AP10" s="6">
        <f t="shared" si="9"/>
        <v>57.322760840954651</v>
      </c>
      <c r="AQ10" s="6">
        <f t="shared" ref="AQ10:AV10" si="10">75.34+(19.46*AQ9)</f>
        <v>54.154638300921235</v>
      </c>
      <c r="AR10" s="6">
        <f t="shared" si="10"/>
        <v>62.169262586264708</v>
      </c>
      <c r="AS10" s="6">
        <f t="shared" si="10"/>
        <v>54.154638300921235</v>
      </c>
      <c r="AT10" s="6">
        <f t="shared" si="10"/>
        <v>51.27580230424644</v>
      </c>
      <c r="AU10" s="6">
        <f t="shared" si="10"/>
        <v>62.169262586264708</v>
      </c>
      <c r="AV10" s="6">
        <f t="shared" si="10"/>
        <v>56.229460550357231</v>
      </c>
      <c r="AW10" s="6">
        <f t="shared" ref="AW10" si="11">75.34+(19.46*AW9)</f>
        <v>56.12230404955649</v>
      </c>
    </row>
    <row r="11" spans="1:49" ht="15.5" x14ac:dyDescent="0.35">
      <c r="Z11" s="45"/>
      <c r="AA11" s="6"/>
      <c r="AB11" s="6"/>
      <c r="AC11" s="6"/>
      <c r="AD11" s="6"/>
      <c r="AE11" s="6"/>
      <c r="AF11" s="6"/>
      <c r="AG11" s="6"/>
      <c r="AH11" s="6"/>
      <c r="AI11" s="6"/>
      <c r="AJ11" s="6"/>
      <c r="AK11" s="6"/>
      <c r="AL11" s="6"/>
      <c r="AM11" s="6"/>
    </row>
    <row r="12" spans="1:49" ht="15.5" x14ac:dyDescent="0.35">
      <c r="Z12" s="45" t="s">
        <v>43</v>
      </c>
      <c r="AA12" s="6">
        <f>+(AA4+AA7+AA10)/3</f>
        <v>71.50794563964682</v>
      </c>
      <c r="AB12" s="6">
        <f t="shared" ref="AB12:AO12" si="12">+(AB4+AB7+AB10)/3</f>
        <v>75.008652243280963</v>
      </c>
      <c r="AC12" s="6">
        <f t="shared" si="12"/>
        <v>73.891647378922414</v>
      </c>
      <c r="AD12" s="6">
        <f t="shared" si="12"/>
        <v>68.035313508447373</v>
      </c>
      <c r="AE12" s="6">
        <f t="shared" si="12"/>
        <v>71.30737087336658</v>
      </c>
      <c r="AF12" s="6">
        <f t="shared" si="12"/>
        <v>58.215884707892478</v>
      </c>
      <c r="AG12" s="6">
        <f t="shared" si="12"/>
        <v>60.566485160809464</v>
      </c>
      <c r="AH12" s="6">
        <f t="shared" si="12"/>
        <v>61.725557393936491</v>
      </c>
      <c r="AI12" s="6">
        <f t="shared" si="12"/>
        <v>58.145763058488562</v>
      </c>
      <c r="AJ12" s="6">
        <f t="shared" si="12"/>
        <v>60.286937270508531</v>
      </c>
      <c r="AK12" s="6">
        <f t="shared" si="12"/>
        <v>64.760419004962259</v>
      </c>
      <c r="AL12" s="6">
        <f t="shared" si="12"/>
        <v>66.532212591251763</v>
      </c>
      <c r="AM12" s="6">
        <f t="shared" si="12"/>
        <v>62.149554721826782</v>
      </c>
      <c r="AN12" s="6">
        <f t="shared" si="12"/>
        <v>66.381093125951168</v>
      </c>
      <c r="AO12" s="6">
        <f t="shared" si="12"/>
        <v>56.246903630180377</v>
      </c>
      <c r="AP12" s="6">
        <f t="shared" ref="AP12:AW12" si="13">+(AP4+AP7+AP10)/3</f>
        <v>63.399749599216442</v>
      </c>
      <c r="AQ12" s="6">
        <f t="shared" si="13"/>
        <v>56.540864342495318</v>
      </c>
      <c r="AR12" s="6">
        <f t="shared" si="13"/>
        <v>60.959936193838473</v>
      </c>
      <c r="AS12" s="6">
        <f t="shared" si="13"/>
        <v>64.606445536666456</v>
      </c>
      <c r="AT12" s="6">
        <f t="shared" si="13"/>
        <v>59.58671647950522</v>
      </c>
      <c r="AU12" s="6">
        <f t="shared" si="13"/>
        <v>62.191196381036377</v>
      </c>
      <c r="AV12" s="6">
        <f t="shared" si="13"/>
        <v>61.596777024781623</v>
      </c>
      <c r="AW12" s="6">
        <f t="shared" si="13"/>
        <v>65.85719446283872</v>
      </c>
    </row>
    <row r="13" spans="1:49" x14ac:dyDescent="0.25">
      <c r="Z13" s="41"/>
      <c r="AA13" s="6" t="s">
        <v>44</v>
      </c>
      <c r="AB13" s="6" t="s">
        <v>44</v>
      </c>
      <c r="AC13" s="6" t="s">
        <v>44</v>
      </c>
      <c r="AD13" s="6" t="s">
        <v>44</v>
      </c>
      <c r="AE13" s="6" t="s">
        <v>44</v>
      </c>
      <c r="AF13" s="6" t="s">
        <v>45</v>
      </c>
      <c r="AG13" s="6" t="s">
        <v>45</v>
      </c>
      <c r="AH13" s="6" t="s">
        <v>45</v>
      </c>
      <c r="AI13" s="6" t="s">
        <v>45</v>
      </c>
      <c r="AJ13" s="6" t="s">
        <v>45</v>
      </c>
      <c r="AK13" s="6" t="s">
        <v>45</v>
      </c>
      <c r="AL13" s="6" t="s">
        <v>45</v>
      </c>
      <c r="AM13" s="6" t="s">
        <v>45</v>
      </c>
    </row>
    <row r="14" spans="1:49" x14ac:dyDescent="0.25">
      <c r="A14" s="10"/>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9"/>
      <c r="AB14" s="9"/>
      <c r="AC14" s="9"/>
      <c r="AD14" s="9"/>
      <c r="AE14" s="9"/>
      <c r="AF14" s="9"/>
      <c r="AG14" s="9"/>
      <c r="AH14" s="9"/>
      <c r="AI14" s="9"/>
      <c r="AJ14" s="9"/>
      <c r="AK14" s="9"/>
      <c r="AL14" s="9"/>
      <c r="AM14" s="6"/>
    </row>
    <row r="15" spans="1:49" ht="13" x14ac:dyDescent="0.3">
      <c r="A15" s="794" t="s">
        <v>33</v>
      </c>
      <c r="B15" s="794"/>
      <c r="C15" s="794"/>
      <c r="D15" s="794"/>
      <c r="E15" s="794"/>
      <c r="F15" s="794"/>
      <c r="G15" s="794"/>
      <c r="H15" s="794"/>
      <c r="I15" s="794"/>
      <c r="J15" s="794"/>
      <c r="K15" s="794"/>
      <c r="L15" s="794"/>
      <c r="M15" s="794"/>
      <c r="N15" s="794"/>
      <c r="O15" s="252"/>
      <c r="P15" s="252"/>
      <c r="Q15" s="252"/>
      <c r="R15" s="252"/>
      <c r="S15" s="252"/>
      <c r="T15" s="252"/>
      <c r="U15" s="252"/>
      <c r="V15" s="252"/>
      <c r="W15" s="472"/>
      <c r="X15" s="561"/>
      <c r="Y15" s="472"/>
      <c r="Z15" s="794" t="s">
        <v>47</v>
      </c>
      <c r="AA15" s="794"/>
      <c r="AB15" s="794"/>
      <c r="AC15" s="794"/>
      <c r="AD15" s="794"/>
      <c r="AE15" s="794"/>
      <c r="AF15" s="794"/>
      <c r="AG15" s="794"/>
      <c r="AH15" s="794"/>
      <c r="AI15" s="794"/>
      <c r="AJ15" s="794"/>
      <c r="AK15" s="794"/>
      <c r="AL15" s="794"/>
      <c r="AM15" s="794"/>
    </row>
    <row r="16" spans="1:49" x14ac:dyDescent="0.25">
      <c r="A16" s="41"/>
      <c r="B16" s="41"/>
      <c r="C16" s="41">
        <v>1991</v>
      </c>
      <c r="D16" s="41">
        <v>1992</v>
      </c>
      <c r="E16" s="41">
        <v>1993</v>
      </c>
      <c r="F16" s="41">
        <v>1994</v>
      </c>
      <c r="G16" s="41">
        <v>1995</v>
      </c>
      <c r="H16" s="41">
        <v>1996</v>
      </c>
      <c r="I16" s="41">
        <v>1997</v>
      </c>
      <c r="J16" s="41">
        <v>1998</v>
      </c>
      <c r="K16" s="41">
        <v>1999</v>
      </c>
      <c r="L16" s="41">
        <v>2000</v>
      </c>
      <c r="M16" s="41">
        <v>2001</v>
      </c>
      <c r="N16" s="41">
        <v>2002</v>
      </c>
      <c r="O16" s="41">
        <v>2003</v>
      </c>
      <c r="P16" s="41">
        <v>2004</v>
      </c>
      <c r="Q16" s="41">
        <v>2005</v>
      </c>
      <c r="R16" s="41">
        <v>2006</v>
      </c>
      <c r="S16" s="41">
        <v>2007</v>
      </c>
      <c r="T16" s="41">
        <v>2008</v>
      </c>
      <c r="U16" s="41">
        <v>2009</v>
      </c>
      <c r="V16" s="41">
        <v>2010</v>
      </c>
      <c r="W16" s="41">
        <v>2011</v>
      </c>
      <c r="X16" s="41">
        <v>2012</v>
      </c>
      <c r="Y16" s="41"/>
      <c r="Z16" s="41"/>
      <c r="AA16" s="41">
        <v>1988</v>
      </c>
      <c r="AB16" s="41">
        <v>1991</v>
      </c>
      <c r="AC16" s="41">
        <v>1992</v>
      </c>
      <c r="AD16" s="41">
        <v>1993</v>
      </c>
      <c r="AE16" s="41">
        <v>1994</v>
      </c>
      <c r="AF16" s="41">
        <v>1995</v>
      </c>
      <c r="AG16" s="41">
        <v>1996</v>
      </c>
      <c r="AH16" s="41">
        <v>1997</v>
      </c>
      <c r="AI16" s="41">
        <v>1998</v>
      </c>
      <c r="AJ16" s="41">
        <v>1999</v>
      </c>
      <c r="AK16" s="41">
        <v>2000</v>
      </c>
      <c r="AL16" s="41">
        <v>2001</v>
      </c>
      <c r="AM16" s="41">
        <v>2002</v>
      </c>
      <c r="AN16" s="41">
        <v>2003</v>
      </c>
      <c r="AO16" s="41">
        <v>2004</v>
      </c>
      <c r="AP16" s="41">
        <v>2005</v>
      </c>
      <c r="AQ16" s="41">
        <v>2006</v>
      </c>
      <c r="AR16" s="41">
        <v>2007</v>
      </c>
      <c r="AS16" s="41">
        <v>2008</v>
      </c>
      <c r="AT16" s="41">
        <v>2009</v>
      </c>
      <c r="AU16" s="41">
        <v>2010</v>
      </c>
      <c r="AV16" s="41">
        <v>2011</v>
      </c>
      <c r="AW16" s="41">
        <v>2012</v>
      </c>
    </row>
    <row r="17" spans="1:49" ht="15.5" x14ac:dyDescent="0.35">
      <c r="A17" s="41" t="s">
        <v>29</v>
      </c>
      <c r="C17">
        <v>191.83</v>
      </c>
      <c r="D17">
        <v>181.66</v>
      </c>
      <c r="E17">
        <v>206.9</v>
      </c>
      <c r="F17">
        <v>92.27</v>
      </c>
      <c r="G17">
        <v>58.4</v>
      </c>
      <c r="H17">
        <v>30.9</v>
      </c>
      <c r="I17">
        <v>39</v>
      </c>
      <c r="J17" s="6">
        <v>35</v>
      </c>
      <c r="K17" s="6">
        <v>46.4</v>
      </c>
      <c r="L17" s="6">
        <v>42.4</v>
      </c>
      <c r="M17" s="6">
        <v>62.2</v>
      </c>
      <c r="N17" s="6">
        <v>51</v>
      </c>
      <c r="O17" s="6">
        <v>62.4</v>
      </c>
      <c r="P17">
        <v>40.299999999999997</v>
      </c>
      <c r="Q17" s="6">
        <v>45.8</v>
      </c>
      <c r="R17" s="6">
        <v>25.5</v>
      </c>
      <c r="S17" s="6">
        <v>28.6</v>
      </c>
      <c r="T17" s="6">
        <v>61.4</v>
      </c>
      <c r="U17">
        <v>49.1</v>
      </c>
      <c r="V17" s="6">
        <v>38.799999999999997</v>
      </c>
      <c r="W17" s="6">
        <v>55.2</v>
      </c>
      <c r="X17" s="6">
        <v>97.2</v>
      </c>
      <c r="Y17" s="6"/>
      <c r="Z17" s="45" t="s">
        <v>40</v>
      </c>
      <c r="AA17" s="6"/>
      <c r="AB17" s="6">
        <f t="shared" ref="AB17:AW17" si="14">LN(C19)</f>
        <v>1.3837912309017721</v>
      </c>
      <c r="AC17" s="6">
        <f t="shared" si="14"/>
        <v>2.4664031782234406</v>
      </c>
      <c r="AD17" s="6">
        <f t="shared" si="14"/>
        <v>2.6672282065819548</v>
      </c>
      <c r="AE17" s="6">
        <f t="shared" si="14"/>
        <v>3.2733640101522705</v>
      </c>
      <c r="AF17" s="6">
        <f t="shared" si="14"/>
        <v>2.3942522815198695</v>
      </c>
      <c r="AG17" s="6">
        <f t="shared" si="14"/>
        <v>3.1701056604987712</v>
      </c>
      <c r="AH17" s="6">
        <f t="shared" si="14"/>
        <v>1.791759469228055</v>
      </c>
      <c r="AI17" s="6">
        <f t="shared" si="14"/>
        <v>0.9895411936137477</v>
      </c>
      <c r="AJ17" s="6">
        <f t="shared" si="14"/>
        <v>1.1314021114911006</v>
      </c>
      <c r="AK17" s="6">
        <f t="shared" si="14"/>
        <v>2.6810215287142909</v>
      </c>
      <c r="AL17" s="6">
        <f t="shared" si="14"/>
        <v>3.1570004211501135</v>
      </c>
      <c r="AM17" s="6">
        <f t="shared" si="14"/>
        <v>3.0106208860477417</v>
      </c>
      <c r="AN17" s="6">
        <f t="shared" si="14"/>
        <v>2.917770732084279</v>
      </c>
      <c r="AO17" s="6">
        <f t="shared" si="14"/>
        <v>2.1400661634962708</v>
      </c>
      <c r="AP17" s="6">
        <f t="shared" si="14"/>
        <v>2.7408400239252009</v>
      </c>
      <c r="AQ17" s="6">
        <f t="shared" si="14"/>
        <v>2.5802168295923251</v>
      </c>
      <c r="AR17" s="6">
        <f t="shared" si="14"/>
        <v>1.8718021769015913</v>
      </c>
      <c r="AS17" s="6">
        <f t="shared" si="14"/>
        <v>3.2503744919275719</v>
      </c>
      <c r="AT17" s="6">
        <f t="shared" si="14"/>
        <v>3.1484533605716547</v>
      </c>
      <c r="AU17" s="6">
        <f t="shared" si="14"/>
        <v>2.7212954278522306</v>
      </c>
      <c r="AV17" s="6">
        <f t="shared" si="14"/>
        <v>2.1972245773362196</v>
      </c>
      <c r="AW17" s="6">
        <f t="shared" si="14"/>
        <v>3.2228678461377385</v>
      </c>
    </row>
    <row r="18" spans="1:49" ht="15.5" x14ac:dyDescent="0.35">
      <c r="A18" s="41" t="s">
        <v>30</v>
      </c>
      <c r="C18">
        <v>234.14</v>
      </c>
      <c r="D18">
        <v>133.19999999999999</v>
      </c>
      <c r="E18">
        <v>198.57</v>
      </c>
      <c r="F18">
        <v>156.69999999999999</v>
      </c>
      <c r="G18">
        <v>284.52999999999997</v>
      </c>
      <c r="H18">
        <v>340.4</v>
      </c>
      <c r="I18">
        <v>302.89999999999998</v>
      </c>
      <c r="J18">
        <v>228</v>
      </c>
      <c r="K18">
        <v>201</v>
      </c>
      <c r="L18">
        <v>347</v>
      </c>
      <c r="M18">
        <v>208</v>
      </c>
      <c r="N18">
        <v>171</v>
      </c>
      <c r="O18">
        <v>121</v>
      </c>
      <c r="P18">
        <v>175</v>
      </c>
      <c r="Q18">
        <v>150</v>
      </c>
      <c r="R18">
        <v>12</v>
      </c>
      <c r="S18">
        <v>145</v>
      </c>
      <c r="T18">
        <v>79</v>
      </c>
      <c r="U18">
        <v>180</v>
      </c>
      <c r="V18">
        <v>112</v>
      </c>
      <c r="W18">
        <v>111</v>
      </c>
      <c r="X18">
        <v>32</v>
      </c>
      <c r="Z18" s="45"/>
      <c r="AA18" s="6"/>
      <c r="AB18" s="6">
        <f>20+(14.42*AB17)</f>
        <v>39.954269549603552</v>
      </c>
      <c r="AC18" s="6">
        <f t="shared" ref="AC18:AQ18" si="15">20+(14.42*AC17)</f>
        <v>55.565533829982016</v>
      </c>
      <c r="AD18" s="6">
        <f t="shared" si="15"/>
        <v>58.461430738911787</v>
      </c>
      <c r="AE18" s="6">
        <f t="shared" si="15"/>
        <v>67.201909026395739</v>
      </c>
      <c r="AF18" s="6">
        <f t="shared" si="15"/>
        <v>54.525117899516516</v>
      </c>
      <c r="AG18" s="6">
        <f t="shared" si="15"/>
        <v>65.712923624392289</v>
      </c>
      <c r="AH18" s="6">
        <f t="shared" si="15"/>
        <v>45.83717154626855</v>
      </c>
      <c r="AI18" s="6">
        <f t="shared" si="15"/>
        <v>34.269184011910241</v>
      </c>
      <c r="AJ18" s="6">
        <f t="shared" si="15"/>
        <v>36.314818447701668</v>
      </c>
      <c r="AK18" s="6">
        <f t="shared" si="15"/>
        <v>58.660330444060072</v>
      </c>
      <c r="AL18" s="6">
        <f t="shared" si="15"/>
        <v>65.523946072984643</v>
      </c>
      <c r="AM18" s="6">
        <f t="shared" si="15"/>
        <v>63.413153176808436</v>
      </c>
      <c r="AN18" s="6">
        <f t="shared" si="15"/>
        <v>62.074253956655305</v>
      </c>
      <c r="AO18" s="6">
        <f t="shared" si="15"/>
        <v>50.859754077616223</v>
      </c>
      <c r="AP18" s="6">
        <f t="shared" si="15"/>
        <v>59.522913145001397</v>
      </c>
      <c r="AQ18" s="6">
        <f t="shared" si="15"/>
        <v>57.206726682721325</v>
      </c>
      <c r="AR18" s="6">
        <f t="shared" ref="AR18:AW18" si="16">20+(14.42*AR17)</f>
        <v>46.991387390920949</v>
      </c>
      <c r="AS18" s="6">
        <f t="shared" si="16"/>
        <v>66.870400173595584</v>
      </c>
      <c r="AT18" s="6">
        <f t="shared" si="16"/>
        <v>65.400697459443251</v>
      </c>
      <c r="AU18" s="6">
        <f t="shared" si="16"/>
        <v>59.241080069629163</v>
      </c>
      <c r="AV18" s="6">
        <f t="shared" si="16"/>
        <v>51.683978405188284</v>
      </c>
      <c r="AW18" s="6">
        <f t="shared" si="16"/>
        <v>66.47375434130619</v>
      </c>
    </row>
    <row r="19" spans="1:49" ht="15.5" x14ac:dyDescent="0.35">
      <c r="A19" s="41" t="s">
        <v>31</v>
      </c>
      <c r="C19">
        <v>3.99</v>
      </c>
      <c r="D19">
        <v>11.78</v>
      </c>
      <c r="E19">
        <v>14.4</v>
      </c>
      <c r="F19">
        <v>26.4</v>
      </c>
      <c r="G19">
        <v>10.96</v>
      </c>
      <c r="H19">
        <v>23.81</v>
      </c>
      <c r="I19">
        <v>6</v>
      </c>
      <c r="J19">
        <v>2.69</v>
      </c>
      <c r="K19">
        <v>3.1</v>
      </c>
      <c r="L19">
        <v>14.6</v>
      </c>
      <c r="M19">
        <v>23.5</v>
      </c>
      <c r="N19">
        <v>20.3</v>
      </c>
      <c r="O19">
        <v>18.5</v>
      </c>
      <c r="P19">
        <v>8.5</v>
      </c>
      <c r="Q19">
        <v>15.5</v>
      </c>
      <c r="R19">
        <v>13.2</v>
      </c>
      <c r="S19">
        <v>6.5</v>
      </c>
      <c r="T19">
        <v>25.8</v>
      </c>
      <c r="U19">
        <v>23.3</v>
      </c>
      <c r="V19">
        <v>15.2</v>
      </c>
      <c r="W19">
        <v>9</v>
      </c>
      <c r="X19">
        <v>25.1</v>
      </c>
      <c r="Z19" s="45"/>
      <c r="AA19" s="6"/>
      <c r="AB19" s="6"/>
      <c r="AC19" s="6"/>
      <c r="AD19" s="6"/>
      <c r="AE19" s="6"/>
      <c r="AF19" s="6"/>
      <c r="AG19" s="6"/>
      <c r="AH19" s="6"/>
      <c r="AI19" s="6"/>
      <c r="AJ19" s="6"/>
      <c r="AK19" s="6"/>
      <c r="AL19" s="6"/>
      <c r="AM19" s="6"/>
    </row>
    <row r="20" spans="1:49" ht="15.5" x14ac:dyDescent="0.35">
      <c r="A20" s="41" t="s">
        <v>32</v>
      </c>
      <c r="C20">
        <v>6.25</v>
      </c>
      <c r="D20">
        <v>26.18</v>
      </c>
      <c r="E20">
        <v>32</v>
      </c>
      <c r="F20">
        <v>69.5</v>
      </c>
      <c r="G20">
        <v>36.85</v>
      </c>
      <c r="H20">
        <v>91.4</v>
      </c>
      <c r="I20">
        <v>16.399999999999999</v>
      </c>
      <c r="J20">
        <v>5.8</v>
      </c>
      <c r="K20">
        <v>7.7</v>
      </c>
      <c r="L20">
        <v>95.9</v>
      </c>
      <c r="M20">
        <v>69.7</v>
      </c>
      <c r="N20">
        <v>43.7</v>
      </c>
      <c r="O20">
        <v>37.700000000000003</v>
      </c>
      <c r="P20">
        <v>15.2</v>
      </c>
      <c r="Q20">
        <v>75.5</v>
      </c>
      <c r="R20">
        <v>28.7</v>
      </c>
      <c r="S20">
        <v>20.7</v>
      </c>
      <c r="T20">
        <v>73.900000000000006</v>
      </c>
      <c r="U20">
        <v>80.400000000000006</v>
      </c>
      <c r="V20">
        <v>22.8</v>
      </c>
      <c r="W20">
        <v>17.399999999999999</v>
      </c>
      <c r="X20">
        <v>52.9</v>
      </c>
      <c r="Z20" s="45" t="s">
        <v>41</v>
      </c>
      <c r="AA20" s="6"/>
      <c r="AB20" s="6">
        <f>LN(C17)</f>
        <v>5.2566095631482463</v>
      </c>
      <c r="AC20" s="6">
        <f t="shared" ref="AC20:AW20" si="17">LN(D17)</f>
        <v>5.2021368080740675</v>
      </c>
      <c r="AD20" s="6">
        <f t="shared" si="17"/>
        <v>5.3322355847514977</v>
      </c>
      <c r="AE20" s="6">
        <f t="shared" si="17"/>
        <v>4.5247190615904644</v>
      </c>
      <c r="AF20" s="6">
        <f t="shared" si="17"/>
        <v>4.0673158898341812</v>
      </c>
      <c r="AG20" s="6">
        <f t="shared" si="17"/>
        <v>3.4307561839036995</v>
      </c>
      <c r="AH20" s="6">
        <f t="shared" si="17"/>
        <v>3.6635616461296463</v>
      </c>
      <c r="AI20" s="6">
        <f t="shared" si="17"/>
        <v>3.5553480614894135</v>
      </c>
      <c r="AJ20" s="6">
        <f t="shared" si="17"/>
        <v>3.8372994592322094</v>
      </c>
      <c r="AK20" s="6">
        <f t="shared" si="17"/>
        <v>3.7471483622379123</v>
      </c>
      <c r="AL20" s="6">
        <f t="shared" si="17"/>
        <v>4.1303549997451334</v>
      </c>
      <c r="AM20" s="6">
        <f t="shared" si="17"/>
        <v>3.9318256327243257</v>
      </c>
      <c r="AN20" s="6">
        <f t="shared" si="17"/>
        <v>4.133565275375382</v>
      </c>
      <c r="AO20" s="6">
        <f t="shared" si="17"/>
        <v>3.6963514689526371</v>
      </c>
      <c r="AP20" s="6">
        <f t="shared" si="17"/>
        <v>3.824284091120139</v>
      </c>
      <c r="AQ20" s="6">
        <f t="shared" si="17"/>
        <v>3.2386784521643803</v>
      </c>
      <c r="AR20" s="6">
        <f t="shared" si="17"/>
        <v>3.3534067178258069</v>
      </c>
      <c r="AS20" s="6">
        <f t="shared" si="17"/>
        <v>4.1174098351530963</v>
      </c>
      <c r="AT20" s="6">
        <f t="shared" si="17"/>
        <v>3.8938590348004749</v>
      </c>
      <c r="AU20" s="6">
        <f t="shared" si="17"/>
        <v>3.6584202466292277</v>
      </c>
      <c r="AV20" s="6">
        <f t="shared" si="17"/>
        <v>4.01096295328305</v>
      </c>
      <c r="AW20" s="6">
        <f t="shared" si="17"/>
        <v>4.5767707114663931</v>
      </c>
    </row>
    <row r="21" spans="1:49" ht="15.5" x14ac:dyDescent="0.35">
      <c r="A21" s="41" t="s">
        <v>27</v>
      </c>
      <c r="C21">
        <v>2.0299999999999998</v>
      </c>
      <c r="D21">
        <v>2.12</v>
      </c>
      <c r="E21">
        <v>2.23</v>
      </c>
      <c r="F21">
        <v>1.7</v>
      </c>
      <c r="G21">
        <v>1.24</v>
      </c>
      <c r="H21">
        <v>2.5329999999999999</v>
      </c>
      <c r="I21">
        <v>1.4</v>
      </c>
      <c r="J21">
        <v>1.7</v>
      </c>
      <c r="K21">
        <v>1.8</v>
      </c>
      <c r="L21">
        <v>2.31</v>
      </c>
      <c r="M21">
        <v>2.2999999999999998</v>
      </c>
      <c r="N21">
        <v>2.7</v>
      </c>
      <c r="O21">
        <v>1.6</v>
      </c>
      <c r="P21">
        <v>2</v>
      </c>
      <c r="Q21">
        <v>1.5</v>
      </c>
      <c r="R21">
        <v>2.4</v>
      </c>
      <c r="S21">
        <v>2.5</v>
      </c>
      <c r="T21">
        <v>1.5</v>
      </c>
      <c r="U21">
        <v>1.8</v>
      </c>
      <c r="V21">
        <v>1.6</v>
      </c>
      <c r="W21">
        <v>2.2000000000000002</v>
      </c>
      <c r="X21">
        <v>1.42</v>
      </c>
      <c r="Z21" s="45"/>
      <c r="AA21" s="6"/>
      <c r="AB21" s="6">
        <f>20.02*AB20</f>
        <v>105.23732345422789</v>
      </c>
      <c r="AC21" s="6">
        <f t="shared" ref="AC21:AQ21" si="18">20.02*AC20</f>
        <v>104.14677889764283</v>
      </c>
      <c r="AD21" s="6">
        <f t="shared" si="18"/>
        <v>106.75135640672498</v>
      </c>
      <c r="AE21" s="6">
        <f t="shared" si="18"/>
        <v>90.584875613041092</v>
      </c>
      <c r="AF21" s="6">
        <f t="shared" si="18"/>
        <v>81.427664114480308</v>
      </c>
      <c r="AG21" s="6">
        <f t="shared" si="18"/>
        <v>68.683738801752057</v>
      </c>
      <c r="AH21" s="6">
        <f t="shared" si="18"/>
        <v>73.344504155515523</v>
      </c>
      <c r="AI21" s="6">
        <f t="shared" si="18"/>
        <v>71.178068191018056</v>
      </c>
      <c r="AJ21" s="6">
        <f t="shared" si="18"/>
        <v>76.822735173828832</v>
      </c>
      <c r="AK21" s="6">
        <f t="shared" si="18"/>
        <v>75.017910212003002</v>
      </c>
      <c r="AL21" s="6">
        <f t="shared" si="18"/>
        <v>82.689707094897571</v>
      </c>
      <c r="AM21" s="6">
        <f t="shared" si="18"/>
        <v>78.715149167140993</v>
      </c>
      <c r="AN21" s="6">
        <f t="shared" si="18"/>
        <v>82.753976813015143</v>
      </c>
      <c r="AO21" s="6">
        <f t="shared" si="18"/>
        <v>74.00095640843179</v>
      </c>
      <c r="AP21" s="6">
        <f t="shared" si="18"/>
        <v>76.562167504225187</v>
      </c>
      <c r="AQ21" s="6">
        <f t="shared" si="18"/>
        <v>64.838342612330891</v>
      </c>
      <c r="AR21" s="6">
        <f t="shared" ref="AR21:AW21" si="19">20.02*AR20</f>
        <v>67.135202490872658</v>
      </c>
      <c r="AS21" s="6">
        <f t="shared" si="19"/>
        <v>82.430544899764982</v>
      </c>
      <c r="AT21" s="6">
        <f t="shared" si="19"/>
        <v>77.95505787670551</v>
      </c>
      <c r="AU21" s="6">
        <f t="shared" si="19"/>
        <v>73.241573337517138</v>
      </c>
      <c r="AV21" s="6">
        <f t="shared" si="19"/>
        <v>80.299478324726664</v>
      </c>
      <c r="AW21" s="6">
        <f t="shared" si="19"/>
        <v>91.626949643557182</v>
      </c>
    </row>
    <row r="22" spans="1:49" ht="15.5" x14ac:dyDescent="0.35">
      <c r="Z22" s="45"/>
      <c r="AA22" s="6"/>
      <c r="AB22" s="6"/>
      <c r="AC22" s="6"/>
      <c r="AD22" s="6"/>
      <c r="AE22" s="6"/>
      <c r="AF22" s="6"/>
      <c r="AG22" s="6"/>
      <c r="AH22" s="6"/>
      <c r="AI22" s="6"/>
      <c r="AJ22" s="6"/>
      <c r="AK22" s="6"/>
      <c r="AL22" s="6"/>
      <c r="AM22" s="6"/>
    </row>
    <row r="23" spans="1:49" ht="15.5" x14ac:dyDescent="0.35">
      <c r="Z23" s="45" t="s">
        <v>42</v>
      </c>
      <c r="AA23" s="6"/>
      <c r="AB23" s="6">
        <f>LN(1/C21-0.08)</f>
        <v>-0.88525041247950575</v>
      </c>
      <c r="AC23" s="6">
        <f t="shared" ref="AC23:AQ23" si="20">LN(1/D21-0.08)</f>
        <v>-0.93726385525443412</v>
      </c>
      <c r="AD23" s="6">
        <f t="shared" si="20"/>
        <v>-0.998503205839816</v>
      </c>
      <c r="AE23" s="6">
        <f t="shared" si="20"/>
        <v>-0.67681076124025175</v>
      </c>
      <c r="AF23" s="6">
        <f t="shared" si="20"/>
        <v>-0.31958340121365647</v>
      </c>
      <c r="AG23" s="6">
        <f t="shared" si="20"/>
        <v>-1.1558533793424743</v>
      </c>
      <c r="AH23" s="6">
        <f t="shared" si="20"/>
        <v>-0.45525577261117983</v>
      </c>
      <c r="AI23" s="6">
        <f t="shared" si="20"/>
        <v>-0.67681076124025175</v>
      </c>
      <c r="AJ23" s="6">
        <f t="shared" si="20"/>
        <v>-0.74327156774251391</v>
      </c>
      <c r="AK23" s="6">
        <f t="shared" si="20"/>
        <v>-1.0415693216073243</v>
      </c>
      <c r="AL23" s="6">
        <f t="shared" si="20"/>
        <v>-1.0362500469531339</v>
      </c>
      <c r="AM23" s="6">
        <f t="shared" si="20"/>
        <v>-1.2365980316420127</v>
      </c>
      <c r="AN23" s="6">
        <f t="shared" si="20"/>
        <v>-0.60696948431889286</v>
      </c>
      <c r="AO23" s="6">
        <f t="shared" si="20"/>
        <v>-0.86750056770472306</v>
      </c>
      <c r="AP23" s="6">
        <f t="shared" si="20"/>
        <v>-0.53329847961804933</v>
      </c>
      <c r="AQ23" s="6">
        <f t="shared" si="20"/>
        <v>-1.0886619578149417</v>
      </c>
      <c r="AR23" s="6">
        <f t="shared" ref="AR23:AW23" si="21">LN(1/S21-0.08)</f>
        <v>-1.1394342831883648</v>
      </c>
      <c r="AS23" s="6">
        <f t="shared" si="21"/>
        <v>-0.53329847961804933</v>
      </c>
      <c r="AT23" s="6">
        <f t="shared" si="21"/>
        <v>-0.74327156774251391</v>
      </c>
      <c r="AU23" s="6">
        <f t="shared" si="21"/>
        <v>-0.60696948431889286</v>
      </c>
      <c r="AV23" s="6">
        <f t="shared" si="21"/>
        <v>-0.9820421094369356</v>
      </c>
      <c r="AW23" s="6">
        <f t="shared" si="21"/>
        <v>-0.47124383460228692</v>
      </c>
    </row>
    <row r="24" spans="1:49" ht="15.5" x14ac:dyDescent="0.35">
      <c r="Z24" s="45"/>
      <c r="AA24" s="6"/>
      <c r="AB24" s="6">
        <f>75.3+19.46*AB23</f>
        <v>58.073026973148814</v>
      </c>
      <c r="AC24" s="6">
        <f t="shared" ref="AC24:AQ24" si="22">75.3+19.46*AC23</f>
        <v>57.060845376748709</v>
      </c>
      <c r="AD24" s="6">
        <f t="shared" si="22"/>
        <v>55.869127614357176</v>
      </c>
      <c r="AE24" s="6">
        <f t="shared" si="22"/>
        <v>62.129262586264701</v>
      </c>
      <c r="AF24" s="6">
        <f t="shared" si="22"/>
        <v>69.080907012382241</v>
      </c>
      <c r="AG24" s="6">
        <f t="shared" si="22"/>
        <v>52.807093237995446</v>
      </c>
      <c r="AH24" s="6">
        <f t="shared" si="22"/>
        <v>66.440722664986438</v>
      </c>
      <c r="AI24" s="6">
        <f t="shared" si="22"/>
        <v>62.129262586264701</v>
      </c>
      <c r="AJ24" s="6">
        <f t="shared" si="22"/>
        <v>60.835935291730678</v>
      </c>
      <c r="AK24" s="6">
        <f t="shared" si="22"/>
        <v>55.031061001521465</v>
      </c>
      <c r="AL24" s="6">
        <f t="shared" si="22"/>
        <v>55.134574086292005</v>
      </c>
      <c r="AM24" s="6">
        <f t="shared" si="22"/>
        <v>51.235802304246434</v>
      </c>
      <c r="AN24" s="6">
        <f t="shared" si="22"/>
        <v>63.488373835154341</v>
      </c>
      <c r="AO24" s="6">
        <f t="shared" si="22"/>
        <v>58.41843895246609</v>
      </c>
      <c r="AP24" s="6">
        <f t="shared" si="22"/>
        <v>64.922011586632749</v>
      </c>
      <c r="AQ24" s="6">
        <f t="shared" si="22"/>
        <v>54.114638300921229</v>
      </c>
      <c r="AR24" s="6">
        <f t="shared" ref="AR24:AW24" si="23">75.3+19.46*AR23</f>
        <v>53.126608849154415</v>
      </c>
      <c r="AS24" s="6">
        <f t="shared" si="23"/>
        <v>64.922011586632749</v>
      </c>
      <c r="AT24" s="6">
        <f t="shared" si="23"/>
        <v>60.835935291730678</v>
      </c>
      <c r="AU24" s="6">
        <f t="shared" si="23"/>
        <v>63.488373835154341</v>
      </c>
      <c r="AV24" s="6">
        <f t="shared" si="23"/>
        <v>56.189460550357225</v>
      </c>
      <c r="AW24" s="6">
        <f t="shared" si="23"/>
        <v>66.129594978639489</v>
      </c>
    </row>
    <row r="25" spans="1:49" ht="15.5" x14ac:dyDescent="0.35">
      <c r="Z25" s="45"/>
      <c r="AA25" s="6"/>
      <c r="AB25" s="6"/>
      <c r="AC25" s="6"/>
      <c r="AD25" s="6"/>
      <c r="AE25" s="6"/>
      <c r="AF25" s="6"/>
      <c r="AG25" s="6"/>
      <c r="AH25" s="6"/>
      <c r="AI25" s="6"/>
      <c r="AJ25" s="6"/>
      <c r="AK25" s="6"/>
      <c r="AL25" s="6"/>
      <c r="AM25" s="6"/>
      <c r="AN25" s="6"/>
      <c r="AO25" s="6"/>
      <c r="AP25" s="6"/>
    </row>
    <row r="26" spans="1:49" ht="15.5" x14ac:dyDescent="0.35">
      <c r="Z26" s="45" t="s">
        <v>132</v>
      </c>
      <c r="AA26" s="6"/>
      <c r="AB26" s="6">
        <f>LN(C18)</f>
        <v>5.4559192270515267</v>
      </c>
      <c r="AC26" s="6">
        <f t="shared" ref="AC26:AW26" si="24">LN(D18)</f>
        <v>4.8918517581062888</v>
      </c>
      <c r="AD26" s="6">
        <f t="shared" si="24"/>
        <v>5.2911416827989415</v>
      </c>
      <c r="AE26" s="6">
        <f t="shared" si="24"/>
        <v>5.054333149361975</v>
      </c>
      <c r="AF26" s="6">
        <f t="shared" si="24"/>
        <v>5.6508386961617774</v>
      </c>
      <c r="AG26" s="6">
        <f t="shared" si="24"/>
        <v>5.8301213966992194</v>
      </c>
      <c r="AH26" s="6">
        <f t="shared" si="24"/>
        <v>5.7134027180331914</v>
      </c>
      <c r="AI26" s="6">
        <f t="shared" si="24"/>
        <v>5.4293456289544411</v>
      </c>
      <c r="AJ26" s="6">
        <f t="shared" si="24"/>
        <v>5.3033049080590757</v>
      </c>
      <c r="AK26" s="6">
        <f t="shared" si="24"/>
        <v>5.8493247799468593</v>
      </c>
      <c r="AL26" s="6">
        <f t="shared" si="24"/>
        <v>5.3375380797013179</v>
      </c>
      <c r="AM26" s="6">
        <f t="shared" si="24"/>
        <v>5.1416635565026603</v>
      </c>
      <c r="AN26" s="6">
        <f t="shared" si="24"/>
        <v>4.7957905455967413</v>
      </c>
      <c r="AO26" s="6">
        <f t="shared" si="24"/>
        <v>5.1647859739235145</v>
      </c>
      <c r="AP26" s="6">
        <f t="shared" si="24"/>
        <v>5.0106352940962555</v>
      </c>
      <c r="AQ26" s="6">
        <f t="shared" si="24"/>
        <v>2.4849066497880004</v>
      </c>
      <c r="AR26" s="6">
        <f t="shared" si="24"/>
        <v>4.9767337424205742</v>
      </c>
      <c r="AS26" s="6">
        <f t="shared" si="24"/>
        <v>4.3694478524670215</v>
      </c>
      <c r="AT26" s="6">
        <f t="shared" si="24"/>
        <v>5.1929568508902104</v>
      </c>
      <c r="AU26" s="6">
        <f t="shared" si="24"/>
        <v>4.7184988712950942</v>
      </c>
      <c r="AV26" s="6">
        <f t="shared" si="24"/>
        <v>4.7095302013123339</v>
      </c>
      <c r="AW26" s="6">
        <f t="shared" si="24"/>
        <v>3.4657359027997265</v>
      </c>
    </row>
    <row r="27" spans="1:49" ht="15.5" x14ac:dyDescent="0.35">
      <c r="Z27" s="45"/>
      <c r="AA27" s="6"/>
      <c r="AB27" s="6">
        <f>20.02*AB26</f>
        <v>109.22750292557156</v>
      </c>
      <c r="AC27" s="6">
        <f t="shared" ref="AC27:AQ27" si="25">20.02*AC26</f>
        <v>97.934872197287902</v>
      </c>
      <c r="AD27" s="6">
        <f t="shared" si="25"/>
        <v>105.9286564896348</v>
      </c>
      <c r="AE27" s="6">
        <f t="shared" si="25"/>
        <v>101.18774965022673</v>
      </c>
      <c r="AF27" s="6">
        <f t="shared" si="25"/>
        <v>113.12979069715878</v>
      </c>
      <c r="AG27" s="6">
        <f t="shared" si="25"/>
        <v>116.71903036191837</v>
      </c>
      <c r="AH27" s="6">
        <f t="shared" si="25"/>
        <v>114.38232241502449</v>
      </c>
      <c r="AI27" s="6">
        <f t="shared" si="25"/>
        <v>108.6954994916679</v>
      </c>
      <c r="AJ27" s="6">
        <f t="shared" si="25"/>
        <v>106.17216425934269</v>
      </c>
      <c r="AK27" s="6">
        <f t="shared" si="25"/>
        <v>117.10348209453612</v>
      </c>
      <c r="AL27" s="6">
        <f t="shared" si="25"/>
        <v>106.85751235562039</v>
      </c>
      <c r="AM27" s="6">
        <f t="shared" si="25"/>
        <v>102.93610440118326</v>
      </c>
      <c r="AN27" s="6">
        <f t="shared" si="25"/>
        <v>96.01172672284676</v>
      </c>
      <c r="AO27" s="6">
        <f t="shared" si="25"/>
        <v>103.39901519794876</v>
      </c>
      <c r="AP27" s="6">
        <f t="shared" si="25"/>
        <v>100.31291858780703</v>
      </c>
      <c r="AQ27" s="6">
        <f t="shared" si="25"/>
        <v>49.747831128755763</v>
      </c>
      <c r="AR27" s="6">
        <f t="shared" ref="AR27:AW27" si="26">20.02*AR26</f>
        <v>99.634209523259898</v>
      </c>
      <c r="AS27" s="6">
        <f t="shared" si="26"/>
        <v>87.476346006389775</v>
      </c>
      <c r="AT27" s="6">
        <f t="shared" si="26"/>
        <v>103.96299615482201</v>
      </c>
      <c r="AU27" s="6">
        <f t="shared" si="26"/>
        <v>94.464347403327778</v>
      </c>
      <c r="AV27" s="6">
        <f t="shared" si="26"/>
        <v>94.284794630272927</v>
      </c>
      <c r="AW27" s="6">
        <f t="shared" si="26"/>
        <v>69.384032774050524</v>
      </c>
    </row>
    <row r="28" spans="1:49" ht="15.5" x14ac:dyDescent="0.35">
      <c r="Z28" s="45"/>
      <c r="AA28" s="6"/>
      <c r="AB28" s="6"/>
      <c r="AC28" s="6"/>
      <c r="AD28" s="6"/>
      <c r="AE28" s="6"/>
      <c r="AF28" s="6"/>
      <c r="AG28" s="6"/>
      <c r="AH28" s="6"/>
      <c r="AI28" s="6"/>
      <c r="AJ28" s="6"/>
      <c r="AK28" s="6"/>
      <c r="AL28" s="6"/>
      <c r="AM28" s="6"/>
    </row>
    <row r="29" spans="1:49" ht="15.5" x14ac:dyDescent="0.35">
      <c r="Z29" s="45" t="s">
        <v>43</v>
      </c>
      <c r="AA29" s="6"/>
      <c r="AB29" s="3">
        <f>+(AB18+AB21+AB24)/3</f>
        <v>67.754873325660085</v>
      </c>
      <c r="AC29" s="3">
        <f t="shared" ref="AC29:AO29" si="27">+(AC18+AC21+AC24)/3</f>
        <v>72.257719368124526</v>
      </c>
      <c r="AD29" s="3">
        <f t="shared" si="27"/>
        <v>73.693971586664645</v>
      </c>
      <c r="AE29" s="3">
        <f t="shared" si="27"/>
        <v>73.305349075233849</v>
      </c>
      <c r="AF29" s="3">
        <f t="shared" si="27"/>
        <v>68.344563008793031</v>
      </c>
      <c r="AG29" s="3">
        <f t="shared" si="27"/>
        <v>62.401251888046602</v>
      </c>
      <c r="AH29" s="3">
        <f t="shared" si="27"/>
        <v>61.874132788923504</v>
      </c>
      <c r="AI29" s="3">
        <f t="shared" si="27"/>
        <v>55.858838263064335</v>
      </c>
      <c r="AJ29" s="3">
        <f t="shared" si="27"/>
        <v>57.991162971087057</v>
      </c>
      <c r="AK29" s="3">
        <f t="shared" si="27"/>
        <v>62.90310055252818</v>
      </c>
      <c r="AL29" s="3">
        <f t="shared" si="27"/>
        <v>67.782742418058078</v>
      </c>
      <c r="AM29" s="3">
        <f t="shared" si="27"/>
        <v>64.454701549398621</v>
      </c>
      <c r="AN29" s="3">
        <f t="shared" si="27"/>
        <v>69.438868201608258</v>
      </c>
      <c r="AO29" s="3">
        <f t="shared" si="27"/>
        <v>61.093049812838039</v>
      </c>
      <c r="AP29" s="3">
        <f>+(AP18+AP21+AP24)/3</f>
        <v>67.002364078619777</v>
      </c>
      <c r="AQ29" s="3">
        <f>+(AQ18+AQ21+AQ24)/3</f>
        <v>58.719902531991146</v>
      </c>
      <c r="AR29" s="3">
        <f>+(AR18+AR21+AR24)/3</f>
        <v>55.75106624364934</v>
      </c>
      <c r="AS29" s="3">
        <f>AVERAGE(AB29:AQ29)</f>
        <v>65.304786963789965</v>
      </c>
      <c r="AT29" s="3">
        <f>AVERAGE(AC29:AR29)</f>
        <v>64.554549021164291</v>
      </c>
      <c r="AU29" s="3">
        <f>AVERAGE(AD29:AS29)</f>
        <v>64.119990745893389</v>
      </c>
      <c r="AV29" s="3">
        <f>AVERAGE(AE29:AT29)</f>
        <v>63.548776835549617</v>
      </c>
      <c r="AW29" s="3">
        <f>AVERAGE(AF29:AU29)</f>
        <v>62.974691939965851</v>
      </c>
    </row>
    <row r="30" spans="1:49" ht="13" x14ac:dyDescent="0.3">
      <c r="Z30" s="41"/>
      <c r="AA30" s="6"/>
      <c r="AB30" s="251" t="s">
        <v>101</v>
      </c>
      <c r="AC30" s="251" t="s">
        <v>102</v>
      </c>
      <c r="AD30" s="251" t="s">
        <v>102</v>
      </c>
      <c r="AE30" s="251" t="s">
        <v>102</v>
      </c>
      <c r="AF30" s="251" t="s">
        <v>101</v>
      </c>
      <c r="AG30" s="251" t="s">
        <v>103</v>
      </c>
      <c r="AH30" s="251" t="s">
        <v>103</v>
      </c>
      <c r="AI30" s="251" t="s">
        <v>103</v>
      </c>
      <c r="AJ30" s="251" t="s">
        <v>103</v>
      </c>
      <c r="AK30" s="251" t="s">
        <v>103</v>
      </c>
      <c r="AL30" s="251" t="s">
        <v>101</v>
      </c>
      <c r="AM30" s="251" t="s">
        <v>103</v>
      </c>
      <c r="AN30" s="251" t="s">
        <v>101</v>
      </c>
      <c r="AO30" s="250" t="s">
        <v>103</v>
      </c>
      <c r="AP30" s="251" t="s">
        <v>101</v>
      </c>
      <c r="AQ30" s="251" t="s">
        <v>103</v>
      </c>
      <c r="AR30" s="251" t="s">
        <v>103</v>
      </c>
      <c r="AS30" s="251" t="s">
        <v>103</v>
      </c>
      <c r="AT30" s="251" t="s">
        <v>452</v>
      </c>
      <c r="AU30" s="273" t="s">
        <v>452</v>
      </c>
      <c r="AV30" s="471" t="s">
        <v>452</v>
      </c>
      <c r="AW30" s="677" t="s">
        <v>452</v>
      </c>
    </row>
    <row r="31" spans="1:49" x14ac:dyDescent="0.25">
      <c r="AA31" s="6"/>
      <c r="AB31" s="49">
        <v>1991</v>
      </c>
      <c r="AC31" s="49">
        <v>1992</v>
      </c>
      <c r="AD31" s="49">
        <v>1993</v>
      </c>
      <c r="AE31" s="49">
        <v>1994</v>
      </c>
      <c r="AF31" s="49">
        <v>1995</v>
      </c>
      <c r="AG31" s="49">
        <v>1996</v>
      </c>
      <c r="AH31" s="49">
        <v>1997</v>
      </c>
      <c r="AI31" s="49">
        <v>1998</v>
      </c>
      <c r="AJ31" s="49">
        <v>1999</v>
      </c>
      <c r="AK31" s="49">
        <v>2000</v>
      </c>
      <c r="AL31" s="49">
        <v>2001</v>
      </c>
      <c r="AM31" s="49">
        <v>2002</v>
      </c>
      <c r="AN31" s="49">
        <v>2003</v>
      </c>
      <c r="AO31" s="49">
        <v>2004</v>
      </c>
      <c r="AP31" s="49">
        <v>2005</v>
      </c>
      <c r="AQ31" s="49">
        <v>2006</v>
      </c>
      <c r="AR31" s="49">
        <v>2007</v>
      </c>
      <c r="AS31" s="49">
        <v>2008</v>
      </c>
      <c r="AT31" s="49">
        <v>2009</v>
      </c>
      <c r="AU31" s="49">
        <v>2010</v>
      </c>
      <c r="AV31" s="49">
        <v>2011</v>
      </c>
      <c r="AW31" s="49">
        <v>2012</v>
      </c>
    </row>
    <row r="52" spans="1:7" ht="15.5" x14ac:dyDescent="0.45">
      <c r="A52" s="791" t="s">
        <v>150</v>
      </c>
      <c r="B52" s="791"/>
      <c r="C52" s="791"/>
      <c r="D52" s="791"/>
      <c r="E52" s="791"/>
      <c r="G52" s="44" t="s">
        <v>112</v>
      </c>
    </row>
    <row r="53" spans="1:7" ht="15.5" x14ac:dyDescent="0.45">
      <c r="A53" s="1" t="s">
        <v>56</v>
      </c>
      <c r="B53" s="793" t="s">
        <v>104</v>
      </c>
      <c r="C53" s="793"/>
      <c r="D53" s="793"/>
      <c r="E53" s="793"/>
      <c r="G53" s="44" t="s">
        <v>68</v>
      </c>
    </row>
    <row r="54" spans="1:7" ht="15.5" x14ac:dyDescent="0.45">
      <c r="A54" s="1" t="s">
        <v>57</v>
      </c>
      <c r="B54" s="793" t="s">
        <v>58</v>
      </c>
      <c r="C54" s="793"/>
      <c r="D54" s="793"/>
      <c r="E54" s="793"/>
      <c r="G54" s="44" t="s">
        <v>110</v>
      </c>
    </row>
    <row r="55" spans="1:7" ht="15.5" x14ac:dyDescent="0.45">
      <c r="A55" s="1" t="s">
        <v>99</v>
      </c>
      <c r="B55" s="793" t="s">
        <v>100</v>
      </c>
      <c r="C55" s="793"/>
      <c r="D55" s="793"/>
      <c r="E55" s="793"/>
      <c r="G55" s="44" t="s">
        <v>111</v>
      </c>
    </row>
    <row r="56" spans="1:7" ht="13" x14ac:dyDescent="0.3">
      <c r="A56" s="1" t="s">
        <v>59</v>
      </c>
      <c r="B56" s="793" t="s">
        <v>60</v>
      </c>
      <c r="C56" s="793"/>
      <c r="D56" s="793"/>
      <c r="E56" s="793"/>
    </row>
    <row r="57" spans="1:7" ht="13" x14ac:dyDescent="0.3">
      <c r="A57" s="1" t="s">
        <v>97</v>
      </c>
      <c r="B57" s="793" t="s">
        <v>98</v>
      </c>
      <c r="C57" s="793"/>
      <c r="D57" s="793"/>
      <c r="E57" s="793"/>
    </row>
    <row r="58" spans="1:7" ht="13" x14ac:dyDescent="0.3">
      <c r="A58" s="1" t="s">
        <v>61</v>
      </c>
      <c r="B58" s="793" t="s">
        <v>62</v>
      </c>
      <c r="C58" s="793"/>
      <c r="D58" s="793"/>
      <c r="E58" s="793"/>
    </row>
    <row r="59" spans="1:7" ht="13" x14ac:dyDescent="0.3">
      <c r="A59" s="1" t="s">
        <v>84</v>
      </c>
      <c r="B59" s="793" t="s">
        <v>85</v>
      </c>
      <c r="C59" s="793"/>
      <c r="D59" s="793"/>
      <c r="E59" s="793"/>
    </row>
    <row r="60" spans="1:7" ht="13" x14ac:dyDescent="0.3">
      <c r="A60" s="791" t="s">
        <v>63</v>
      </c>
      <c r="B60" s="791"/>
      <c r="C60" s="791"/>
      <c r="D60" s="791"/>
      <c r="E60" s="791"/>
    </row>
    <row r="61" spans="1:7" ht="13" x14ac:dyDescent="0.3">
      <c r="A61" s="1" t="s">
        <v>64</v>
      </c>
      <c r="B61" s="1" t="s">
        <v>60</v>
      </c>
    </row>
    <row r="88" spans="1:1" x14ac:dyDescent="0.25">
      <c r="A88" s="19"/>
    </row>
    <row r="89" spans="1:1" x14ac:dyDescent="0.25">
      <c r="A89" s="19"/>
    </row>
    <row r="90" spans="1:1" x14ac:dyDescent="0.25">
      <c r="A90" s="19"/>
    </row>
  </sheetData>
  <mergeCells count="13">
    <mergeCell ref="B53:E53"/>
    <mergeCell ref="Z1:AM1"/>
    <mergeCell ref="A2:N2"/>
    <mergeCell ref="A15:N15"/>
    <mergeCell ref="Z15:AM15"/>
    <mergeCell ref="A52:E52"/>
    <mergeCell ref="B54:E54"/>
    <mergeCell ref="B55:E55"/>
    <mergeCell ref="A60:E60"/>
    <mergeCell ref="B56:E56"/>
    <mergeCell ref="B57:E57"/>
    <mergeCell ref="B58:E58"/>
    <mergeCell ref="B59:E59"/>
  </mergeCells>
  <phoneticPr fontId="8" type="noConversion"/>
  <pageMargins left="0.75" right="0.75" top="1" bottom="1" header="0.5" footer="0.5"/>
  <pageSetup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105"/>
  <sheetViews>
    <sheetView topLeftCell="A7" zoomScaleNormal="100" workbookViewId="0">
      <selection activeCell="Q6" sqref="Q6"/>
    </sheetView>
  </sheetViews>
  <sheetFormatPr defaultRowHeight="13" x14ac:dyDescent="0.3"/>
  <cols>
    <col min="1" max="1" width="22.453125" style="1" bestFit="1" customWidth="1"/>
    <col min="2" max="2" width="12.90625" customWidth="1"/>
    <col min="3" max="3" width="14.08984375" customWidth="1"/>
    <col min="4" max="5" width="11.6328125" bestFit="1" customWidth="1"/>
    <col min="6" max="6" width="11.90625" bestFit="1" customWidth="1"/>
    <col min="7" max="7" width="11.08984375" bestFit="1" customWidth="1"/>
    <col min="8" max="8" width="10.6328125" bestFit="1" customWidth="1"/>
    <col min="9" max="9" width="10.54296875" bestFit="1" customWidth="1"/>
    <col min="10" max="10" width="11" bestFit="1" customWidth="1"/>
    <col min="11" max="11" width="11.6328125" bestFit="1" customWidth="1"/>
    <col min="12" max="12" width="11" bestFit="1" customWidth="1"/>
    <col min="13" max="13" width="12.54296875" customWidth="1"/>
    <col min="14" max="14" width="13.6328125" customWidth="1"/>
    <col min="15" max="15" width="13.08984375" customWidth="1"/>
    <col min="16" max="16" width="11.90625" customWidth="1"/>
    <col min="17" max="17" width="10.6328125" bestFit="1" customWidth="1"/>
    <col min="18" max="18" width="10.453125" bestFit="1" customWidth="1"/>
    <col min="19" max="19" width="10.36328125" bestFit="1" customWidth="1"/>
    <col min="20" max="20" width="11.453125" bestFit="1" customWidth="1"/>
    <col min="21" max="21" width="9.6328125" bestFit="1" customWidth="1"/>
    <col min="22" max="22" width="10.90625" bestFit="1" customWidth="1"/>
    <col min="23" max="23" width="9.90625" bestFit="1" customWidth="1"/>
    <col min="24" max="24" width="17" bestFit="1" customWidth="1"/>
    <col min="25" max="25" width="10.90625" bestFit="1" customWidth="1"/>
    <col min="26" max="26" width="11.08984375" bestFit="1" customWidth="1"/>
    <col min="27" max="27" width="11.453125" customWidth="1"/>
    <col min="28" max="28" width="12" customWidth="1"/>
    <col min="29" max="29" width="10.453125" customWidth="1"/>
    <col min="30" max="30" width="12.08984375" customWidth="1"/>
    <col min="31" max="31" width="10.90625" bestFit="1" customWidth="1"/>
  </cols>
  <sheetData>
    <row r="1" spans="1:24" x14ac:dyDescent="0.3">
      <c r="A1" s="791" t="s">
        <v>450</v>
      </c>
      <c r="B1" s="791"/>
      <c r="C1" s="791"/>
      <c r="D1" s="791"/>
      <c r="E1" s="791"/>
      <c r="F1" s="791"/>
      <c r="G1" s="791"/>
      <c r="H1" s="791"/>
      <c r="I1" s="791"/>
      <c r="J1" s="791"/>
      <c r="K1" s="791"/>
      <c r="L1" s="791"/>
      <c r="M1" s="791"/>
      <c r="N1" s="791"/>
      <c r="O1" s="791"/>
      <c r="P1" s="791"/>
    </row>
    <row r="2" spans="1:24" ht="15" customHeight="1" x14ac:dyDescent="0.3"/>
    <row r="3" spans="1:24" x14ac:dyDescent="0.3">
      <c r="B3" s="1" t="s">
        <v>175</v>
      </c>
      <c r="T3" t="s">
        <v>170</v>
      </c>
      <c r="U3" t="s">
        <v>171</v>
      </c>
      <c r="V3" t="s">
        <v>172</v>
      </c>
      <c r="W3" t="s">
        <v>173</v>
      </c>
      <c r="X3" t="s">
        <v>853</v>
      </c>
    </row>
    <row r="4" spans="1:24" s="7" customFormat="1" x14ac:dyDescent="0.3">
      <c r="A4" s="72" t="s">
        <v>2</v>
      </c>
      <c r="B4" s="212">
        <v>40911</v>
      </c>
      <c r="C4" s="212">
        <v>40949</v>
      </c>
      <c r="D4" s="212">
        <v>40994</v>
      </c>
      <c r="E4" s="212">
        <v>41022</v>
      </c>
      <c r="F4" s="212">
        <v>41050</v>
      </c>
      <c r="G4" s="212">
        <v>41085</v>
      </c>
      <c r="H4" s="213">
        <v>41099</v>
      </c>
      <c r="I4" s="213">
        <v>41113</v>
      </c>
      <c r="J4" s="213">
        <v>41127</v>
      </c>
      <c r="K4" s="212">
        <v>41148</v>
      </c>
      <c r="L4" s="212">
        <v>41162</v>
      </c>
      <c r="M4" s="214">
        <v>41177</v>
      </c>
      <c r="N4" s="214">
        <v>41204</v>
      </c>
      <c r="O4" s="214">
        <v>41239</v>
      </c>
      <c r="P4" s="214">
        <v>41257</v>
      </c>
      <c r="Q4" s="213"/>
      <c r="R4" s="278"/>
      <c r="S4" s="278"/>
      <c r="T4" s="573">
        <v>2</v>
      </c>
      <c r="U4" s="572">
        <v>0.04</v>
      </c>
      <c r="V4" s="572">
        <v>0.1</v>
      </c>
      <c r="W4" s="572">
        <f>U4*50</f>
        <v>2</v>
      </c>
      <c r="X4" s="572">
        <f>V4*W4</f>
        <v>0.2</v>
      </c>
    </row>
    <row r="5" spans="1:24" s="4" customFormat="1" x14ac:dyDescent="0.3">
      <c r="A5" s="46" t="s">
        <v>19</v>
      </c>
      <c r="B5" s="277">
        <v>1.3</v>
      </c>
      <c r="C5" s="275">
        <v>1.9</v>
      </c>
      <c r="D5" s="275">
        <v>3.29</v>
      </c>
      <c r="E5" s="275">
        <v>2.63</v>
      </c>
      <c r="F5" s="275">
        <v>4.47</v>
      </c>
      <c r="G5" s="275">
        <v>1.68</v>
      </c>
      <c r="H5" s="275">
        <v>4.79</v>
      </c>
      <c r="I5" s="275">
        <v>3</v>
      </c>
      <c r="J5" s="275">
        <v>1</v>
      </c>
      <c r="K5" s="275">
        <v>0.95</v>
      </c>
      <c r="L5" s="275">
        <v>0.2</v>
      </c>
      <c r="M5" s="275">
        <v>0.77</v>
      </c>
      <c r="N5" s="275">
        <v>0.31</v>
      </c>
      <c r="O5" s="275">
        <v>0.42</v>
      </c>
      <c r="P5" s="275">
        <v>0.35</v>
      </c>
      <c r="Q5" s="4">
        <f>AVERAGE(B5:P5)</f>
        <v>1.8039999999999998</v>
      </c>
      <c r="R5" s="279"/>
      <c r="S5" s="279"/>
      <c r="T5" s="574">
        <v>4</v>
      </c>
      <c r="U5" s="6">
        <v>0.62</v>
      </c>
      <c r="V5" s="6">
        <v>0.4</v>
      </c>
      <c r="W5" s="572">
        <f>U5*2</f>
        <v>1.24</v>
      </c>
      <c r="X5" s="572">
        <f t="shared" ref="X5:X18" si="0">V5*W5</f>
        <v>0.496</v>
      </c>
    </row>
    <row r="6" spans="1:24" s="4" customFormat="1" x14ac:dyDescent="0.3">
      <c r="A6" s="46" t="s">
        <v>20</v>
      </c>
      <c r="B6" s="277">
        <v>16.89</v>
      </c>
      <c r="C6" s="275">
        <v>13.88</v>
      </c>
      <c r="D6" s="275">
        <v>7.65</v>
      </c>
      <c r="E6" s="275">
        <v>3.43</v>
      </c>
      <c r="F6" s="275">
        <v>7.35</v>
      </c>
      <c r="G6" s="275">
        <v>2.36</v>
      </c>
      <c r="H6" s="275">
        <v>10.07</v>
      </c>
      <c r="I6" s="275">
        <v>4</v>
      </c>
      <c r="J6" s="275">
        <v>6.5</v>
      </c>
      <c r="K6" s="275">
        <v>3.16</v>
      </c>
      <c r="L6" s="275">
        <v>1.64</v>
      </c>
      <c r="M6" s="275">
        <v>1.06</v>
      </c>
      <c r="N6" s="275">
        <v>6.78</v>
      </c>
      <c r="O6" s="275">
        <v>1.84</v>
      </c>
      <c r="P6" s="275">
        <v>1.84</v>
      </c>
      <c r="Q6" s="4">
        <f>AVERAGE(B6:P6)</f>
        <v>5.8966666666666665</v>
      </c>
      <c r="R6" s="266"/>
      <c r="S6" s="279"/>
      <c r="T6" s="573">
        <v>6</v>
      </c>
      <c r="U6" s="6">
        <v>0.57999999999999996</v>
      </c>
      <c r="V6" s="6">
        <v>0.2</v>
      </c>
      <c r="W6" s="572">
        <f>U6*2</f>
        <v>1.1599999999999999</v>
      </c>
      <c r="X6" s="572">
        <f t="shared" si="0"/>
        <v>0.23199999999999998</v>
      </c>
    </row>
    <row r="7" spans="1:24" s="4" customFormat="1" x14ac:dyDescent="0.3">
      <c r="A7" s="46" t="s">
        <v>22</v>
      </c>
      <c r="B7" s="277">
        <v>16</v>
      </c>
      <c r="C7" s="275">
        <v>14.45</v>
      </c>
      <c r="D7" s="275">
        <v>12.75</v>
      </c>
      <c r="E7" s="275">
        <v>5.5</v>
      </c>
      <c r="F7" s="275">
        <v>15.73</v>
      </c>
      <c r="G7" s="275">
        <v>1.4</v>
      </c>
      <c r="H7" s="275">
        <v>0.2</v>
      </c>
      <c r="I7" s="275">
        <v>0.2</v>
      </c>
      <c r="J7" s="275">
        <v>0.4</v>
      </c>
      <c r="K7" s="275">
        <v>0.5</v>
      </c>
      <c r="L7" s="275">
        <v>2.2000000000000002</v>
      </c>
      <c r="M7" s="275">
        <v>2.4</v>
      </c>
      <c r="N7" s="275">
        <v>0.5</v>
      </c>
      <c r="O7" s="275">
        <v>0.2</v>
      </c>
      <c r="P7" s="275">
        <v>0.2</v>
      </c>
      <c r="Q7" s="267"/>
      <c r="R7" s="279"/>
      <c r="S7" s="279"/>
      <c r="T7" s="574">
        <v>8</v>
      </c>
      <c r="U7" s="6">
        <v>0.48</v>
      </c>
      <c r="V7" s="6">
        <v>0.2</v>
      </c>
      <c r="W7" s="572">
        <f>U7*2</f>
        <v>0.96</v>
      </c>
      <c r="X7" s="572">
        <f t="shared" si="0"/>
        <v>0.192</v>
      </c>
    </row>
    <row r="8" spans="1:24" x14ac:dyDescent="0.3">
      <c r="A8" s="47" t="s">
        <v>176</v>
      </c>
      <c r="B8" s="156" t="s">
        <v>69</v>
      </c>
      <c r="C8" s="156" t="s">
        <v>70</v>
      </c>
      <c r="D8" s="156" t="s">
        <v>71</v>
      </c>
      <c r="E8" s="156" t="s">
        <v>72</v>
      </c>
      <c r="F8" s="156" t="s">
        <v>73</v>
      </c>
      <c r="G8" s="156" t="s">
        <v>74</v>
      </c>
      <c r="H8" s="156" t="s">
        <v>75</v>
      </c>
      <c r="I8" s="156" t="s">
        <v>76</v>
      </c>
      <c r="J8" s="156" t="s">
        <v>77</v>
      </c>
      <c r="K8" s="156" t="s">
        <v>78</v>
      </c>
      <c r="L8" s="156" t="s">
        <v>79</v>
      </c>
      <c r="M8" s="156" t="s">
        <v>80</v>
      </c>
      <c r="T8" s="573">
        <v>10</v>
      </c>
      <c r="U8" s="6">
        <v>0.4</v>
      </c>
      <c r="V8" s="6">
        <v>0.2</v>
      </c>
      <c r="W8" s="572">
        <f t="shared" ref="W8:W18" si="1">U8*2</f>
        <v>0.8</v>
      </c>
      <c r="X8" s="572">
        <f>V7*W8</f>
        <v>0.16000000000000003</v>
      </c>
    </row>
    <row r="9" spans="1:24" ht="14" x14ac:dyDescent="0.3">
      <c r="A9" s="46" t="s">
        <v>19</v>
      </c>
      <c r="B9" s="276">
        <f t="shared" ref="B9:G10" si="2">B5</f>
        <v>1.3</v>
      </c>
      <c r="C9" s="276">
        <f t="shared" si="2"/>
        <v>1.9</v>
      </c>
      <c r="D9" s="276">
        <f t="shared" si="2"/>
        <v>3.29</v>
      </c>
      <c r="E9" s="276">
        <f t="shared" si="2"/>
        <v>2.63</v>
      </c>
      <c r="F9" s="276">
        <f t="shared" si="2"/>
        <v>4.47</v>
      </c>
      <c r="G9" s="276">
        <f t="shared" si="2"/>
        <v>1.68</v>
      </c>
      <c r="H9" s="58">
        <f>AVERAGE(H5:I5)</f>
        <v>3.895</v>
      </c>
      <c r="I9" s="58">
        <f>AVERAGE(J5:K5)</f>
        <v>0.97499999999999998</v>
      </c>
      <c r="J9" s="58">
        <f>AVERAGE(L5:M5)</f>
        <v>0.48499999999999999</v>
      </c>
      <c r="K9" s="157">
        <f>N5</f>
        <v>0.31</v>
      </c>
      <c r="L9" s="157">
        <f t="shared" ref="L9:M11" si="3">O5</f>
        <v>0.42</v>
      </c>
      <c r="M9" s="157">
        <f t="shared" si="3"/>
        <v>0.35</v>
      </c>
      <c r="T9" s="574">
        <v>12</v>
      </c>
      <c r="U9" s="6">
        <v>0.42</v>
      </c>
      <c r="V9" s="6">
        <v>0.6</v>
      </c>
      <c r="W9" s="572">
        <f t="shared" si="1"/>
        <v>0.84</v>
      </c>
      <c r="X9" s="572">
        <f>V8*W9</f>
        <v>0.16800000000000001</v>
      </c>
    </row>
    <row r="10" spans="1:24" ht="14" x14ac:dyDescent="0.3">
      <c r="A10" s="46" t="s">
        <v>20</v>
      </c>
      <c r="B10" s="276">
        <f t="shared" si="2"/>
        <v>16.89</v>
      </c>
      <c r="C10" s="276">
        <f t="shared" si="2"/>
        <v>13.88</v>
      </c>
      <c r="D10" s="276">
        <f t="shared" si="2"/>
        <v>7.65</v>
      </c>
      <c r="E10" s="276">
        <f t="shared" si="2"/>
        <v>3.43</v>
      </c>
      <c r="F10" s="276">
        <f t="shared" si="2"/>
        <v>7.35</v>
      </c>
      <c r="G10" s="276">
        <f t="shared" si="2"/>
        <v>2.36</v>
      </c>
      <c r="H10" s="58">
        <f>AVERAGE(H6:I6)</f>
        <v>7.0350000000000001</v>
      </c>
      <c r="I10" s="58">
        <f>AVERAGE(J6:K6)</f>
        <v>4.83</v>
      </c>
      <c r="J10" s="58">
        <f>AVERAGE(L6:M6)</f>
        <v>1.35</v>
      </c>
      <c r="K10" s="157">
        <f>N6</f>
        <v>6.78</v>
      </c>
      <c r="L10" s="157">
        <f t="shared" si="3"/>
        <v>1.84</v>
      </c>
      <c r="M10" s="157">
        <f t="shared" si="3"/>
        <v>1.84</v>
      </c>
      <c r="T10" s="573">
        <v>14</v>
      </c>
      <c r="U10" s="6">
        <v>0.35</v>
      </c>
      <c r="V10" s="6">
        <v>0.3</v>
      </c>
      <c r="W10" s="572">
        <f>U10*2</f>
        <v>0.7</v>
      </c>
      <c r="X10" s="572">
        <f>V9*W10</f>
        <v>0.42</v>
      </c>
    </row>
    <row r="11" spans="1:24" ht="14" x14ac:dyDescent="0.3">
      <c r="A11" s="46" t="s">
        <v>22</v>
      </c>
      <c r="B11" s="276">
        <f t="shared" ref="B11:G11" si="4">B7</f>
        <v>16</v>
      </c>
      <c r="C11" s="276">
        <f t="shared" si="4"/>
        <v>14.45</v>
      </c>
      <c r="D11" s="276">
        <f t="shared" si="4"/>
        <v>12.75</v>
      </c>
      <c r="E11" s="276">
        <f t="shared" si="4"/>
        <v>5.5</v>
      </c>
      <c r="F11" s="276">
        <f t="shared" si="4"/>
        <v>15.73</v>
      </c>
      <c r="G11" s="276">
        <f t="shared" si="4"/>
        <v>1.4</v>
      </c>
      <c r="H11" s="58">
        <f>AVERAGE(H7:I7)</f>
        <v>0.2</v>
      </c>
      <c r="I11" s="58">
        <f>AVERAGE(J7:K7)</f>
        <v>0.45</v>
      </c>
      <c r="J11" s="58">
        <f>AVERAGE(L7:M7)</f>
        <v>2.2999999999999998</v>
      </c>
      <c r="K11" s="157">
        <f>N7</f>
        <v>0.5</v>
      </c>
      <c r="L11" s="157">
        <f t="shared" si="3"/>
        <v>0.2</v>
      </c>
      <c r="M11" s="157">
        <f t="shared" si="3"/>
        <v>0.2</v>
      </c>
      <c r="T11" s="574">
        <v>16</v>
      </c>
      <c r="U11" s="6">
        <v>0.15</v>
      </c>
      <c r="V11" s="6">
        <v>0.8</v>
      </c>
      <c r="W11" s="572">
        <f>U11*3</f>
        <v>0.44999999999999996</v>
      </c>
      <c r="X11" s="572">
        <f>V10*W11</f>
        <v>0.13499999999999998</v>
      </c>
    </row>
    <row r="12" spans="1:24" x14ac:dyDescent="0.3">
      <c r="A12" s="47" t="s">
        <v>120</v>
      </c>
      <c r="B12" s="47" t="s">
        <v>69</v>
      </c>
      <c r="C12" s="47" t="s">
        <v>70</v>
      </c>
      <c r="D12" s="47" t="s">
        <v>71</v>
      </c>
      <c r="E12" s="47" t="s">
        <v>72</v>
      </c>
      <c r="F12" s="47" t="s">
        <v>73</v>
      </c>
      <c r="G12" s="47" t="s">
        <v>74</v>
      </c>
      <c r="H12" s="47" t="s">
        <v>75</v>
      </c>
      <c r="I12" s="47" t="s">
        <v>76</v>
      </c>
      <c r="J12" s="47" t="s">
        <v>77</v>
      </c>
      <c r="K12" s="47" t="s">
        <v>78</v>
      </c>
      <c r="L12" s="47" t="s">
        <v>79</v>
      </c>
      <c r="M12" s="47" t="s">
        <v>80</v>
      </c>
      <c r="T12" s="573">
        <v>18</v>
      </c>
      <c r="U12" s="6"/>
      <c r="V12" s="6"/>
      <c r="W12" s="572">
        <f t="shared" si="1"/>
        <v>0</v>
      </c>
      <c r="X12" s="572">
        <f t="shared" si="0"/>
        <v>0</v>
      </c>
    </row>
    <row r="13" spans="1:24" x14ac:dyDescent="0.3">
      <c r="A13" s="46" t="s">
        <v>19</v>
      </c>
      <c r="B13" s="48">
        <f>B9*1.983</f>
        <v>2.5779000000000001</v>
      </c>
      <c r="C13" s="48">
        <f>C9*1.983</f>
        <v>3.7677</v>
      </c>
      <c r="D13" s="48">
        <f>D9*1.983</f>
        <v>6.52407</v>
      </c>
      <c r="E13" s="48">
        <f t="shared" ref="E13:M15" si="5">E9*1.983</f>
        <v>5.2152900000000004</v>
      </c>
      <c r="F13" s="48">
        <f t="shared" si="5"/>
        <v>8.8640100000000004</v>
      </c>
      <c r="G13" s="48">
        <f t="shared" si="5"/>
        <v>3.3314400000000002</v>
      </c>
      <c r="H13" s="48">
        <f t="shared" si="5"/>
        <v>7.7237850000000003</v>
      </c>
      <c r="I13" s="48">
        <f t="shared" si="5"/>
        <v>1.9334249999999999</v>
      </c>
      <c r="J13" s="48">
        <f t="shared" si="5"/>
        <v>0.96175500000000003</v>
      </c>
      <c r="K13" s="48">
        <f t="shared" si="5"/>
        <v>0.61473</v>
      </c>
      <c r="L13" s="48">
        <f t="shared" si="5"/>
        <v>0.83286000000000004</v>
      </c>
      <c r="M13" s="48">
        <f t="shared" si="5"/>
        <v>0.69404999999999994</v>
      </c>
      <c r="T13" s="574">
        <v>20</v>
      </c>
      <c r="U13" s="6"/>
      <c r="V13" s="6"/>
      <c r="W13" s="572">
        <f t="shared" si="1"/>
        <v>0</v>
      </c>
      <c r="X13" s="572">
        <f t="shared" si="0"/>
        <v>0</v>
      </c>
    </row>
    <row r="14" spans="1:24" x14ac:dyDescent="0.3">
      <c r="A14" s="46" t="s">
        <v>20</v>
      </c>
      <c r="B14" s="48">
        <f t="shared" ref="B14:D15" si="6">B10*1.983</f>
        <v>33.492870000000003</v>
      </c>
      <c r="C14" s="48">
        <f t="shared" si="6"/>
        <v>27.524040000000003</v>
      </c>
      <c r="D14" s="48">
        <f t="shared" si="6"/>
        <v>15.169950000000002</v>
      </c>
      <c r="E14" s="48">
        <f t="shared" si="5"/>
        <v>6.8016900000000007</v>
      </c>
      <c r="F14" s="48">
        <f t="shared" si="5"/>
        <v>14.575049999999999</v>
      </c>
      <c r="G14" s="48">
        <f t="shared" si="5"/>
        <v>4.6798799999999998</v>
      </c>
      <c r="H14" s="48">
        <f t="shared" si="5"/>
        <v>13.950405000000002</v>
      </c>
      <c r="I14" s="48">
        <f t="shared" si="5"/>
        <v>9.57789</v>
      </c>
      <c r="J14" s="48">
        <f t="shared" si="5"/>
        <v>2.6770500000000004</v>
      </c>
      <c r="K14" s="48">
        <f t="shared" si="5"/>
        <v>13.444740000000001</v>
      </c>
      <c r="L14" s="48">
        <f t="shared" si="5"/>
        <v>3.6487200000000004</v>
      </c>
      <c r="M14" s="48">
        <f t="shared" si="5"/>
        <v>3.6487200000000004</v>
      </c>
      <c r="T14" s="573">
        <v>22</v>
      </c>
      <c r="U14" s="6"/>
      <c r="V14" s="6"/>
      <c r="W14" s="572">
        <f t="shared" si="1"/>
        <v>0</v>
      </c>
      <c r="X14" s="572">
        <f t="shared" si="0"/>
        <v>0</v>
      </c>
    </row>
    <row r="15" spans="1:24" x14ac:dyDescent="0.3">
      <c r="A15" s="46" t="s">
        <v>22</v>
      </c>
      <c r="B15" s="48">
        <f t="shared" si="6"/>
        <v>31.728000000000002</v>
      </c>
      <c r="C15" s="48">
        <f t="shared" si="6"/>
        <v>28.654350000000001</v>
      </c>
      <c r="D15" s="48">
        <f t="shared" si="6"/>
        <v>25.283250000000002</v>
      </c>
      <c r="E15" s="48">
        <f t="shared" si="5"/>
        <v>10.906500000000001</v>
      </c>
      <c r="F15" s="48">
        <f t="shared" si="5"/>
        <v>31.192590000000003</v>
      </c>
      <c r="G15" s="48">
        <f t="shared" si="5"/>
        <v>2.7761999999999998</v>
      </c>
      <c r="H15" s="48">
        <f t="shared" si="5"/>
        <v>0.39660000000000006</v>
      </c>
      <c r="I15" s="48">
        <f t="shared" si="5"/>
        <v>0.89235000000000009</v>
      </c>
      <c r="J15" s="48">
        <f t="shared" si="5"/>
        <v>4.5609000000000002</v>
      </c>
      <c r="K15" s="48">
        <f t="shared" si="5"/>
        <v>0.99150000000000005</v>
      </c>
      <c r="L15" s="48">
        <f t="shared" si="5"/>
        <v>0.39660000000000006</v>
      </c>
      <c r="M15" s="48">
        <f t="shared" si="5"/>
        <v>0.39660000000000006</v>
      </c>
      <c r="T15" s="574">
        <v>24</v>
      </c>
      <c r="U15" s="6"/>
      <c r="V15" s="6"/>
      <c r="W15" s="572">
        <f t="shared" si="1"/>
        <v>0</v>
      </c>
      <c r="X15" s="572">
        <f t="shared" si="0"/>
        <v>0</v>
      </c>
    </row>
    <row r="16" spans="1:24" x14ac:dyDescent="0.3">
      <c r="A16" s="8"/>
      <c r="B16" s="8"/>
      <c r="C16" s="8"/>
      <c r="D16" s="8"/>
      <c r="E16" s="8"/>
      <c r="F16" s="8"/>
      <c r="G16" s="8"/>
      <c r="H16" s="8"/>
      <c r="I16" s="8"/>
      <c r="J16" s="8"/>
      <c r="K16" s="8"/>
      <c r="L16" s="8"/>
      <c r="T16" s="573">
        <v>26</v>
      </c>
      <c r="W16" s="572">
        <f t="shared" si="1"/>
        <v>0</v>
      </c>
      <c r="X16" s="572">
        <f t="shared" si="0"/>
        <v>0</v>
      </c>
    </row>
    <row r="17" spans="1:24" ht="15.5" x14ac:dyDescent="0.35">
      <c r="A17" s="8"/>
      <c r="B17" s="795"/>
      <c r="C17" s="795"/>
      <c r="D17" s="795"/>
      <c r="E17" s="795"/>
      <c r="F17" s="795"/>
      <c r="G17" s="795"/>
      <c r="H17" s="795"/>
      <c r="I17" s="795"/>
      <c r="J17" s="795"/>
      <c r="K17" s="795"/>
      <c r="L17" s="795"/>
      <c r="T17" s="574">
        <v>28</v>
      </c>
      <c r="W17" s="572">
        <f t="shared" si="1"/>
        <v>0</v>
      </c>
      <c r="X17" s="572">
        <f t="shared" si="0"/>
        <v>0</v>
      </c>
    </row>
    <row r="18" spans="1:24" ht="14.25" customHeight="1" x14ac:dyDescent="0.3">
      <c r="A18" s="69" t="s">
        <v>86</v>
      </c>
      <c r="B18" s="71">
        <v>31</v>
      </c>
      <c r="C18" s="70">
        <v>29</v>
      </c>
      <c r="D18" s="70">
        <v>31</v>
      </c>
      <c r="E18" s="70">
        <v>30</v>
      </c>
      <c r="F18" s="70">
        <v>31</v>
      </c>
      <c r="G18" s="70">
        <v>30</v>
      </c>
      <c r="H18" s="70">
        <v>31</v>
      </c>
      <c r="I18" s="70">
        <v>31</v>
      </c>
      <c r="J18" s="70">
        <v>30</v>
      </c>
      <c r="K18" s="70">
        <v>31</v>
      </c>
      <c r="L18" s="70">
        <v>30</v>
      </c>
      <c r="M18" s="70">
        <v>31</v>
      </c>
      <c r="N18" s="797" t="s">
        <v>145</v>
      </c>
      <c r="O18" s="288"/>
      <c r="P18" s="288"/>
      <c r="T18" s="573">
        <v>30</v>
      </c>
      <c r="W18" s="572">
        <f t="shared" si="1"/>
        <v>0</v>
      </c>
      <c r="X18" s="572">
        <f t="shared" si="0"/>
        <v>0</v>
      </c>
    </row>
    <row r="19" spans="1:24" ht="24" customHeight="1" x14ac:dyDescent="0.3">
      <c r="A19" s="69"/>
      <c r="B19" s="71" t="s">
        <v>69</v>
      </c>
      <c r="C19" s="70" t="s">
        <v>70</v>
      </c>
      <c r="D19" s="70" t="s">
        <v>71</v>
      </c>
      <c r="E19" s="70" t="s">
        <v>72</v>
      </c>
      <c r="F19" s="70" t="s">
        <v>73</v>
      </c>
      <c r="G19" s="70" t="s">
        <v>74</v>
      </c>
      <c r="H19" s="70" t="s">
        <v>75</v>
      </c>
      <c r="I19" s="70" t="s">
        <v>76</v>
      </c>
      <c r="J19" s="70" t="s">
        <v>77</v>
      </c>
      <c r="K19" s="70" t="s">
        <v>78</v>
      </c>
      <c r="L19" s="70" t="s">
        <v>79</v>
      </c>
      <c r="M19" s="70" t="s">
        <v>80</v>
      </c>
      <c r="N19" s="797"/>
      <c r="O19" s="294"/>
      <c r="P19" s="295"/>
      <c r="X19" s="6">
        <f>SUM(X4:X18)</f>
        <v>2.0029999999999997</v>
      </c>
    </row>
    <row r="20" spans="1:24" x14ac:dyDescent="0.3">
      <c r="A20" s="46" t="s">
        <v>19</v>
      </c>
      <c r="B20" s="268">
        <f>B13*B18</f>
        <v>79.914900000000003</v>
      </c>
      <c r="C20" s="268">
        <f>C13*C18</f>
        <v>109.2633</v>
      </c>
      <c r="D20" s="268">
        <f>D13*D18</f>
        <v>202.24617000000001</v>
      </c>
      <c r="E20" s="268">
        <f t="shared" ref="E20:M20" si="7">E13*E18</f>
        <v>156.45870000000002</v>
      </c>
      <c r="F20" s="268">
        <f t="shared" si="7"/>
        <v>274.78431</v>
      </c>
      <c r="G20" s="268">
        <f t="shared" si="7"/>
        <v>99.943200000000004</v>
      </c>
      <c r="H20" s="268">
        <f t="shared" si="7"/>
        <v>239.43733500000002</v>
      </c>
      <c r="I20" s="268">
        <f t="shared" si="7"/>
        <v>59.936174999999999</v>
      </c>
      <c r="J20" s="268">
        <f t="shared" si="7"/>
        <v>28.852650000000001</v>
      </c>
      <c r="K20" s="268">
        <f t="shared" si="7"/>
        <v>19.056629999999998</v>
      </c>
      <c r="L20" s="268">
        <f t="shared" si="7"/>
        <v>24.985800000000001</v>
      </c>
      <c r="M20" s="268">
        <f t="shared" si="7"/>
        <v>21.515549999999998</v>
      </c>
      <c r="N20" s="67">
        <f>SUM(B20:M20)</f>
        <v>1316.3947200000002</v>
      </c>
      <c r="O20" s="296"/>
      <c r="P20" s="297"/>
    </row>
    <row r="21" spans="1:24" x14ac:dyDescent="0.3">
      <c r="A21" s="46" t="s">
        <v>20</v>
      </c>
      <c r="B21" s="268">
        <f>B14*B18</f>
        <v>1038.2789700000001</v>
      </c>
      <c r="C21" s="268">
        <f>C14*C18</f>
        <v>798.19716000000005</v>
      </c>
      <c r="D21" s="268">
        <f>D14*D18</f>
        <v>470.26845000000003</v>
      </c>
      <c r="E21" s="268">
        <f t="shared" ref="E21:M21" si="8">E14*E18</f>
        <v>204.05070000000001</v>
      </c>
      <c r="F21" s="268">
        <f t="shared" si="8"/>
        <v>451.82655</v>
      </c>
      <c r="G21" s="268">
        <f t="shared" si="8"/>
        <v>140.3964</v>
      </c>
      <c r="H21" s="268">
        <f t="shared" si="8"/>
        <v>432.46255500000007</v>
      </c>
      <c r="I21" s="268">
        <f t="shared" si="8"/>
        <v>296.91458999999998</v>
      </c>
      <c r="J21" s="268">
        <f t="shared" si="8"/>
        <v>80.311500000000009</v>
      </c>
      <c r="K21" s="268">
        <f t="shared" si="8"/>
        <v>416.78694000000002</v>
      </c>
      <c r="L21" s="268">
        <f t="shared" si="8"/>
        <v>109.46160000000002</v>
      </c>
      <c r="M21" s="268">
        <f t="shared" si="8"/>
        <v>113.11032000000002</v>
      </c>
      <c r="N21" s="67">
        <f>SUM(B21:M21)</f>
        <v>4552.0657349999992</v>
      </c>
      <c r="O21" s="296"/>
      <c r="P21" s="297"/>
    </row>
    <row r="22" spans="1:24" x14ac:dyDescent="0.3">
      <c r="A22" s="269" t="s">
        <v>23</v>
      </c>
      <c r="B22" s="270">
        <f>SUM(B20:B21)</f>
        <v>1118.1938700000001</v>
      </c>
      <c r="C22" s="270">
        <f>SUM(C20:C21)</f>
        <v>907.46046000000001</v>
      </c>
      <c r="D22" s="270">
        <f>SUM(D20:D21)</f>
        <v>672.51462000000004</v>
      </c>
      <c r="E22" s="270">
        <f t="shared" ref="E22:M22" si="9">SUM(E20:E21)</f>
        <v>360.50940000000003</v>
      </c>
      <c r="F22" s="270">
        <f t="shared" si="9"/>
        <v>726.61086</v>
      </c>
      <c r="G22" s="270">
        <f t="shared" si="9"/>
        <v>240.33960000000002</v>
      </c>
      <c r="H22" s="270">
        <f t="shared" si="9"/>
        <v>671.89989000000014</v>
      </c>
      <c r="I22" s="270">
        <f t="shared" si="9"/>
        <v>356.85076499999997</v>
      </c>
      <c r="J22" s="270">
        <f t="shared" si="9"/>
        <v>109.16415000000001</v>
      </c>
      <c r="K22" s="270">
        <f t="shared" si="9"/>
        <v>435.84357</v>
      </c>
      <c r="L22" s="270">
        <f t="shared" si="9"/>
        <v>134.44740000000002</v>
      </c>
      <c r="M22" s="270">
        <f t="shared" si="9"/>
        <v>134.62587000000002</v>
      </c>
      <c r="N22" s="67">
        <f>SUM(B22:M22)</f>
        <v>5868.4604550000004</v>
      </c>
      <c r="O22" s="298">
        <f>N22-N23</f>
        <v>1660.9707149999986</v>
      </c>
      <c r="P22" s="297"/>
    </row>
    <row r="23" spans="1:24" x14ac:dyDescent="0.3">
      <c r="A23" s="46" t="s">
        <v>22</v>
      </c>
      <c r="B23" s="268">
        <f>B15*B18</f>
        <v>983.5680000000001</v>
      </c>
      <c r="C23" s="268">
        <f>C15*C18</f>
        <v>830.97615000000008</v>
      </c>
      <c r="D23" s="268">
        <f>D15*D18</f>
        <v>783.78075000000013</v>
      </c>
      <c r="E23" s="268">
        <f t="shared" ref="E23:M23" si="10">E15*E18</f>
        <v>327.19500000000005</v>
      </c>
      <c r="F23" s="268">
        <f t="shared" si="10"/>
        <v>966.97029000000009</v>
      </c>
      <c r="G23" s="268">
        <f t="shared" si="10"/>
        <v>83.285999999999987</v>
      </c>
      <c r="H23" s="268">
        <f t="shared" si="10"/>
        <v>12.294600000000003</v>
      </c>
      <c r="I23" s="268">
        <f t="shared" si="10"/>
        <v>27.662850000000002</v>
      </c>
      <c r="J23" s="268">
        <f t="shared" si="10"/>
        <v>136.827</v>
      </c>
      <c r="K23" s="268">
        <f t="shared" si="10"/>
        <v>30.736500000000003</v>
      </c>
      <c r="L23" s="268">
        <f t="shared" si="10"/>
        <v>11.898000000000001</v>
      </c>
      <c r="M23" s="268">
        <f t="shared" si="10"/>
        <v>12.294600000000003</v>
      </c>
      <c r="N23" s="67">
        <f>SUM(B23:M23)</f>
        <v>4207.4897400000018</v>
      </c>
      <c r="O23" s="296"/>
      <c r="P23" s="59"/>
    </row>
    <row r="49" spans="1:7" ht="12.75" customHeight="1" x14ac:dyDescent="0.3">
      <c r="A49" s="796" t="s">
        <v>137</v>
      </c>
      <c r="B49" s="796"/>
      <c r="C49" s="796"/>
      <c r="D49" s="796"/>
      <c r="E49" s="104"/>
    </row>
    <row r="50" spans="1:7" ht="12.75" customHeight="1" x14ac:dyDescent="0.25">
      <c r="A50" s="796" t="s">
        <v>138</v>
      </c>
      <c r="B50" s="796"/>
      <c r="C50" s="796"/>
      <c r="D50" s="796"/>
      <c r="E50" s="171"/>
    </row>
    <row r="51" spans="1:7" ht="12.75" customHeight="1" x14ac:dyDescent="0.25">
      <c r="A51" s="796" t="s">
        <v>139</v>
      </c>
      <c r="B51" s="796"/>
      <c r="C51" s="796"/>
      <c r="D51" s="796"/>
      <c r="E51" s="171"/>
    </row>
    <row r="52" spans="1:7" ht="12.75" customHeight="1" x14ac:dyDescent="0.25">
      <c r="A52" s="796" t="s">
        <v>140</v>
      </c>
      <c r="B52" s="796"/>
      <c r="C52" s="796"/>
      <c r="D52" s="796"/>
      <c r="E52" s="171"/>
    </row>
    <row r="53" spans="1:7" ht="12.75" customHeight="1" x14ac:dyDescent="0.25">
      <c r="A53" s="796" t="s">
        <v>141</v>
      </c>
      <c r="B53" s="796"/>
      <c r="C53" s="796"/>
      <c r="D53" s="796"/>
      <c r="E53" s="172"/>
    </row>
    <row r="54" spans="1:7" ht="17.25" customHeight="1" x14ac:dyDescent="0.4">
      <c r="A54" s="796" t="s">
        <v>142</v>
      </c>
      <c r="B54" s="796"/>
      <c r="C54" s="796"/>
      <c r="D54" s="796"/>
      <c r="E54" s="172"/>
      <c r="G54" s="173" t="s">
        <v>457</v>
      </c>
    </row>
    <row r="55" spans="1:7" ht="31.5" x14ac:dyDescent="0.25">
      <c r="A55" s="174" t="s">
        <v>216</v>
      </c>
      <c r="B55" s="175" t="s">
        <v>219</v>
      </c>
      <c r="C55" s="175" t="s">
        <v>217</v>
      </c>
      <c r="E55" s="62"/>
      <c r="F55" s="62"/>
    </row>
    <row r="56" spans="1:7" ht="12.5" x14ac:dyDescent="0.25">
      <c r="A56" s="176">
        <v>1987</v>
      </c>
      <c r="B56" s="60">
        <v>61594.954499999993</v>
      </c>
      <c r="C56" s="56"/>
      <c r="E56" s="177"/>
      <c r="F56" s="177"/>
    </row>
    <row r="57" spans="1:7" ht="12.5" x14ac:dyDescent="0.25">
      <c r="A57" s="176">
        <v>1988</v>
      </c>
      <c r="B57" s="60">
        <v>26201.379000000001</v>
      </c>
      <c r="C57" s="56"/>
      <c r="E57" s="177"/>
      <c r="F57" s="177"/>
    </row>
    <row r="58" spans="1:7" ht="12.5" x14ac:dyDescent="0.25">
      <c r="A58" s="176">
        <v>1989</v>
      </c>
      <c r="B58" s="60">
        <v>7527.4679999999998</v>
      </c>
      <c r="C58" s="56"/>
      <c r="E58" s="177"/>
      <c r="F58" s="177"/>
    </row>
    <row r="59" spans="1:7" ht="12.5" x14ac:dyDescent="0.25">
      <c r="A59" s="176">
        <v>1990</v>
      </c>
      <c r="B59" s="60">
        <v>20266.259999999998</v>
      </c>
      <c r="C59" s="56"/>
      <c r="E59" s="177"/>
      <c r="F59" s="177"/>
    </row>
    <row r="60" spans="1:7" ht="12.5" x14ac:dyDescent="0.25">
      <c r="A60" s="176">
        <v>1991</v>
      </c>
      <c r="B60" s="60">
        <v>25694.7225</v>
      </c>
      <c r="C60" s="56"/>
      <c r="E60" s="177"/>
      <c r="F60" s="177"/>
    </row>
    <row r="61" spans="1:7" ht="12.5" x14ac:dyDescent="0.25">
      <c r="A61" s="176">
        <v>1992</v>
      </c>
      <c r="B61" s="60">
        <v>18384.392999999996</v>
      </c>
      <c r="C61" s="56"/>
      <c r="E61" s="62"/>
      <c r="F61" s="62"/>
    </row>
    <row r="62" spans="1:7" ht="12.5" x14ac:dyDescent="0.25">
      <c r="A62" s="176">
        <v>1993</v>
      </c>
      <c r="B62" s="60">
        <v>11291.201999999999</v>
      </c>
      <c r="C62" s="56"/>
      <c r="E62" s="62"/>
      <c r="F62" s="62"/>
    </row>
    <row r="63" spans="1:7" ht="12.5" x14ac:dyDescent="0.25">
      <c r="A63" s="176">
        <v>1994</v>
      </c>
      <c r="B63" s="60">
        <v>13173.069</v>
      </c>
      <c r="C63" s="56"/>
      <c r="E63" s="62"/>
      <c r="F63" s="62"/>
    </row>
    <row r="64" spans="1:7" ht="12.5" x14ac:dyDescent="0.25">
      <c r="A64" s="176">
        <v>1995</v>
      </c>
      <c r="B64" s="60">
        <v>69556.699499999988</v>
      </c>
      <c r="C64" s="56"/>
      <c r="E64" s="62"/>
      <c r="F64" s="62"/>
    </row>
    <row r="65" spans="1:6" ht="12.5" x14ac:dyDescent="0.25">
      <c r="A65" s="176">
        <v>1996</v>
      </c>
      <c r="B65" s="60">
        <v>22654.783499999998</v>
      </c>
      <c r="C65" s="56"/>
      <c r="E65" s="62"/>
      <c r="F65" s="62"/>
    </row>
    <row r="66" spans="1:6" ht="12.5" x14ac:dyDescent="0.25">
      <c r="A66" s="176">
        <v>1997</v>
      </c>
      <c r="B66" s="60">
        <v>38071.616999999998</v>
      </c>
      <c r="C66" s="56"/>
      <c r="E66" s="62"/>
      <c r="F66" s="62"/>
    </row>
    <row r="67" spans="1:6" ht="12.5" x14ac:dyDescent="0.25">
      <c r="A67" s="176">
        <v>1998</v>
      </c>
      <c r="B67" s="60">
        <v>69122.422500000001</v>
      </c>
      <c r="C67" s="56"/>
      <c r="E67" s="62"/>
      <c r="F67" s="62"/>
    </row>
    <row r="68" spans="1:6" ht="12.5" x14ac:dyDescent="0.25">
      <c r="A68" s="176">
        <v>1999</v>
      </c>
      <c r="B68" s="60">
        <v>52692.275999999998</v>
      </c>
      <c r="C68" s="56"/>
      <c r="E68" s="62"/>
      <c r="F68" s="62"/>
    </row>
    <row r="69" spans="1:6" ht="12.5" x14ac:dyDescent="0.25">
      <c r="A69" s="176">
        <v>2000</v>
      </c>
      <c r="B69" s="60">
        <v>13173.069</v>
      </c>
      <c r="C69" s="56"/>
      <c r="D69" s="179"/>
      <c r="E69" s="62"/>
      <c r="F69" s="62"/>
    </row>
    <row r="70" spans="1:6" ht="12.5" x14ac:dyDescent="0.25">
      <c r="A70" s="176">
        <v>2001</v>
      </c>
      <c r="B70" s="60">
        <v>15134.171499999999</v>
      </c>
      <c r="C70" s="56">
        <v>2323</v>
      </c>
      <c r="D70" s="180"/>
      <c r="E70" s="62"/>
      <c r="F70" s="62"/>
    </row>
    <row r="71" spans="1:6" ht="12.5" x14ac:dyDescent="0.25">
      <c r="A71" s="176">
        <v>2002</v>
      </c>
      <c r="B71" s="60">
        <v>4248.6766499999994</v>
      </c>
      <c r="C71" s="60">
        <v>528.37034999999992</v>
      </c>
      <c r="D71" s="180"/>
      <c r="E71" s="62"/>
      <c r="F71" s="62"/>
    </row>
    <row r="72" spans="1:6" ht="12.5" x14ac:dyDescent="0.25">
      <c r="A72" s="176">
        <v>2003</v>
      </c>
      <c r="B72" s="60">
        <v>21641.470499999999</v>
      </c>
      <c r="C72" s="60">
        <v>7455.0884999999998</v>
      </c>
      <c r="D72" s="180"/>
      <c r="E72" s="62"/>
      <c r="F72" s="62"/>
    </row>
    <row r="73" spans="1:6" ht="12.5" x14ac:dyDescent="0.25">
      <c r="A73" s="176">
        <v>2004</v>
      </c>
      <c r="B73" s="60">
        <v>20924.913449999996</v>
      </c>
      <c r="C73" s="60">
        <v>3988.1104499999997</v>
      </c>
      <c r="D73" s="180"/>
      <c r="E73" s="62"/>
      <c r="F73" s="62"/>
    </row>
    <row r="74" spans="1:6" ht="12.5" x14ac:dyDescent="0.25">
      <c r="A74" s="181">
        <v>2005</v>
      </c>
      <c r="B74" s="60">
        <v>36624.026999999995</v>
      </c>
      <c r="C74" s="60">
        <v>7455.0884999999998</v>
      </c>
      <c r="D74" s="180"/>
      <c r="E74" s="62"/>
      <c r="F74" s="62"/>
    </row>
    <row r="75" spans="1:6" x14ac:dyDescent="0.3">
      <c r="A75" s="182">
        <v>2006</v>
      </c>
      <c r="B75" s="60">
        <v>8497.4680000000008</v>
      </c>
      <c r="C75" s="60">
        <v>970</v>
      </c>
      <c r="D75" s="180"/>
      <c r="E75" s="62"/>
      <c r="F75" s="62"/>
    </row>
    <row r="76" spans="1:6" x14ac:dyDescent="0.3">
      <c r="A76" s="182">
        <v>2007</v>
      </c>
      <c r="B76" s="60">
        <v>56500</v>
      </c>
      <c r="C76" s="56">
        <v>14861</v>
      </c>
    </row>
    <row r="77" spans="1:6" ht="16.5" customHeight="1" x14ac:dyDescent="0.3">
      <c r="A77" s="182">
        <v>2008</v>
      </c>
      <c r="B77" s="178">
        <v>19400</v>
      </c>
      <c r="C77" s="56">
        <v>5613</v>
      </c>
    </row>
    <row r="78" spans="1:6" ht="16.5" customHeight="1" x14ac:dyDescent="0.3">
      <c r="A78" s="182">
        <v>2009</v>
      </c>
      <c r="B78" s="178">
        <v>25943</v>
      </c>
      <c r="C78" s="178">
        <v>8202</v>
      </c>
    </row>
    <row r="79" spans="1:6" x14ac:dyDescent="0.3">
      <c r="A79" s="182">
        <v>2010</v>
      </c>
      <c r="B79" s="178">
        <v>29007</v>
      </c>
      <c r="C79" s="178">
        <v>8401</v>
      </c>
      <c r="D79" s="253"/>
    </row>
    <row r="80" spans="1:6" x14ac:dyDescent="0.3">
      <c r="A80" s="433">
        <v>2011</v>
      </c>
      <c r="B80" s="434">
        <v>9432</v>
      </c>
      <c r="C80" s="178">
        <v>1348</v>
      </c>
      <c r="D80" s="564"/>
    </row>
    <row r="81" spans="1:4" x14ac:dyDescent="0.3">
      <c r="A81" s="433">
        <v>2012</v>
      </c>
      <c r="B81" s="434">
        <f>N22</f>
        <v>5868.4604550000004</v>
      </c>
      <c r="C81" s="178">
        <f>N20</f>
        <v>1316.3947200000002</v>
      </c>
      <c r="D81" s="564"/>
    </row>
    <row r="82" spans="1:4" x14ac:dyDescent="0.3">
      <c r="D82" s="432"/>
    </row>
    <row r="83" spans="1:4" ht="31.5" x14ac:dyDescent="0.25">
      <c r="A83" s="280" t="s">
        <v>216</v>
      </c>
      <c r="B83" s="281" t="s">
        <v>218</v>
      </c>
    </row>
    <row r="84" spans="1:4" ht="12.5" x14ac:dyDescent="0.25">
      <c r="A84" s="176">
        <v>1987</v>
      </c>
      <c r="B84" s="170">
        <v>85.1</v>
      </c>
    </row>
    <row r="85" spans="1:4" ht="12.5" x14ac:dyDescent="0.25">
      <c r="A85" s="176">
        <v>1988</v>
      </c>
      <c r="B85" s="170">
        <v>36.200000000000003</v>
      </c>
    </row>
    <row r="86" spans="1:4" ht="12.5" x14ac:dyDescent="0.25">
      <c r="A86" s="176">
        <v>1989</v>
      </c>
      <c r="B86" s="170">
        <v>10.4</v>
      </c>
    </row>
    <row r="87" spans="1:4" ht="12.5" x14ac:dyDescent="0.25">
      <c r="A87" s="176">
        <v>1990</v>
      </c>
      <c r="B87" s="170">
        <v>28</v>
      </c>
    </row>
    <row r="88" spans="1:4" ht="12.5" x14ac:dyDescent="0.25">
      <c r="A88" s="176">
        <v>1991</v>
      </c>
      <c r="B88" s="170">
        <v>35.5</v>
      </c>
    </row>
    <row r="89" spans="1:4" ht="12.5" x14ac:dyDescent="0.25">
      <c r="A89" s="176">
        <v>1992</v>
      </c>
      <c r="B89" s="170">
        <v>25.4</v>
      </c>
    </row>
    <row r="90" spans="1:4" ht="12.5" x14ac:dyDescent="0.25">
      <c r="A90" s="176">
        <v>1993</v>
      </c>
      <c r="B90" s="170">
        <v>15.6</v>
      </c>
    </row>
    <row r="91" spans="1:4" ht="12.5" x14ac:dyDescent="0.25">
      <c r="A91" s="176">
        <v>1994</v>
      </c>
      <c r="B91" s="170">
        <v>18.2</v>
      </c>
    </row>
    <row r="92" spans="1:4" ht="12.5" x14ac:dyDescent="0.25">
      <c r="A92" s="176">
        <v>1995</v>
      </c>
      <c r="B92" s="170">
        <v>96.1</v>
      </c>
    </row>
    <row r="93" spans="1:4" ht="12.5" x14ac:dyDescent="0.25">
      <c r="A93" s="176">
        <v>1996</v>
      </c>
      <c r="B93" s="170">
        <v>31.3</v>
      </c>
    </row>
    <row r="94" spans="1:4" ht="12.5" x14ac:dyDescent="0.25">
      <c r="A94" s="176">
        <v>1997</v>
      </c>
      <c r="B94" s="170">
        <v>52.6</v>
      </c>
    </row>
    <row r="95" spans="1:4" ht="12.5" x14ac:dyDescent="0.25">
      <c r="A95" s="176">
        <v>1998</v>
      </c>
      <c r="B95" s="170">
        <v>95.5</v>
      </c>
    </row>
    <row r="96" spans="1:4" ht="12.5" x14ac:dyDescent="0.25">
      <c r="A96" s="176">
        <v>1999</v>
      </c>
      <c r="B96" s="170">
        <v>72.8</v>
      </c>
    </row>
    <row r="97" spans="1:2" ht="12.5" x14ac:dyDescent="0.25">
      <c r="A97" s="176">
        <v>2000</v>
      </c>
      <c r="B97" s="170">
        <v>18.2</v>
      </c>
    </row>
    <row r="98" spans="1:2" ht="12.5" x14ac:dyDescent="0.25">
      <c r="A98" s="176">
        <v>2001</v>
      </c>
      <c r="B98" s="170">
        <v>17.7</v>
      </c>
    </row>
    <row r="99" spans="1:2" ht="12.5" x14ac:dyDescent="0.25">
      <c r="A99" s="176">
        <v>2002</v>
      </c>
      <c r="B99" s="170">
        <v>5.14</v>
      </c>
    </row>
    <row r="100" spans="1:2" ht="12.5" x14ac:dyDescent="0.25">
      <c r="A100" s="176">
        <v>2003</v>
      </c>
      <c r="B100" s="170">
        <v>19.600000000000001</v>
      </c>
    </row>
    <row r="101" spans="1:2" ht="12.5" x14ac:dyDescent="0.25">
      <c r="A101" s="176">
        <v>2004</v>
      </c>
      <c r="B101" s="170">
        <v>23.4</v>
      </c>
    </row>
    <row r="102" spans="1:2" ht="12.5" x14ac:dyDescent="0.25">
      <c r="A102" s="181">
        <v>2005</v>
      </c>
      <c r="B102" s="183">
        <v>40.299999999999997</v>
      </c>
    </row>
    <row r="103" spans="1:2" ht="15.5" x14ac:dyDescent="0.35">
      <c r="A103" s="182">
        <v>2006</v>
      </c>
      <c r="B103" s="184">
        <v>10.4</v>
      </c>
    </row>
    <row r="104" spans="1:2" x14ac:dyDescent="0.3">
      <c r="A104" s="182">
        <v>2007</v>
      </c>
      <c r="B104" s="56"/>
    </row>
    <row r="105" spans="1:2" x14ac:dyDescent="0.3">
      <c r="A105" s="182">
        <v>2008</v>
      </c>
      <c r="B105" s="56"/>
    </row>
  </sheetData>
  <mergeCells count="9">
    <mergeCell ref="A1:P1"/>
    <mergeCell ref="B17:L17"/>
    <mergeCell ref="A54:D54"/>
    <mergeCell ref="A49:D49"/>
    <mergeCell ref="A50:D50"/>
    <mergeCell ref="A51:D51"/>
    <mergeCell ref="A52:D52"/>
    <mergeCell ref="A53:D53"/>
    <mergeCell ref="N18:N19"/>
  </mergeCells>
  <phoneticPr fontId="8" type="noConversion"/>
  <pageMargins left="0.75" right="0.75" top="1" bottom="1" header="0.5" footer="0.5"/>
  <pageSetup orientation="portrait" horizont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16</vt:i4>
      </vt:variant>
    </vt:vector>
  </HeadingPairs>
  <TitlesOfParts>
    <vt:vector size="58" baseType="lpstr">
      <vt:lpstr>Reservoir Sample Sites</vt:lpstr>
      <vt:lpstr>2012 Reservoir Summary Stats</vt:lpstr>
      <vt:lpstr>Annual Reservoir Trends</vt:lpstr>
      <vt:lpstr>Nitrate Trends</vt:lpstr>
      <vt:lpstr>Phosphorus Trends</vt:lpstr>
      <vt:lpstr>Loading</vt:lpstr>
      <vt:lpstr>Carlson</vt:lpstr>
      <vt:lpstr>Walker</vt:lpstr>
      <vt:lpstr>Monthly Discharge</vt:lpstr>
      <vt:lpstr>Temperature</vt:lpstr>
      <vt:lpstr>Conductance</vt:lpstr>
      <vt:lpstr>pH</vt:lpstr>
      <vt:lpstr>Oxygen</vt:lpstr>
      <vt:lpstr>Temp DO Comp</vt:lpstr>
      <vt:lpstr>T &amp; Diss Phosphorus</vt:lpstr>
      <vt:lpstr>Nitrate &amp; T Nitrogen</vt:lpstr>
      <vt:lpstr>TSS</vt:lpstr>
      <vt:lpstr>Chlsecchi</vt:lpstr>
      <vt:lpstr>Phytoplankton</vt:lpstr>
      <vt:lpstr>Monthly Chemistry</vt:lpstr>
      <vt:lpstr>WS 2012 chemistry</vt:lpstr>
      <vt:lpstr>WS 2012 Field</vt:lpstr>
      <vt:lpstr>2012 WS Flow</vt:lpstr>
      <vt:lpstr>Genesee Reservoir</vt:lpstr>
      <vt:lpstr>Soda Lake </vt:lpstr>
      <vt:lpstr>Evergreen Lake</vt:lpstr>
      <vt:lpstr>Sediment</vt:lpstr>
      <vt:lpstr>Grain Size</vt:lpstr>
      <vt:lpstr>T Standards</vt:lpstr>
      <vt:lpstr>Rec Use</vt:lpstr>
      <vt:lpstr>Transition</vt:lpstr>
      <vt:lpstr>303d List </vt:lpstr>
      <vt:lpstr>Field Sheet</vt:lpstr>
      <vt:lpstr>Temp analysis</vt:lpstr>
      <vt:lpstr>Air T Evergreen</vt:lpstr>
      <vt:lpstr>Horse Manure</vt:lpstr>
      <vt:lpstr>Mt Evans</vt:lpstr>
      <vt:lpstr>Monitoring Parametrs 2013</vt:lpstr>
      <vt:lpstr>2013 P3 Monitoring Sites</vt:lpstr>
      <vt:lpstr>WWTP</vt:lpstr>
      <vt:lpstr>Monitoring Costs</vt:lpstr>
      <vt:lpstr>Sheet1</vt:lpstr>
      <vt:lpstr>'2013 P3 Monitoring Sites'!Print_Area</vt:lpstr>
      <vt:lpstr>Carlson!Print_Area</vt:lpstr>
      <vt:lpstr>Chlsecchi!Print_Area</vt:lpstr>
      <vt:lpstr>Conductance!Print_Area</vt:lpstr>
      <vt:lpstr>'Field Sheet'!Print_Area</vt:lpstr>
      <vt:lpstr>Loading!Print_Area</vt:lpstr>
      <vt:lpstr>'Monthly Chemistry'!Print_Area</vt:lpstr>
      <vt:lpstr>'Mt Evans'!Print_Area</vt:lpstr>
      <vt:lpstr>Oxygen!Print_Area</vt:lpstr>
      <vt:lpstr>pH!Print_Area</vt:lpstr>
      <vt:lpstr>'Rec Use'!Print_Area</vt:lpstr>
      <vt:lpstr>Sediment!Print_Area</vt:lpstr>
      <vt:lpstr>'Temp DO Comp'!Print_Area</vt:lpstr>
      <vt:lpstr>Temperature!Print_Area</vt:lpstr>
      <vt:lpstr>TSS!Print_Area</vt:lpstr>
      <vt:lpstr>Walker!Print_Area</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RNC Consulting LLC</cp:lastModifiedBy>
  <cp:lastPrinted>2013-01-22T01:35:03Z</cp:lastPrinted>
  <dcterms:created xsi:type="dcterms:W3CDTF">2000-11-21T22:42:26Z</dcterms:created>
  <dcterms:modified xsi:type="dcterms:W3CDTF">2020-03-03T20:15:23Z</dcterms:modified>
</cp:coreProperties>
</file>